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codeName="ThisWorkbook" defaultThemeVersion="124226"/>
  <xr:revisionPtr revIDLastSave="0" documentId="13_ncr:1_{4F3D3D6B-8C73-40DD-9923-EE6AB030B2C6}" xr6:coauthVersionLast="46" xr6:coauthVersionMax="46" xr10:uidLastSave="{00000000-0000-0000-0000-000000000000}"/>
  <bookViews>
    <workbookView xWindow="28680" yWindow="-120" windowWidth="29040" windowHeight="15840" xr2:uid="{00000000-000D-0000-FFFF-FFFF0000000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Fund'!$A$3:$A$7</definedName>
    <definedName name="Exh_G_var" localSheetId="18">'Exhibit G'!$A$2:$AL$122</definedName>
    <definedName name="Exh_G_var" localSheetId="20">'Exhibit G Federal'!$A$2:$AL$93</definedName>
    <definedName name="Exh_G_var" localSheetId="19">'Exhibit G State'!$A$2:$AL$119</definedName>
    <definedName name="EXHIBIT_E" localSheetId="14">'EXHIBIT E '!$A$3:$AK$65</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Share'!$B$4:$M$49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Footnotes!$A$3:$S$67</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F'!$A$2:$P$291</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Operating'!$A$3:$AJ$149</definedName>
    <definedName name="_xlnm.Print_Area" localSheetId="15">'Cashflow Governmental'!$A$3:$AJ$148</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Fund'!$A$3:$K$56</definedName>
    <definedName name="_xlnm.Print_Area" localSheetId="9">'Exh D Special Revenue'!$A$3:$O$46</definedName>
    <definedName name="_xlnm.Print_Area" localSheetId="10">'Exh D Special Revenue State Fed'!$A$3:$W$45</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'!$A$3:$AK$65</definedName>
    <definedName name="_xlnm.Print_Area" localSheetId="17">'Exhibit F'!$B$3:$AK$141</definedName>
    <definedName name="_xlnm.Print_Area" localSheetId="18">'Exhibit G'!$B$3:$AL$126</definedName>
    <definedName name="_xlnm.Print_Area" localSheetId="20">'Exhibit G Federal'!$B$2:$AL$96</definedName>
    <definedName name="_xlnm.Print_Area" localSheetId="19">'Exhibit G State'!$B$3:$AL$123</definedName>
    <definedName name="_xlnm.Print_Area" localSheetId="21">'Exhibit H'!$A$2:$AI$78</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'!$A$3:$Z$63</definedName>
    <definedName name="_xlnm.Print_Area" localSheetId="37">'HCRA PROG DISB'!$A$3:$D$70</definedName>
    <definedName name="_xlnm.Print_Area" localSheetId="39">'Medicaid Disp Share'!$B$2:$M$52</definedName>
    <definedName name="_xlnm.Print_Area" localSheetId="38">'Public Goods '!$A$3:$L$54</definedName>
    <definedName name="_xlnm.Print_Area" localSheetId="29">'Sch 1 '!$A$3:$L$157</definedName>
    <definedName name="_xlnm.Print_Area" localSheetId="30">'Sch 2 '!$A$3:$K$47</definedName>
    <definedName name="_xlnm.Print_Area" localSheetId="31">'Sch 3 '!$A$2:$M$49</definedName>
    <definedName name="_xlnm.Print_Area" localSheetId="32">'Sch 4'!$A$3:$J$37</definedName>
    <definedName name="_xlnm.Print_Area" localSheetId="33">'Sch 5 '!$A$3:$S$67</definedName>
    <definedName name="_xlnm.Print_Area" localSheetId="34">'Sch 5a'!$B$3:$V$46</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'!$A$3:$AK$65</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Fund'!$A$3:$A$7</definedName>
    <definedName name="Z_04CE4621_FE72_4BEE_A48D_DC29A92270A5_.wvu.FilterData" localSheetId="8" hidden="1">'Exh D General Fund'!$A$3:$A$7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Fund'!$A$3:$A$7</definedName>
    <definedName name="Z_095E2B96_6954_4407_81EC_B5F17D68B93D_.wvu.FilterData" localSheetId="11" hidden="1">'Exh D Debt Service'!$A$3:$A$7</definedName>
    <definedName name="Z_095E2B96_6954_4407_81EC_B5F17D68B93D_.wvu.FilterData" localSheetId="8" hidden="1">'Exh D General Fund'!$A$3:$A$7</definedName>
    <definedName name="Z_0B8839DE_3408_4399_A325_5E66A2134E73_.wvu.FilterData" localSheetId="8" hidden="1">'Exh D General Fund'!$A$3:$A$7</definedName>
    <definedName name="Z_0BE0B1CF_D719_4DEE_9059_CD2EDA23BB72_.wvu.FilterData" localSheetId="11" hidden="1">'Exh D Debt Service'!$A$3:$A$7</definedName>
    <definedName name="Z_0BE0B1CF_D719_4DEE_9059_CD2EDA23BB72_.wvu.FilterData" localSheetId="8" hidden="1">'Exh D General Fund'!$A$3:$A$7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Fund'!$A$3:$A$7</definedName>
    <definedName name="Z_14080760_59DE_41A3_97D7_93F21E7456F8_.wvu.FilterData" localSheetId="8" hidden="1">'Exh D General Fund'!$A$3:$A$7</definedName>
    <definedName name="Z_149A68FA_89E4_4DFC_AE78_CD46F66A52AC_.wvu.FilterData" localSheetId="8" hidden="1">'Exh D General Fund'!$A$3:$A$7</definedName>
    <definedName name="Z_16F9E563_4458_41C9_BF56_F0F5B316856F_.wvu.Cols" localSheetId="15" hidden="1">'Cashflow Governmental'!#REF!</definedName>
    <definedName name="Z_16F9E563_4458_41C9_BF56_F0F5B316856F_.wvu.PrintArea" localSheetId="15" hidden="1">'Cashflow Governmental'!$A$3:$AJ$151</definedName>
    <definedName name="Z_17BB73E0_1CF4_467E_9487_3D1C86AF6DB9_.wvu.FilterData" localSheetId="8" hidden="1">'Exh D General Fund'!$A$3:$A$7</definedName>
    <definedName name="Z_17ED534A_4F5A_4D31_A9BC_0E551F5F2AEA_.wvu.FilterData" localSheetId="11" hidden="1">'Exh D Debt Service'!$A$3:$A$7</definedName>
    <definedName name="Z_17ED534A_4F5A_4D31_A9BC_0E551F5F2AEA_.wvu.FilterData" localSheetId="8" hidden="1">'Exh D General Fund'!$A$3:$A$7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'!$A$3:$AK$65</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Fund'!$A$3:$A$7</definedName>
    <definedName name="Z_1F44957F_86C3_49C4_A396_C1BA8BBC4816_.wvu.FilterData" localSheetId="8" hidden="1">'Exh D General Fund'!$A$3:$A$7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Fund'!$A$3:$A$7</definedName>
    <definedName name="Z_2434159E_D7BE_4031_9347_FEC6E9AE1086_.wvu.FilterData" localSheetId="8" hidden="1">'Exh D General Fund'!$A$3:$A$7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Fund'!$A$3:$A$7</definedName>
    <definedName name="Z_27D0D2B0_D728_41CE_8CDF_B71D5DA88E20_.wvu.FilterData" localSheetId="8" hidden="1">'Exh D General Fund'!$A$3:$A$7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Fund'!$A$3:$A$7</definedName>
    <definedName name="Z_2D2F0033_C8F9_474C_9F55_7729DBA3FAAD_.wvu.PrintArea" localSheetId="14" hidden="1">'EXHIBIT E '!$A$3:$AK$65</definedName>
    <definedName name="Z_2EDDD268_430F_4188_94A7_75D3EA1EDF86_.wvu.FilterData" localSheetId="8" hidden="1">'Exh D General Fund'!$A$3:$A$7</definedName>
    <definedName name="Z_2F419F63_BD3C_4339_BEB3_24DF0825A630_.wvu.FilterData" localSheetId="8" hidden="1">'Exh D General Fund'!$A$3:$A$7</definedName>
    <definedName name="Z_2FF96BB6_6112_4975_B54B_929538B05AD7_.wvu.FilterData" localSheetId="8" hidden="1">'Exh D General Fund'!$A$3:$A$7</definedName>
    <definedName name="Z_30AE2415_629E_49AD_80D6_16EE72A27D84_.wvu.FilterData" localSheetId="11" hidden="1">'Exh D Debt Service'!$A$3:$A$7</definedName>
    <definedName name="Z_3121FE90_05F2_48D7_A774_138D5236EB1C_.wvu.FilterData" localSheetId="8" hidden="1">'Exh D General Fund'!$A$3:$A$7</definedName>
    <definedName name="Z_3215277C_ACED_4FB7_9BFC_BF0E621AF59C_.wvu.FilterData" localSheetId="8" hidden="1">'Exh D General Fund'!$A$3:$A$7</definedName>
    <definedName name="Z_34E248C6_4E45_4D01_AA10_F996D50D9B76_.wvu.FilterData" localSheetId="8" hidden="1">'Exh D General Fund'!$A$3:$A$7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Fund'!$A$3:$A$7</definedName>
    <definedName name="Z_3CC7CC25_E0F5_49E1_B704_0EB8513444E7_.wvu.FilterData" localSheetId="8" hidden="1">'Exh D General Fund'!$A$3:$A$7</definedName>
    <definedName name="Z_3E09C753_C94C_4589_BB7F_28456297637B_.wvu.PrintArea" localSheetId="14" hidden="1">'EXHIBIT E '!$A$3:$AK$65</definedName>
    <definedName name="Z_40B04F56_1B22_4395_91DD_384E48A06F95_.wvu.FilterData" localSheetId="8" hidden="1">'Exh D General Fund'!$A$3:$A$7</definedName>
    <definedName name="Z_42515208_2A25_4242_A10A_75CEDA160A1B_.wvu.FilterData" localSheetId="8" hidden="1">'Exh D General Fund'!$A$3:$A$7</definedName>
    <definedName name="Z_42847430_5DA3_41F3_9D36_B559801C4BEE_.wvu.FilterData" localSheetId="8" hidden="1">'Exh D General Fund'!$A$3:$A$7</definedName>
    <definedName name="Z_430F020D_20E4_41D3_A802_1283337FE6C8_.wvu.FilterData" localSheetId="8" hidden="1">'Exh D General Fund'!$A$3:$A$7</definedName>
    <definedName name="Z_46D80255_C131_405D_AA54_CB7C66EFC8B1_.wvu.FilterData" localSheetId="8" hidden="1">'Exh D General Fund'!$A$3:$A$7</definedName>
    <definedName name="Z_46E4CD47_D4E7_4AFB_B55F_6166DD9C9806_.wvu.PrintArea" localSheetId="14" hidden="1">'EXHIBIT E '!$A$3:$AK$65</definedName>
    <definedName name="Z_4C313DA7_E426_4FE0_B22C_6CE7D5DE7F31_.wvu.FilterData" localSheetId="11" hidden="1">'Exh D Debt Service'!$A$3:$A$7</definedName>
    <definedName name="Z_4C313DA7_E426_4FE0_B22C_6CE7D5DE7F31_.wvu.FilterData" localSheetId="8" hidden="1">'Exh D General Fund'!$A$3:$A$7</definedName>
    <definedName name="Z_4C5DC936_C451_4ECB_8EE3_1B14AD828160_.wvu.Cols" localSheetId="15" hidden="1">'Cashflow Governmental'!#REF!</definedName>
    <definedName name="Z_4C5DC936_C451_4ECB_8EE3_1B14AD828160_.wvu.PrintArea" localSheetId="15" hidden="1">'Cashflow Governmental'!$A$3:$AJ$151</definedName>
    <definedName name="Z_4D2D9B9D_A4D3_41DF_BF6D_3C7331C3E026_.wvu.FilterData" localSheetId="8" hidden="1">'Exh D General Fund'!$A$3:$A$7</definedName>
    <definedName name="Z_4F18E933_C845_4CA4_BEAB_BFCDE3A7EDDE_.wvu.FilterData" localSheetId="8" hidden="1">'Exh D General Fund'!$A$3:$A$7</definedName>
    <definedName name="Z_53181B1F_F32D_42B5_AEB6_ADB3450485A5_.wvu.FilterData" localSheetId="11" hidden="1">'Exh D Debt Service'!$A$3:$A$7</definedName>
    <definedName name="Z_545D46DE_DC9D_4815_85B0_08B7B736CDBF_.wvu.FilterData" localSheetId="8" hidden="1">'Exh D General Fund'!$A$3:$A$7</definedName>
    <definedName name="Z_59249A1B_84BA_428A_B987_EE0BE3B449F8_.wvu.FilterData" localSheetId="8" hidden="1">'Exh D General Fund'!$A$3:$A$7</definedName>
    <definedName name="Z_5C913560_E0C9_42EF_86B0_64847FFC2BC5_.wvu.FilterData" localSheetId="8" hidden="1">'Exh D General Fund'!$A$3:$A$7</definedName>
    <definedName name="Z_5D3236BA_94AB_4DBB_BB7D_9D4A6921FFA8_.wvu.FilterData" localSheetId="11" hidden="1">'Exh D Debt Service'!$A$3:$A$7</definedName>
    <definedName name="Z_5D3236BA_94AB_4DBB_BB7D_9D4A6921FFA8_.wvu.FilterData" localSheetId="8" hidden="1">'Exh D General Fund'!$A$3:$A$7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Fund'!$A$3:$A$7</definedName>
    <definedName name="Z_63934AF3_239F_447C_A783_B5936B1D7BDA_.wvu.FilterData" localSheetId="8" hidden="1">'Exh D General Fund'!$A$3:$A$7</definedName>
    <definedName name="Z_63A58C72_B007_4E3F_A2C0_E62EBD5B7EF8_.wvu.PrintArea" localSheetId="14" hidden="1">'EXHIBIT E '!$A$3:$AK$65</definedName>
    <definedName name="Z_64300EA2_43D0_4FBF_9089_8112D939C55C_.wvu.PrintArea" localSheetId="42" hidden="1">'Appendix G'!$A$3:$Z$61</definedName>
    <definedName name="Z_67D2BB6D_8081_40E9_B58E_707DE29EE54B_.wvu.FilterData" localSheetId="8" hidden="1">'Exh D General Fund'!$A$3:$A$7</definedName>
    <definedName name="Z_68C37B80_2911_436E_ADA1_71B3DBA6E309_.wvu.FilterData" localSheetId="8" hidden="1">'Exh D General Fund'!$A$3:$A$7</definedName>
    <definedName name="Z_68E40C11_32EA_4744_9D66_9674A456789F_.wvu.FilterData" localSheetId="8" hidden="1">'Exh D General Fund'!$A$3:$A$7</definedName>
    <definedName name="Z_71C087B8_8BB1_41B9_843F_11E56D036C5F_.wvu.FilterData" localSheetId="8" hidden="1">'Exh D General Fund'!$A$3:$A$7</definedName>
    <definedName name="Z_77789489_6D49_40D5_8F81_9C7EDDA5EAD3_.wvu.FilterData" localSheetId="8" hidden="1">'Exh D General Fund'!$A$3:$A$7</definedName>
    <definedName name="Z_7AE64DEF_56FD_44C8_9F38_A2F981B8F883_.wvu.PrintArea" localSheetId="23" hidden="1">'Exhibit I State'!$B$3:$AL$103</definedName>
    <definedName name="Z_7AE64DEF_56FD_44C8_9F38_A2F981B8F883_.wvu.Rows" localSheetId="23" hidden="1">'Exhibit I State'!#REF!</definedName>
    <definedName name="Z_7C521831_C868_4860_ACD7_256E46835661_.wvu.FilterData" localSheetId="8" hidden="1">'Exh D General Fund'!$A$3:$A$7</definedName>
    <definedName name="Z_7FEACBC4_1C39_4B1A_AF1F_6E1D8196D5B9_.wvu.FilterData" localSheetId="8" hidden="1">'Exh D General Fund'!$A$3:$A$7</definedName>
    <definedName name="Z_80876A9A_0E13_4169_8EC2_4642160C38DB_.wvu.PrintArea" localSheetId="1" hidden="1">'Exhibit A'!$A$3:$AI$60</definedName>
    <definedName name="Z_8207DCE3_1947_4DC9_AEB6_962F9248FA86_.wvu.FilterData" localSheetId="8" hidden="1">'Exh D General Fund'!$A$3:$A$7</definedName>
    <definedName name="Z_83DD2EFE_E2B4_4493_AE5E_10383886EF1B_.wvu.FilterData" localSheetId="8" hidden="1">'Exh D General Fund'!$A$3:$A$7</definedName>
    <definedName name="Z_85B3A599_57BF_4CE6_8AF9_26FB7E444A5A_.wvu.FilterData" localSheetId="11" hidden="1">'Exh D Debt Service'!$A$3:$A$7</definedName>
    <definedName name="Z_86C8BADE_1FEC_441A_A701_DFCBCC85CD39_.wvu.FilterData" localSheetId="8" hidden="1">'Exh D General Fund'!$A$3:$A$7</definedName>
    <definedName name="Z_8729FF11_220B_424C_9C3F_99EA1743B89F_.wvu.FilterData" localSheetId="11" hidden="1">'Exh D Debt Service'!$A$3:$A$7</definedName>
    <definedName name="Z_8729FF11_220B_424C_9C3F_99EA1743B89F_.wvu.FilterData" localSheetId="8" hidden="1">'Exh D General Fund'!$A$3:$A$7</definedName>
    <definedName name="Z_87AB22FD_E2B5_4807_865C_3D7DC0D900F9_.wvu.FilterData" localSheetId="8" hidden="1">'Exh D General Fund'!$A$3:$A$7</definedName>
    <definedName name="Z_8AC488D2_6FA2_4514_AAD4_4692EAA684CD_.wvu.FilterData" localSheetId="11" hidden="1">'Exh D Debt Service'!$A$3:$A$7</definedName>
    <definedName name="Z_8C2184D2_5D92_4141_9CC8_C0A16C6A1995_.wvu.FilterData" localSheetId="8" hidden="1">'Exh D General Fund'!$A$3:$A$7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Fund'!$A$3:$A$7</definedName>
    <definedName name="Z_95AC2C42_DFA8_4C51_B271_0C44BB6D6F3A_.wvu.FilterData" localSheetId="8" hidden="1">'Exh D General Fund'!$A$3:$A$7</definedName>
    <definedName name="Z_9899757D_57B5_4A62_AF0E_3ABA9B994DD7_.wvu.PrintArea" localSheetId="24" hidden="1">'Exhibit I Federal'!$B$3:$AL$85</definedName>
    <definedName name="Z_9B199DAE_254A_4FD3_8F9E_51DB2C1AF597_.wvu.FilterData" localSheetId="8" hidden="1">'Exh D General Fund'!$A$3:$A$7</definedName>
    <definedName name="Z_9EFFAF1C_D472_4B35_9219_C6F7CE26C246_.wvu.FilterData" localSheetId="8" hidden="1">'Exh D General Fund'!$A$3:$A$7</definedName>
    <definedName name="Z_9F36343A_AF04_4B95_BB5A_0D3DFF7C6E58_.wvu.FilterData" localSheetId="8" hidden="1">'Exh D General Fund'!$A$3:$A$7</definedName>
    <definedName name="Z_A0FF3ACA_1D9B_4095_A4CC_20040E84219D_.wvu.PrintTitles" localSheetId="29" hidden="1">'Sch 1 '!$3:$11</definedName>
    <definedName name="Z_A0FF3ACA_1D9B_4095_A4CC_20040E84219D_.wvu.Rows" localSheetId="29" hidden="1">'Sch 1 '!#REF!</definedName>
    <definedName name="Z_A1E51884_FAF0_40A4_B4FF_80913EA23735_.wvu.FilterData" localSheetId="8" hidden="1">'Exh D General Fund'!$A$3:$A$7</definedName>
    <definedName name="Z_A3084395_BCD3_4FF9_B05A_2019ED9D13D3_.wvu.FilterData" localSheetId="8" hidden="1">'Exh D General Fund'!$A$3:$A$7</definedName>
    <definedName name="Z_A3AD8FC8_3DC1_448A_823A_ABA25030CCFD_.wvu.FilterData" localSheetId="11" hidden="1">'Exh D Debt Service'!$A$3:$A$7</definedName>
    <definedName name="Z_A5292644_3BAC_4F9D_AB15_8B6C19C7BAFA_.wvu.FilterData" localSheetId="8" hidden="1">'Exh D General Fund'!$A$3:$A$7</definedName>
    <definedName name="Z_A56B42CE_7722_40A2_AE8E_9A352EE3E18A_.wvu.FilterData" localSheetId="8" hidden="1">'Exh D General Fund'!$A$3:$A$7</definedName>
    <definedName name="Z_A5B132A8_AE52_43B0_ACD8_B96D216615CD_.wvu.FilterData" localSheetId="8" hidden="1">'Exh D General Fund'!$A$3:$A$7</definedName>
    <definedName name="Z_A7142FA5_B6E9_42AA_8E0C_7016CD50E0E8_.wvu.FilterData" localSheetId="8" hidden="1">'Exh D General Fund'!$A$3:$A$7</definedName>
    <definedName name="Z_A7AD7FA3_032C_49A4_BA1A_982AA7ED1D54_.wvu.FilterData" localSheetId="11" hidden="1">'Exh D Debt Service'!$A$3:$A$7</definedName>
    <definedName name="Z_AA91AFAE_EED9_4A9F_975A_DBA015C351C3_.wvu.FilterData" localSheetId="8" hidden="1">'Exh D General Fund'!$A$3:$A$7</definedName>
    <definedName name="Z_AB5F083B_7792_4657_93D4_A6A8CC60BB97_.wvu.FilterData" localSheetId="8" hidden="1">'Exh D General Fund'!$A$3:$A$7</definedName>
    <definedName name="Z_B0A36191_929D_4F7D_8B26_981FD821E1F9_.wvu.FilterData" localSheetId="11" hidden="1">'Exh D Debt Service'!$A$3:$A$7</definedName>
    <definedName name="Z_B0A36191_929D_4F7D_8B26_981FD821E1F9_.wvu.FilterData" localSheetId="8" hidden="1">'Exh D General Fund'!$A$3:$A$7</definedName>
    <definedName name="Z_B289A4E0_9251_4B4C_9F84_26A1CCEEF41F_.wvu.FilterData" localSheetId="11" hidden="1">'Exh D Debt Service'!$A$3:$A$7</definedName>
    <definedName name="Z_B2A4E257_BEA6_4D7F_AAA8_5AB5CC9A5A8E_.wvu.FilterData" localSheetId="8" hidden="1">'Exh D General Fund'!$A$3:$A$7</definedName>
    <definedName name="Z_B41E6885_EAF7_4AC8_BB98_C75CFAC5A703_.wvu.FilterData" localSheetId="11" hidden="1">'Exh D Debt Service'!$A$3:$A$7</definedName>
    <definedName name="Z_B65C13CB_1FDB_42A7_9DA0_0D5412A3B67E_.wvu.FilterData" localSheetId="8" hidden="1">'Exh D General Fund'!$A$3:$A$7</definedName>
    <definedName name="Z_B6B84763_171E_4FE5_96D3_F6E7202F5932_.wvu.FilterData" localSheetId="8" hidden="1">'Exh D General Fund'!$A$3:$A$7</definedName>
    <definedName name="Z_B6D9918F_6864_48B2_B285_875428E07544_.wvu.FilterData" localSheetId="8" hidden="1">'Exh D General Fund'!$A$3:$A$7</definedName>
    <definedName name="Z_B7EA20FD_E2E4_47A9_ADB2_CB6994C21060_.wvu.FilterData" localSheetId="8" hidden="1">'Exh D General Fund'!$A$3:$A$7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'!$A$3:$AK$65</definedName>
    <definedName name="Z_BF6A790B_FE66_4DC0_B4C3_043739C8712A_.wvu.FilterData" localSheetId="11" hidden="1">'Exh D Debt Service'!$A$3:$A$7</definedName>
    <definedName name="Z_BF6A790B_FE66_4DC0_B4C3_043739C8712A_.wvu.FilterData" localSheetId="8" hidden="1">'Exh D General Fund'!$A$3:$A$7</definedName>
    <definedName name="Z_BFA8E00C_7764_4678_998D_63283154D253_.wvu.FilterData" localSheetId="8" hidden="1">'Exh D General Fund'!$A$3:$A$7</definedName>
    <definedName name="Z_C29DFDEA_557C_4D2A_8AB0_5D02FD1A3990_.wvu.FilterData" localSheetId="8" hidden="1">'Exh D General Fund'!$A$3:$A$7</definedName>
    <definedName name="Z_C2CA5E03_89A9_49BB_B1DA_FDDFA8FA6494_.wvu.FilterData" localSheetId="11" hidden="1">'Exh D Debt Service'!$A$3:$A$7</definedName>
    <definedName name="Z_C2CA5E03_89A9_49BB_B1DA_FDDFA8FA6494_.wvu.FilterData" localSheetId="8" hidden="1">'Exh D General Fund'!$A$3:$A$7</definedName>
    <definedName name="Z_C53E33C4_F1C6_4F6F_BAE7_B7F06A3324BB_.wvu.FilterData" localSheetId="8" hidden="1">'Exh D General Fund'!$A$3:$A$7</definedName>
    <definedName name="Z_C5C11FF3_5C2C_4CF6_B28E_FB1B2DC22672_.wvu.FilterData" localSheetId="11" hidden="1">'Exh D Debt Service'!$A$3:$A$7</definedName>
    <definedName name="Z_C7CEBEFD_A523_43D8_A75B_33DCB49FCC95_.wvu.FilterData" localSheetId="8" hidden="1">'Exh D General Fund'!$A$3:$A$7</definedName>
    <definedName name="Z_C8BBFDB8_FD3E_44D7_AB99_05C7B07F7CBA_.wvu.FilterData" localSheetId="8" hidden="1">'Exh D General Fund'!$A$3:$A$7</definedName>
    <definedName name="Z_C9259745_8D19_416D_BEFA_309E09794201_.wvu.FilterData" localSheetId="8" hidden="1">'Exh D General Fund'!$A$3:$A$7</definedName>
    <definedName name="Z_CBF0C58D_0DEC_42B0_BDC0_FC274C6D3421_.wvu.FilterData" localSheetId="8" hidden="1">'Exh D General Fund'!$A$3:$A$7</definedName>
    <definedName name="Z_CD8BDD49_94D9_4A6D_9DB6_04ACC76273F7_.wvu.FilterData" localSheetId="8" hidden="1">'Exh D General Fund'!$A$3:$A$7</definedName>
    <definedName name="Z_CDF89CD8_E444_48AA_BD79_17038F183110_.wvu.FilterData" localSheetId="8" hidden="1">'Exh D General Fund'!$A$3:$A$7</definedName>
    <definedName name="Z_CEC68E96_80BD_4D3E_B82B_4577BB80D07A_.wvu.FilterData" localSheetId="8" hidden="1">'Exh D General Fund'!$A$3:$A$7</definedName>
    <definedName name="Z_CFEE50E2_401B_4F61_9D7F_826691D2BDD8_.wvu.FilterData" localSheetId="11" hidden="1">'Exh D Debt Service'!$A$3:$A$7</definedName>
    <definedName name="Z_D8A2B943_893F_4F3C_A054_B7BF98C780BF_.wvu.FilterData" localSheetId="8" hidden="1">'Exh D General Fund'!$A$3:$A$7</definedName>
    <definedName name="Z_DA07262C_7873_4039_BC63_3E1D4F744D90_.wvu.FilterData" localSheetId="8" hidden="1">'Exh D General Fund'!$A$3:$A$7</definedName>
    <definedName name="Z_DD49A576_6A97_4014_97C2_4199FF1215BD_.wvu.PrintArea" localSheetId="1" hidden="1">'Exhibit A'!$A$3:$AI$60</definedName>
    <definedName name="Z_DD5F991D_7DD8_4065_B3F6_F3B7783F8A50_.wvu.FilterData" localSheetId="8" hidden="1">'Exh D General Fund'!$A$3:$A$7</definedName>
    <definedName name="Z_DF9FD53F_9061_4207_B103_EA1C032F8025_.wvu.FilterData" localSheetId="11" hidden="1">'Exh D Debt Service'!$A$3:$A$7</definedName>
    <definedName name="Z_E071CE29_155D_4A9F_9B3B_7DDF9ED42A6D_.wvu.FilterData" localSheetId="8" hidden="1">'Exh D General Fund'!$A$3:$A$7</definedName>
    <definedName name="Z_E24939C5_07CE_420D_A673_4068FD6DC000_.wvu.FilterData" localSheetId="8" hidden="1">'Exh D General Fund'!$A$3:$A$7</definedName>
    <definedName name="Z_E2FD86BB_A394_463F_941F_0A78BD2E19E5_.wvu.FilterData" localSheetId="8" hidden="1">'Exh D General Fund'!$A$3:$A$7</definedName>
    <definedName name="Z_E4F2679C_653B_4026_922C_25ECBCA643E6_.wvu.FilterData" localSheetId="8" hidden="1">'Exh D General Fund'!$A$3:$A$7</definedName>
    <definedName name="Z_E53CDBE4_5283_4E76_B430_873F933CFEFD_.wvu.FilterData" localSheetId="8" hidden="1">'Exh D General Fund'!$A$3:$A$7</definedName>
    <definedName name="Z_E7A86177_7B19_421F_A256_D31A4A7193C1_.wvu.PrintArea" localSheetId="24" hidden="1">'Exhibit I Federal'!$B$3:$AL$85</definedName>
    <definedName name="Z_E891385B_F92F_499A_8255_411483DD76A7_.wvu.FilterData" localSheetId="11" hidden="1">'Exh D Debt Service'!$A$3:$A$7</definedName>
    <definedName name="Z_E891385B_F92F_499A_8255_411483DD76A7_.wvu.FilterData" localSheetId="8" hidden="1">'Exh D General Fund'!$A$3:$A$7</definedName>
    <definedName name="Z_EB2B6F4A_6D27_43A2_B38C_793C8CCA29FD_.wvu.FilterData" localSheetId="11" hidden="1">'Exh D Debt Service'!$A$3:$A$7</definedName>
    <definedName name="Z_EB2B6F4A_6D27_43A2_B38C_793C8CCA29FD_.wvu.FilterData" localSheetId="8" hidden="1">'Exh D General Fund'!$A$3:$A$7</definedName>
    <definedName name="Z_ECF3E209_99D5_42AE_8A3B_2DC4F9F5D708_.wvu.FilterData" localSheetId="11" hidden="1">'Exh D Debt Service'!$A$3:$A$7</definedName>
    <definedName name="Z_ED85D741_99C0_416E_B325_2A1022BC19BA_.wvu.FilterData" localSheetId="11" hidden="1">'Exh D Debt Service'!$A$3:$A$7</definedName>
    <definedName name="Z_EDF9540E_B660_4200_A738_518887F75690_.wvu.FilterData" localSheetId="11" hidden="1">'Exh D Debt Service'!$A$3:$A$7</definedName>
    <definedName name="Z_EDF9540E_B660_4200_A738_518887F75690_.wvu.FilterData" localSheetId="8" hidden="1">'Exh D General Fund'!$A$3:$A$7</definedName>
    <definedName name="Z_EFEA39D6_665A_4A30_9C9D_60C6600E6E69_.wvu.FilterData" localSheetId="8" hidden="1">'Exh D General Fund'!$A$3:$A$7</definedName>
    <definedName name="Z_F06BD761_76B1_40BA_98BC_E9348D386469_.wvu.PrintArea" localSheetId="14" hidden="1">'EXHIBIT E '!$A$3:$AK$65</definedName>
    <definedName name="Z_F216F4F5_0685_4D55_84E4_F3D0B4CE5E1A_.wvu.FilterData" localSheetId="8" hidden="1">'Exh D General Fund'!$A$3:$A$7</definedName>
    <definedName name="Z_F3AC9EB1_8410_41DB_9080_C38F3C9E46F6_.wvu.FilterData" localSheetId="8" hidden="1">'Exh D General Fund'!$A$3:$A$7</definedName>
    <definedName name="Z_F458E60B_A7D3_4415_B07B_621C1501BE5D_.wvu.FilterData" localSheetId="8" hidden="1">'Exh D General Fund'!$A$3:$A$7</definedName>
    <definedName name="Z_F5928AC6_9FDA_425C_8625_096ED0D736C9_.wvu.FilterData" localSheetId="11" hidden="1">'Exh D Debt Service'!$A$3:$A$7</definedName>
    <definedName name="Z_F69DDDA9_4621_426B_ADE0_295642CC7F7E_.wvu.FilterData" localSheetId="8" hidden="1">'Exh D General Fund'!$A$3:$A$7</definedName>
    <definedName name="Z_FAC8D24D_4D06_484A_9EF9_8024D6C50FBB_.wvu.FilterData" localSheetId="8" hidden="1">'Exh D General Fund'!$A$3:$A$7</definedName>
    <definedName name="Z_FC38E971_5D0B_49A4_B432_2D2538292A7F_.wvu.FilterData" localSheetId="8" hidden="1">'Exh D General Fund'!$A$3:$A$7</definedName>
    <definedName name="Z_FF6A1557_A1BA_4E89_BE0D_61E8805E56CD_.wvu.PrintArea" localSheetId="1" hidden="1">'Exhibit A'!$A$3:$AI$60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94" i="42" l="1"/>
  <c r="J25" i="32"/>
  <c r="AL43" i="21"/>
  <c r="AL96" i="20"/>
  <c r="AL21" i="19"/>
  <c r="AJ70" i="19"/>
  <c r="AJ80" i="17"/>
  <c r="AH93" i="17"/>
  <c r="J43" i="40"/>
  <c r="J35" i="40"/>
  <c r="J22" i="40"/>
  <c r="J16" i="40"/>
  <c r="I47" i="39"/>
  <c r="I38" i="39"/>
  <c r="I28" i="39"/>
  <c r="I22" i="39"/>
  <c r="AI23" i="29"/>
  <c r="I30" i="39" l="1"/>
  <c r="I50" i="39" s="1"/>
  <c r="J24" i="40"/>
  <c r="J46" i="40" s="1"/>
  <c r="E28" i="45"/>
  <c r="L21" i="43" l="1"/>
  <c r="Z21" i="43" s="1"/>
  <c r="L36" i="43"/>
  <c r="Z28" i="43"/>
  <c r="N35" i="18" l="1"/>
  <c r="L15" i="37"/>
  <c r="L19" i="37"/>
  <c r="N75" i="21"/>
  <c r="K21" i="17"/>
  <c r="K22" i="17"/>
  <c r="K23" i="17"/>
  <c r="K24" i="17"/>
  <c r="K25" i="17"/>
  <c r="O44" i="24" l="1"/>
  <c r="AI21" i="23"/>
  <c r="A43" i="14"/>
  <c r="A43" i="13"/>
  <c r="A42" i="12"/>
  <c r="A45" i="11"/>
  <c r="A45" i="10"/>
  <c r="A53" i="9"/>
  <c r="A52" i="8"/>
  <c r="N44" i="20" l="1"/>
  <c r="N85" i="18"/>
  <c r="M30" i="26"/>
  <c r="B27" i="5" s="1"/>
  <c r="N104" i="18"/>
  <c r="D28" i="2" s="1"/>
  <c r="N32" i="20"/>
  <c r="N32" i="19" s="1"/>
  <c r="H42" i="15" s="1"/>
  <c r="N54" i="20"/>
  <c r="O58" i="24"/>
  <c r="O69" i="24"/>
  <c r="O65" i="25"/>
  <c r="L16" i="29"/>
  <c r="F18" i="6" s="1"/>
  <c r="N113" i="18"/>
  <c r="D37" i="2" s="1"/>
  <c r="O80" i="24"/>
  <c r="O82" i="24"/>
  <c r="O63" i="25"/>
  <c r="L16" i="22"/>
  <c r="O59" i="24"/>
  <c r="N90" i="18"/>
  <c r="N32" i="21"/>
  <c r="O81" i="24"/>
  <c r="O64" i="25"/>
  <c r="L16" i="28"/>
  <c r="B18" i="6" s="1"/>
  <c r="L67" i="22"/>
  <c r="L50" i="2" s="1"/>
  <c r="N28" i="18"/>
  <c r="D28" i="15" s="1"/>
  <c r="N107" i="18"/>
  <c r="D31" i="2" s="1"/>
  <c r="N100" i="18"/>
  <c r="D24" i="2" s="1"/>
  <c r="L23" i="22"/>
  <c r="L53" i="15" s="1"/>
  <c r="N86" i="21"/>
  <c r="N129" i="18"/>
  <c r="N91" i="18"/>
  <c r="O83" i="24"/>
  <c r="O62" i="25"/>
  <c r="H43" i="40"/>
  <c r="H35" i="40"/>
  <c r="H22" i="40"/>
  <c r="H16" i="40"/>
  <c r="L15" i="39"/>
  <c r="G47" i="39"/>
  <c r="G38" i="39"/>
  <c r="G28" i="39"/>
  <c r="G22" i="39"/>
  <c r="L37" i="27" l="1"/>
  <c r="F36" i="5" s="1"/>
  <c r="O44" i="25"/>
  <c r="L23" i="29"/>
  <c r="F24" i="6" s="1"/>
  <c r="L36" i="27"/>
  <c r="F35" i="5" s="1"/>
  <c r="L25" i="27"/>
  <c r="F26" i="5" s="1"/>
  <c r="L24" i="27"/>
  <c r="F25" i="5" s="1"/>
  <c r="L17" i="27"/>
  <c r="F18" i="5" s="1"/>
  <c r="L26" i="27"/>
  <c r="F27" i="5" s="1"/>
  <c r="O84" i="23"/>
  <c r="P41" i="2" s="1"/>
  <c r="L14" i="2"/>
  <c r="L23" i="15"/>
  <c r="O81" i="23"/>
  <c r="P36" i="2" s="1"/>
  <c r="O82" i="23"/>
  <c r="P37" i="2" s="1"/>
  <c r="O83" i="23"/>
  <c r="G30" i="39"/>
  <c r="G50" i="39" s="1"/>
  <c r="H24" i="40"/>
  <c r="H46" i="40" s="1"/>
  <c r="L55" i="22" l="1"/>
  <c r="L37" i="2" s="1"/>
  <c r="M40" i="16"/>
  <c r="N32" i="18"/>
  <c r="D33" i="15" s="1"/>
  <c r="N102" i="18"/>
  <c r="D26" i="2" s="1"/>
  <c r="N106" i="18"/>
  <c r="D30" i="2" s="1"/>
  <c r="P38" i="2"/>
  <c r="D36" i="15" l="1"/>
  <c r="N111" i="20"/>
  <c r="N94" i="18"/>
  <c r="N112" i="20"/>
  <c r="N58" i="20"/>
  <c r="M40" i="17"/>
  <c r="E24" i="45"/>
  <c r="J23" i="43"/>
  <c r="N58" i="19" l="1"/>
  <c r="M81" i="16" s="1"/>
  <c r="M81" i="17"/>
  <c r="H50" i="3"/>
  <c r="N114" i="19"/>
  <c r="H50" i="2" s="1"/>
  <c r="D19" i="2"/>
  <c r="H49" i="3"/>
  <c r="K95" i="24"/>
  <c r="L32" i="37" l="1"/>
  <c r="N31" i="21"/>
  <c r="N54" i="19" s="1"/>
  <c r="L42" i="37"/>
  <c r="N82" i="20"/>
  <c r="H20" i="3" s="1"/>
  <c r="K78" i="24"/>
  <c r="K85" i="24" s="1"/>
  <c r="K60" i="24"/>
  <c r="K30" i="24"/>
  <c r="K27" i="24"/>
  <c r="K22" i="24"/>
  <c r="N19" i="18" l="1"/>
  <c r="N86" i="18"/>
  <c r="M63" i="23"/>
  <c r="M78" i="23"/>
  <c r="M27" i="23"/>
  <c r="M45" i="23"/>
  <c r="M55" i="23"/>
  <c r="M70" i="23"/>
  <c r="M81" i="23"/>
  <c r="M69" i="23"/>
  <c r="M30" i="23"/>
  <c r="M46" i="23"/>
  <c r="M56" i="23"/>
  <c r="M71" i="23"/>
  <c r="M82" i="23"/>
  <c r="M26" i="23"/>
  <c r="M37" i="23"/>
  <c r="M47" i="23"/>
  <c r="M57" i="23"/>
  <c r="M73" i="23"/>
  <c r="M83" i="23"/>
  <c r="M54" i="23"/>
  <c r="M39" i="23"/>
  <c r="M49" i="23"/>
  <c r="M58" i="23"/>
  <c r="M74" i="23"/>
  <c r="M84" i="23"/>
  <c r="M21" i="23"/>
  <c r="M41" i="23"/>
  <c r="M50" i="23"/>
  <c r="M59" i="23"/>
  <c r="M75" i="23"/>
  <c r="M92" i="23"/>
  <c r="M22" i="23"/>
  <c r="M42" i="23"/>
  <c r="M51" i="23"/>
  <c r="M60" i="23"/>
  <c r="M76" i="23"/>
  <c r="M93" i="23"/>
  <c r="M44" i="23"/>
  <c r="M25" i="23"/>
  <c r="M43" i="23"/>
  <c r="M52" i="23"/>
  <c r="M77" i="23"/>
  <c r="M94" i="23"/>
  <c r="M20" i="23"/>
  <c r="N69" i="21" l="1"/>
  <c r="O75" i="24"/>
  <c r="L44" i="22"/>
  <c r="N62" i="21"/>
  <c r="N97" i="20"/>
  <c r="H34" i="3" s="1"/>
  <c r="N90" i="20"/>
  <c r="M113" i="17" s="1"/>
  <c r="O29" i="24"/>
  <c r="O30" i="23" s="1"/>
  <c r="O31" i="23" s="1"/>
  <c r="P17" i="2" s="1"/>
  <c r="N101" i="20"/>
  <c r="H38" i="3" s="1"/>
  <c r="O62" i="24"/>
  <c r="O63" i="23" s="1"/>
  <c r="P19" i="2" s="1"/>
  <c r="O56" i="25"/>
  <c r="D18" i="15"/>
  <c r="M23" i="17"/>
  <c r="M23" i="16"/>
  <c r="M61" i="23"/>
  <c r="M79" i="23"/>
  <c r="M86" i="23" s="1"/>
  <c r="M96" i="23"/>
  <c r="M31" i="23"/>
  <c r="M28" i="23"/>
  <c r="M23" i="23"/>
  <c r="AA59" i="22" l="1"/>
  <c r="O51" i="24"/>
  <c r="N29" i="21"/>
  <c r="O49" i="24"/>
  <c r="L33" i="22"/>
  <c r="L19" i="22"/>
  <c r="L28" i="15" s="1"/>
  <c r="L45" i="22"/>
  <c r="O40" i="24"/>
  <c r="L31" i="28"/>
  <c r="B32" i="6" s="1"/>
  <c r="N64" i="20"/>
  <c r="N45" i="20"/>
  <c r="N21" i="18"/>
  <c r="M25" i="16" s="1"/>
  <c r="N77" i="21"/>
  <c r="L30" i="22"/>
  <c r="N60" i="21"/>
  <c r="AL38" i="25"/>
  <c r="O40" i="25"/>
  <c r="O59" i="23" s="1"/>
  <c r="O73" i="24"/>
  <c r="N47" i="18"/>
  <c r="M52" i="16" s="1"/>
  <c r="N96" i="20"/>
  <c r="H33" i="3" s="1"/>
  <c r="L18" i="37"/>
  <c r="N94" i="20"/>
  <c r="O26" i="25"/>
  <c r="N24" i="21"/>
  <c r="N17" i="18"/>
  <c r="M21" i="16" s="1"/>
  <c r="O31" i="25"/>
  <c r="N23" i="20"/>
  <c r="N23" i="19" s="1"/>
  <c r="H31" i="15" s="1"/>
  <c r="O68" i="24"/>
  <c r="O36" i="25"/>
  <c r="N68" i="18"/>
  <c r="O21" i="25"/>
  <c r="N38" i="21"/>
  <c r="N108" i="18"/>
  <c r="D32" i="2" s="1"/>
  <c r="N82" i="18"/>
  <c r="O53" i="24"/>
  <c r="O36" i="24"/>
  <c r="AI15" i="23"/>
  <c r="O54" i="24"/>
  <c r="L30" i="37"/>
  <c r="N74" i="21"/>
  <c r="O29" i="25"/>
  <c r="O38" i="24"/>
  <c r="N56" i="20"/>
  <c r="N56" i="19" s="1"/>
  <c r="M79" i="16" s="1"/>
  <c r="N30" i="20"/>
  <c r="N30" i="19" s="1"/>
  <c r="H40" i="15" s="1"/>
  <c r="O21" i="24"/>
  <c r="O22" i="23" s="1"/>
  <c r="P34" i="15" s="1"/>
  <c r="N89" i="20"/>
  <c r="H26" i="3" s="1"/>
  <c r="N72" i="20"/>
  <c r="M95" i="17" s="1"/>
  <c r="N114" i="18"/>
  <c r="D38" i="2" s="1"/>
  <c r="L24" i="29"/>
  <c r="F25" i="6" s="1"/>
  <c r="N52" i="20"/>
  <c r="N50" i="18"/>
  <c r="M55" i="17" s="1"/>
  <c r="AF22" i="18"/>
  <c r="AE21" i="16"/>
  <c r="O45" i="24"/>
  <c r="N103" i="20"/>
  <c r="H42" i="3" s="1"/>
  <c r="L36" i="37"/>
  <c r="N63" i="18"/>
  <c r="N37" i="21"/>
  <c r="AG13" i="19"/>
  <c r="N72" i="18"/>
  <c r="M77" i="17" s="1"/>
  <c r="O74" i="24"/>
  <c r="O75" i="23" s="1"/>
  <c r="P30" i="2" s="1"/>
  <c r="N21" i="21"/>
  <c r="L41" i="37"/>
  <c r="O70" i="24"/>
  <c r="O73" i="25"/>
  <c r="N67" i="18"/>
  <c r="O57" i="25"/>
  <c r="O76" i="23" s="1"/>
  <c r="P31" i="2" s="1"/>
  <c r="N88" i="18"/>
  <c r="L22" i="37"/>
  <c r="N35" i="21"/>
  <c r="N102" i="20"/>
  <c r="H39" i="3" s="1"/>
  <c r="O27" i="25"/>
  <c r="O45" i="23" s="1"/>
  <c r="N29" i="18"/>
  <c r="D29" i="15" s="1"/>
  <c r="O57" i="24"/>
  <c r="N79" i="20"/>
  <c r="M102" i="17" s="1"/>
  <c r="N93" i="20"/>
  <c r="H30" i="3" s="1"/>
  <c r="O25" i="25"/>
  <c r="N58" i="18"/>
  <c r="M63" i="17" s="1"/>
  <c r="N21" i="20"/>
  <c r="N21" i="19" s="1"/>
  <c r="H29" i="15" s="1"/>
  <c r="O54" i="25"/>
  <c r="N30" i="21"/>
  <c r="N54" i="21"/>
  <c r="N82" i="19" s="1"/>
  <c r="H19" i="2" s="1"/>
  <c r="L66" i="22"/>
  <c r="L49" i="2" s="1"/>
  <c r="N70" i="20"/>
  <c r="N70" i="19" s="1"/>
  <c r="N34" i="20"/>
  <c r="N34" i="19" s="1"/>
  <c r="H44" i="15" s="1"/>
  <c r="N24" i="18"/>
  <c r="N26" i="21"/>
  <c r="N43" i="21"/>
  <c r="O91" i="24"/>
  <c r="O92" i="23" s="1"/>
  <c r="P48" i="2" s="1"/>
  <c r="N33" i="20"/>
  <c r="N33" i="19" s="1"/>
  <c r="H43" i="15" s="1"/>
  <c r="M29" i="26"/>
  <c r="B26" i="5" s="1"/>
  <c r="O41" i="25"/>
  <c r="O60" i="23" s="1"/>
  <c r="N27" i="20"/>
  <c r="N27" i="19" s="1"/>
  <c r="H35" i="15" s="1"/>
  <c r="N45" i="21"/>
  <c r="M21" i="26"/>
  <c r="B20" i="5" s="1"/>
  <c r="O74" i="25"/>
  <c r="M20" i="26"/>
  <c r="B19" i="5" s="1"/>
  <c r="L31" i="29"/>
  <c r="F32" i="6" s="1"/>
  <c r="N124" i="18"/>
  <c r="O55" i="25"/>
  <c r="O74" i="23" s="1"/>
  <c r="P29" i="2" s="1"/>
  <c r="L41" i="22"/>
  <c r="N92" i="20"/>
  <c r="M115" i="17" s="1"/>
  <c r="AG35" i="20"/>
  <c r="N27" i="21"/>
  <c r="L28" i="37"/>
  <c r="N30" i="18"/>
  <c r="D30" i="15" s="1"/>
  <c r="N46" i="20"/>
  <c r="N79" i="18"/>
  <c r="N76" i="21"/>
  <c r="N104" i="19" s="1"/>
  <c r="H40" i="2" s="1"/>
  <c r="N65" i="20"/>
  <c r="N128" i="18"/>
  <c r="N61" i="18"/>
  <c r="M66" i="17" s="1"/>
  <c r="N74" i="20"/>
  <c r="N42" i="18"/>
  <c r="L23" i="37"/>
  <c r="N48" i="21"/>
  <c r="AI92" i="23"/>
  <c r="O32" i="25"/>
  <c r="N31" i="20"/>
  <c r="N31" i="19" s="1"/>
  <c r="H41" i="15" s="1"/>
  <c r="N25" i="18"/>
  <c r="M29" i="17" s="1"/>
  <c r="O24" i="24"/>
  <c r="O25" i="23" s="1"/>
  <c r="P40" i="15" s="1"/>
  <c r="L46" i="22"/>
  <c r="N36" i="21"/>
  <c r="L42" i="22"/>
  <c r="N60" i="18"/>
  <c r="AL46" i="20"/>
  <c r="L17" i="37"/>
  <c r="O77" i="24"/>
  <c r="N71" i="20"/>
  <c r="M42" i="26"/>
  <c r="B36" i="5" s="1"/>
  <c r="L40" i="37"/>
  <c r="N80" i="18"/>
  <c r="N33" i="18"/>
  <c r="D34" i="15" s="1"/>
  <c r="L21" i="37"/>
  <c r="N76" i="18"/>
  <c r="N22" i="21"/>
  <c r="N44" i="19" s="1"/>
  <c r="N72" i="21"/>
  <c r="N48" i="18"/>
  <c r="D51" i="15" s="1"/>
  <c r="N76" i="20"/>
  <c r="O59" i="25"/>
  <c r="L38" i="22"/>
  <c r="N26" i="20"/>
  <c r="N26" i="19" s="1"/>
  <c r="H34" i="15" s="1"/>
  <c r="O72" i="24"/>
  <c r="O33" i="25"/>
  <c r="N20" i="20"/>
  <c r="N20" i="19" s="1"/>
  <c r="H28" i="15" s="1"/>
  <c r="N85" i="21"/>
  <c r="N113" i="19" s="1"/>
  <c r="H49" i="2" s="1"/>
  <c r="O50" i="24"/>
  <c r="N105" i="18"/>
  <c r="D29" i="2" s="1"/>
  <c r="N77" i="18"/>
  <c r="AA24" i="22"/>
  <c r="L22" i="22"/>
  <c r="L51" i="15" s="1"/>
  <c r="O39" i="25"/>
  <c r="N31" i="18"/>
  <c r="D32" i="15" s="1"/>
  <c r="O41" i="24"/>
  <c r="O19" i="24"/>
  <c r="O20" i="23" s="1"/>
  <c r="P29" i="15" s="1"/>
  <c r="N127" i="18"/>
  <c r="N64" i="21"/>
  <c r="N77" i="20"/>
  <c r="O52" i="25"/>
  <c r="N22" i="20"/>
  <c r="N22" i="19" s="1"/>
  <c r="H30" i="15" s="1"/>
  <c r="O37" i="25"/>
  <c r="N47" i="21"/>
  <c r="N101" i="18"/>
  <c r="D25" i="2" s="1"/>
  <c r="L39" i="22"/>
  <c r="N66" i="21"/>
  <c r="N94" i="19" s="1"/>
  <c r="H30" i="2" s="1"/>
  <c r="N95" i="20"/>
  <c r="M118" i="17" s="1"/>
  <c r="N50" i="21"/>
  <c r="N84" i="18"/>
  <c r="M94" i="17" s="1"/>
  <c r="N65" i="21"/>
  <c r="N66" i="20"/>
  <c r="O92" i="24"/>
  <c r="N60" i="20"/>
  <c r="N60" i="19" s="1"/>
  <c r="N73" i="21"/>
  <c r="N101" i="19" s="1"/>
  <c r="H37" i="2" s="1"/>
  <c r="N41" i="21"/>
  <c r="N28" i="21"/>
  <c r="AL56" i="24"/>
  <c r="N40" i="18"/>
  <c r="L37" i="22"/>
  <c r="O55" i="24"/>
  <c r="N83" i="18"/>
  <c r="O50" i="25"/>
  <c r="N33" i="21"/>
  <c r="O23" i="25"/>
  <c r="N62" i="20"/>
  <c r="M85" i="17" s="1"/>
  <c r="L38" i="37"/>
  <c r="N63" i="20"/>
  <c r="N25" i="20"/>
  <c r="N25" i="19" s="1"/>
  <c r="H33" i="15" s="1"/>
  <c r="M31" i="26"/>
  <c r="B28" i="5" s="1"/>
  <c r="N46" i="21"/>
  <c r="O25" i="24"/>
  <c r="O26" i="23" s="1"/>
  <c r="P41" i="15" s="1"/>
  <c r="N51" i="20"/>
  <c r="N51" i="19" s="1"/>
  <c r="N62" i="18"/>
  <c r="L34" i="22"/>
  <c r="N17" i="20"/>
  <c r="N61" i="21"/>
  <c r="O43" i="24"/>
  <c r="O44" i="23" s="1"/>
  <c r="O51" i="25"/>
  <c r="O70" i="23" s="1"/>
  <c r="P25" i="2" s="1"/>
  <c r="O34" i="25"/>
  <c r="N59" i="20"/>
  <c r="N59" i="19" s="1"/>
  <c r="AI45" i="22"/>
  <c r="L22" i="28"/>
  <c r="B23" i="6" s="1"/>
  <c r="L57" i="22"/>
  <c r="L40" i="2" s="1"/>
  <c r="N78" i="20"/>
  <c r="N78" i="19" s="1"/>
  <c r="L16" i="37"/>
  <c r="M28" i="26"/>
  <c r="B25" i="5" s="1"/>
  <c r="O76" i="24"/>
  <c r="L36" i="22"/>
  <c r="N34" i="18"/>
  <c r="D35" i="15" s="1"/>
  <c r="O20" i="24"/>
  <c r="O21" i="23" s="1"/>
  <c r="P32" i="15" s="1"/>
  <c r="L23" i="28"/>
  <c r="B24" i="6" s="1"/>
  <c r="N51" i="21"/>
  <c r="N69" i="18"/>
  <c r="N53" i="20"/>
  <c r="N53" i="19" s="1"/>
  <c r="N18" i="18"/>
  <c r="N75" i="20"/>
  <c r="N38" i="18"/>
  <c r="D40" i="15" s="1"/>
  <c r="N24" i="20"/>
  <c r="N24" i="19" s="1"/>
  <c r="H32" i="15" s="1"/>
  <c r="O58" i="25"/>
  <c r="O56" i="24"/>
  <c r="O57" i="23" s="1"/>
  <c r="N43" i="20"/>
  <c r="M65" i="17" s="1"/>
  <c r="N23" i="21"/>
  <c r="N46" i="18"/>
  <c r="M51" i="16" s="1"/>
  <c r="N44" i="21"/>
  <c r="L20" i="37"/>
  <c r="N20" i="18"/>
  <c r="D19" i="15" s="1"/>
  <c r="N49" i="18"/>
  <c r="N49" i="20"/>
  <c r="N49" i="19" s="1"/>
  <c r="N67" i="21"/>
  <c r="N95" i="19" s="1"/>
  <c r="H31" i="2" s="1"/>
  <c r="N73" i="18"/>
  <c r="AG27" i="24"/>
  <c r="N123" i="18"/>
  <c r="M19" i="26"/>
  <c r="B18" i="5" s="1"/>
  <c r="AG114" i="19"/>
  <c r="N19" i="21"/>
  <c r="O93" i="24"/>
  <c r="O19" i="25"/>
  <c r="N57" i="20"/>
  <c r="M80" i="17" s="1"/>
  <c r="AL72" i="20"/>
  <c r="N50" i="20"/>
  <c r="N50" i="19" s="1"/>
  <c r="M73" i="16" s="1"/>
  <c r="N39" i="18"/>
  <c r="D41" i="15" s="1"/>
  <c r="N70" i="18"/>
  <c r="M75" i="17" s="1"/>
  <c r="N88" i="20"/>
  <c r="M111" i="17" s="1"/>
  <c r="N112" i="18"/>
  <c r="D36" i="2" s="1"/>
  <c r="N41" i="20"/>
  <c r="N41" i="19" s="1"/>
  <c r="N125" i="18"/>
  <c r="O28" i="25"/>
  <c r="L22" i="29"/>
  <c r="F23" i="6" s="1"/>
  <c r="N48" i="20"/>
  <c r="M71" i="17" s="1"/>
  <c r="N100" i="20"/>
  <c r="H37" i="3" s="1"/>
  <c r="O48" i="24"/>
  <c r="N89" i="18"/>
  <c r="M99" i="17" s="1"/>
  <c r="L31" i="37"/>
  <c r="L35" i="22"/>
  <c r="N109" i="18"/>
  <c r="D33" i="2" s="1"/>
  <c r="L29" i="37"/>
  <c r="N39" i="21"/>
  <c r="N73" i="20"/>
  <c r="M96" i="17" s="1"/>
  <c r="N57" i="18"/>
  <c r="N41" i="18"/>
  <c r="D43" i="15" s="1"/>
  <c r="O26" i="24"/>
  <c r="O27" i="23" s="1"/>
  <c r="P44" i="15" s="1"/>
  <c r="N45" i="18"/>
  <c r="M50" i="17" s="1"/>
  <c r="O38" i="25"/>
  <c r="L37" i="37"/>
  <c r="L49" i="22"/>
  <c r="L19" i="2" s="1"/>
  <c r="N68" i="21"/>
  <c r="N42" i="21"/>
  <c r="O46" i="24"/>
  <c r="N23" i="18"/>
  <c r="M27" i="17" s="1"/>
  <c r="N66" i="18"/>
  <c r="L32" i="22"/>
  <c r="N87" i="18"/>
  <c r="N74" i="18"/>
  <c r="M83" i="17" s="1"/>
  <c r="L32" i="29"/>
  <c r="F33" i="6" s="1"/>
  <c r="N78" i="18"/>
  <c r="M87" i="17" s="1"/>
  <c r="AG113" i="19"/>
  <c r="L24" i="28"/>
  <c r="B25" i="6" s="1"/>
  <c r="AL55" i="24"/>
  <c r="N65" i="18"/>
  <c r="L32" i="28"/>
  <c r="B33" i="6" s="1"/>
  <c r="M41" i="26"/>
  <c r="B35" i="5" s="1"/>
  <c r="N49" i="21"/>
  <c r="N77" i="19" s="1"/>
  <c r="M100" i="16" s="1"/>
  <c r="N68" i="20"/>
  <c r="O24" i="25"/>
  <c r="O42" i="24"/>
  <c r="N71" i="18"/>
  <c r="O49" i="23"/>
  <c r="O73" i="23"/>
  <c r="P28" i="2" s="1"/>
  <c r="M51" i="17"/>
  <c r="M128" i="17"/>
  <c r="N75" i="19"/>
  <c r="H29" i="3"/>
  <c r="N68" i="19"/>
  <c r="M116" i="17"/>
  <c r="N64" i="19"/>
  <c r="M87" i="16" s="1"/>
  <c r="N97" i="19"/>
  <c r="H33" i="2" s="1"/>
  <c r="M35" i="17"/>
  <c r="M66" i="16"/>
  <c r="M55" i="16"/>
  <c r="D49" i="15"/>
  <c r="M76" i="17"/>
  <c r="O77" i="23"/>
  <c r="P32" i="2" s="1"/>
  <c r="M53" i="17"/>
  <c r="N130" i="18"/>
  <c r="H27" i="3"/>
  <c r="M36" i="17"/>
  <c r="N89" i="19"/>
  <c r="H25" i="2" s="1"/>
  <c r="M67" i="17"/>
  <c r="O55" i="23"/>
  <c r="O69" i="23"/>
  <c r="P24" i="2" s="1"/>
  <c r="D44" i="15"/>
  <c r="N92" i="19"/>
  <c r="H28" i="2" s="1"/>
  <c r="N66" i="19"/>
  <c r="O52" i="23"/>
  <c r="D53" i="15"/>
  <c r="M123" i="17"/>
  <c r="O42" i="23"/>
  <c r="N63" i="19"/>
  <c r="O46" i="23"/>
  <c r="O58" i="23"/>
  <c r="N65" i="19"/>
  <c r="N102" i="19"/>
  <c r="H38" i="2" s="1"/>
  <c r="M46" i="16"/>
  <c r="M46" i="17"/>
  <c r="M79" i="17"/>
  <c r="O39" i="23"/>
  <c r="M53" i="16"/>
  <c r="D22" i="15"/>
  <c r="N90" i="19"/>
  <c r="H26" i="2" s="1"/>
  <c r="D50" i="15"/>
  <c r="H32" i="3"/>
  <c r="M52" i="17"/>
  <c r="P51" i="15"/>
  <c r="N52" i="19"/>
  <c r="N72" i="19"/>
  <c r="O94" i="23"/>
  <c r="P50" i="2" s="1"/>
  <c r="M91" i="17"/>
  <c r="M120" i="17"/>
  <c r="H25" i="3"/>
  <c r="N88" i="19"/>
  <c r="H24" i="2" s="1"/>
  <c r="AC133" i="18"/>
  <c r="N126" i="18"/>
  <c r="D49" i="2" s="1"/>
  <c r="L24" i="37"/>
  <c r="N69" i="20"/>
  <c r="D17" i="15"/>
  <c r="M22" i="16"/>
  <c r="M22" i="17"/>
  <c r="O50" i="23"/>
  <c r="M28" i="16"/>
  <c r="D23" i="15"/>
  <c r="M28" i="17"/>
  <c r="M117" i="17"/>
  <c r="H31" i="3"/>
  <c r="M50" i="16"/>
  <c r="O56" i="23"/>
  <c r="D16" i="15"/>
  <c r="M24" i="16"/>
  <c r="M70" i="17"/>
  <c r="M70" i="16"/>
  <c r="M54" i="16"/>
  <c r="D52" i="15"/>
  <c r="M54" i="17"/>
  <c r="O43" i="23"/>
  <c r="M37" i="16"/>
  <c r="M33" i="23"/>
  <c r="M65" i="23" s="1"/>
  <c r="M89" i="23" s="1"/>
  <c r="N62" i="19" l="1"/>
  <c r="M35" i="16"/>
  <c r="M33" i="17"/>
  <c r="N79" i="19"/>
  <c r="M102" i="16" s="1"/>
  <c r="N43" i="19"/>
  <c r="M34" i="16"/>
  <c r="N105" i="19"/>
  <c r="H41" i="2" s="1"/>
  <c r="N48" i="19"/>
  <c r="M71" i="16" s="1"/>
  <c r="M62" i="17"/>
  <c r="N96" i="19"/>
  <c r="H32" i="2" s="1"/>
  <c r="N45" i="19"/>
  <c r="M67" i="16" s="1"/>
  <c r="D20" i="15"/>
  <c r="M74" i="16"/>
  <c r="M125" i="17"/>
  <c r="D24" i="15"/>
  <c r="M62" i="16"/>
  <c r="M101" i="16"/>
  <c r="O23" i="23"/>
  <c r="P15" i="2" s="1"/>
  <c r="N46" i="19"/>
  <c r="M68" i="16" s="1"/>
  <c r="N71" i="19"/>
  <c r="M82" i="17"/>
  <c r="M82" i="16"/>
  <c r="M44" i="16"/>
  <c r="N35" i="19"/>
  <c r="H16" i="2" s="1"/>
  <c r="O51" i="23"/>
  <c r="O93" i="23"/>
  <c r="P49" i="2" s="1"/>
  <c r="O47" i="23"/>
  <c r="O54" i="23"/>
  <c r="M91" i="16" s="1"/>
  <c r="O78" i="23"/>
  <c r="P33" i="2" s="1"/>
  <c r="O71" i="23"/>
  <c r="P26" i="2" s="1"/>
  <c r="M38" i="16"/>
  <c r="M74" i="17"/>
  <c r="M73" i="17"/>
  <c r="M86" i="17"/>
  <c r="M68" i="17"/>
  <c r="M72" i="17"/>
  <c r="M89" i="17"/>
  <c r="N76" i="19"/>
  <c r="M99" i="16" s="1"/>
  <c r="M88" i="17"/>
  <c r="M98" i="17"/>
  <c r="M100" i="17"/>
  <c r="M39" i="16"/>
  <c r="M97" i="17"/>
  <c r="O37" i="23"/>
  <c r="M63" i="16" s="1"/>
  <c r="D42" i="15"/>
  <c r="M45" i="16"/>
  <c r="M24" i="17"/>
  <c r="M33" i="16"/>
  <c r="M32" i="17"/>
  <c r="M86" i="16"/>
  <c r="N74" i="19"/>
  <c r="M97" i="16" s="1"/>
  <c r="O28" i="23"/>
  <c r="P16" i="2" s="1"/>
  <c r="M21" i="17"/>
  <c r="D48" i="15"/>
  <c r="M29" i="16"/>
  <c r="M36" i="16"/>
  <c r="M25" i="17"/>
  <c r="M44" i="17"/>
  <c r="M34" i="17"/>
  <c r="N100" i="19"/>
  <c r="H36" i="2" s="1"/>
  <c r="M105" i="17"/>
  <c r="M27" i="16"/>
  <c r="M39" i="17"/>
  <c r="M38" i="17"/>
  <c r="M47" i="17"/>
  <c r="O41" i="23"/>
  <c r="M72" i="16" s="1"/>
  <c r="M101" i="17"/>
  <c r="M43" i="16"/>
  <c r="N73" i="19"/>
  <c r="M96" i="16" s="1"/>
  <c r="M37" i="17"/>
  <c r="N57" i="19"/>
  <c r="M80" i="16" s="1"/>
  <c r="M119" i="17"/>
  <c r="M32" i="16"/>
  <c r="M77" i="16"/>
  <c r="M105" i="16"/>
  <c r="M47" i="16"/>
  <c r="M112" i="17"/>
  <c r="D50" i="2"/>
  <c r="M45" i="17"/>
  <c r="M43" i="17"/>
  <c r="N93" i="19"/>
  <c r="H29" i="2" s="1"/>
  <c r="H15" i="3"/>
  <c r="N17" i="19"/>
  <c r="M85" i="16"/>
  <c r="M98" i="16"/>
  <c r="M136" i="17"/>
  <c r="M119" i="16"/>
  <c r="M112" i="16"/>
  <c r="M95" i="16"/>
  <c r="M137" i="17"/>
  <c r="M94" i="16"/>
  <c r="M76" i="16"/>
  <c r="M113" i="16"/>
  <c r="M115" i="16"/>
  <c r="M125" i="16"/>
  <c r="M117" i="16"/>
  <c r="M88" i="16"/>
  <c r="M83" i="16"/>
  <c r="M65" i="16"/>
  <c r="M89" i="16"/>
  <c r="M120" i="16"/>
  <c r="M118" i="16"/>
  <c r="O96" i="23"/>
  <c r="O79" i="23"/>
  <c r="O86" i="23" s="1"/>
  <c r="M75" i="16"/>
  <c r="M111" i="16"/>
  <c r="O61" i="23"/>
  <c r="P18" i="2" s="1"/>
  <c r="O33" i="23"/>
  <c r="N69" i="19"/>
  <c r="M92" i="17"/>
  <c r="M128" i="16"/>
  <c r="J114" i="20"/>
  <c r="J98" i="20"/>
  <c r="J105" i="20" s="1"/>
  <c r="J80" i="20"/>
  <c r="J35" i="20"/>
  <c r="J28" i="20"/>
  <c r="M116" i="16" l="1"/>
  <c r="M123" i="16"/>
  <c r="H22" i="15"/>
  <c r="H14" i="2"/>
  <c r="O65" i="23"/>
  <c r="O89" i="23" s="1"/>
  <c r="O101" i="23" s="1"/>
  <c r="M92" i="16"/>
  <c r="N80" i="19"/>
  <c r="H18" i="2" s="1"/>
  <c r="L104" i="19"/>
  <c r="J37" i="20"/>
  <c r="J84" i="20" s="1"/>
  <c r="J108" i="20" s="1"/>
  <c r="J118" i="20" s="1"/>
  <c r="L32" i="19"/>
  <c r="L27" i="19"/>
  <c r="L33" i="19"/>
  <c r="L26" i="19"/>
  <c r="L20" i="19"/>
  <c r="L24" i="19"/>
  <c r="L30" i="19"/>
  <c r="L34" i="19"/>
  <c r="L22" i="19"/>
  <c r="L21" i="19"/>
  <c r="L25" i="19"/>
  <c r="L70" i="19"/>
  <c r="H34" i="43"/>
  <c r="Z34" i="43" s="1"/>
  <c r="Z29" i="43"/>
  <c r="AK84" i="18" l="1"/>
  <c r="L77" i="19"/>
  <c r="L75" i="19"/>
  <c r="K14" i="30"/>
  <c r="L65" i="19"/>
  <c r="L54" i="19"/>
  <c r="L50" i="19"/>
  <c r="L66" i="19"/>
  <c r="L49" i="19"/>
  <c r="L60" i="19"/>
  <c r="L17" i="19"/>
  <c r="L53" i="19"/>
  <c r="L78" i="19"/>
  <c r="L90" i="19"/>
  <c r="L94" i="19"/>
  <c r="L71" i="19"/>
  <c r="L46" i="19"/>
  <c r="L52" i="21"/>
  <c r="L56" i="21" s="1"/>
  <c r="L68" i="19"/>
  <c r="L88" i="21"/>
  <c r="L44" i="19"/>
  <c r="L73" i="19"/>
  <c r="L63" i="19"/>
  <c r="L82" i="19"/>
  <c r="L76" i="19"/>
  <c r="L43" i="19"/>
  <c r="L59" i="19"/>
  <c r="L74" i="19"/>
  <c r="L31" i="19"/>
  <c r="L48" i="19"/>
  <c r="K71" i="16" s="1"/>
  <c r="K71" i="17"/>
  <c r="L56" i="19"/>
  <c r="K79" i="16" s="1"/>
  <c r="K79" i="17"/>
  <c r="L62" i="19"/>
  <c r="K85" i="16" s="1"/>
  <c r="K85" i="17"/>
  <c r="L23" i="19"/>
  <c r="K35" i="17"/>
  <c r="L57" i="19"/>
  <c r="K80" i="16" s="1"/>
  <c r="K80" i="17"/>
  <c r="L79" i="19"/>
  <c r="K102" i="16" s="1"/>
  <c r="K102" i="17"/>
  <c r="L58" i="19"/>
  <c r="K81" i="16" s="1"/>
  <c r="K81" i="17"/>
  <c r="L51" i="19"/>
  <c r="L89" i="19"/>
  <c r="L70" i="21"/>
  <c r="L79" i="21" s="1"/>
  <c r="L88" i="19"/>
  <c r="L92" i="19"/>
  <c r="L52" i="19"/>
  <c r="L64" i="19"/>
  <c r="L72" i="19"/>
  <c r="L93" i="19"/>
  <c r="L45" i="19"/>
  <c r="L41" i="19"/>
  <c r="N50" i="2"/>
  <c r="N19" i="2"/>
  <c r="F28" i="2"/>
  <c r="AA69" i="22"/>
  <c r="L82" i="21" l="1"/>
  <c r="L92" i="21" s="1"/>
  <c r="L101" i="19"/>
  <c r="L114" i="19"/>
  <c r="K23" i="16"/>
  <c r="K115" i="17"/>
  <c r="K115" i="16"/>
  <c r="K37" i="17"/>
  <c r="K37" i="16"/>
  <c r="K21" i="16"/>
  <c r="K40" i="16"/>
  <c r="K40" i="17"/>
  <c r="K101" i="17"/>
  <c r="K101" i="16"/>
  <c r="K72" i="17"/>
  <c r="K72" i="16"/>
  <c r="K35" i="16"/>
  <c r="K43" i="16"/>
  <c r="K43" i="17"/>
  <c r="K116" i="17"/>
  <c r="K116" i="16"/>
  <c r="L69" i="19"/>
  <c r="K105" i="17"/>
  <c r="K105" i="16"/>
  <c r="K32" i="16"/>
  <c r="K32" i="17"/>
  <c r="K95" i="17"/>
  <c r="K95" i="16"/>
  <c r="K91" i="17"/>
  <c r="K91" i="16"/>
  <c r="D15" i="6"/>
  <c r="D14" i="6"/>
  <c r="D15" i="5"/>
  <c r="D14" i="5"/>
  <c r="F13" i="15" l="1"/>
  <c r="F12" i="15"/>
  <c r="Z12" i="37" l="1"/>
  <c r="M10" i="42"/>
  <c r="AD14" i="24"/>
  <c r="K85" i="30"/>
  <c r="K22" i="16" l="1"/>
  <c r="P15" i="5"/>
  <c r="G137" i="17" l="1"/>
  <c r="G136" i="17"/>
  <c r="G128" i="17"/>
  <c r="G127" i="17"/>
  <c r="G125" i="17"/>
  <c r="G124" i="17"/>
  <c r="G123" i="17"/>
  <c r="G120" i="17"/>
  <c r="G119" i="17"/>
  <c r="G118" i="17"/>
  <c r="G117" i="17"/>
  <c r="G116" i="17"/>
  <c r="G115" i="17"/>
  <c r="G113" i="17"/>
  <c r="G112" i="17"/>
  <c r="G111" i="17"/>
  <c r="G102" i="17"/>
  <c r="G101" i="17"/>
  <c r="G100" i="17"/>
  <c r="G99" i="17"/>
  <c r="G98" i="17"/>
  <c r="G97" i="17"/>
  <c r="G96" i="17"/>
  <c r="G95" i="17"/>
  <c r="G94" i="17"/>
  <c r="G92" i="17"/>
  <c r="G91" i="17"/>
  <c r="G89" i="17"/>
  <c r="G88" i="17"/>
  <c r="G87" i="17"/>
  <c r="G86" i="17"/>
  <c r="G85" i="17"/>
  <c r="G83" i="17"/>
  <c r="G82" i="17"/>
  <c r="G81" i="17"/>
  <c r="G80" i="17"/>
  <c r="G79" i="17"/>
  <c r="G77" i="17"/>
  <c r="G76" i="17"/>
  <c r="G75" i="17"/>
  <c r="G74" i="17"/>
  <c r="G73" i="17"/>
  <c r="G72" i="17"/>
  <c r="G71" i="17"/>
  <c r="G70" i="17"/>
  <c r="G68" i="17"/>
  <c r="G67" i="17"/>
  <c r="G66" i="17"/>
  <c r="G65" i="17"/>
  <c r="G63" i="17"/>
  <c r="G62" i="17"/>
  <c r="G55" i="17"/>
  <c r="G54" i="17"/>
  <c r="G53" i="17"/>
  <c r="G52" i="17"/>
  <c r="G51" i="17"/>
  <c r="G50" i="17"/>
  <c r="G47" i="17"/>
  <c r="G46" i="17"/>
  <c r="G45" i="17"/>
  <c r="G44" i="17"/>
  <c r="G43" i="17"/>
  <c r="G40" i="17"/>
  <c r="G38" i="17"/>
  <c r="G37" i="17"/>
  <c r="G36" i="17"/>
  <c r="G35" i="17"/>
  <c r="G34" i="17"/>
  <c r="G33" i="17"/>
  <c r="G32" i="17"/>
  <c r="G29" i="17"/>
  <c r="G28" i="17"/>
  <c r="G25" i="17"/>
  <c r="G24" i="17"/>
  <c r="G23" i="17"/>
  <c r="G22" i="17"/>
  <c r="G21" i="17"/>
  <c r="G70" i="16"/>
  <c r="G55" i="16"/>
  <c r="G54" i="16"/>
  <c r="G52" i="16"/>
  <c r="G51" i="16"/>
  <c r="G50" i="16"/>
  <c r="G40" i="16"/>
  <c r="G29" i="16"/>
  <c r="G28" i="16"/>
  <c r="G25" i="16"/>
  <c r="G24" i="16"/>
  <c r="G23" i="16"/>
  <c r="G22" i="16"/>
  <c r="G21" i="16"/>
  <c r="AG21" i="19" l="1"/>
  <c r="AI27" i="23"/>
  <c r="G121" i="17"/>
  <c r="G139" i="17"/>
  <c r="G130" i="17" l="1"/>
  <c r="K58" i="23" l="1"/>
  <c r="K92" i="23"/>
  <c r="K49" i="23"/>
  <c r="K74" i="23"/>
  <c r="K27" i="23"/>
  <c r="K41" i="23"/>
  <c r="K45" i="23"/>
  <c r="K50" i="23"/>
  <c r="K55" i="23"/>
  <c r="K59" i="23"/>
  <c r="K70" i="23"/>
  <c r="K75" i="23"/>
  <c r="K81" i="23"/>
  <c r="K44" i="23"/>
  <c r="K78" i="23"/>
  <c r="K93" i="23"/>
  <c r="K39" i="23"/>
  <c r="K30" i="23"/>
  <c r="K42" i="23"/>
  <c r="K46" i="23"/>
  <c r="K51" i="23"/>
  <c r="K56" i="23"/>
  <c r="K60" i="23"/>
  <c r="K71" i="23"/>
  <c r="K76" i="23"/>
  <c r="K82" i="23"/>
  <c r="K54" i="23"/>
  <c r="K83" i="23"/>
  <c r="K94" i="23"/>
  <c r="K26" i="23"/>
  <c r="K69" i="23"/>
  <c r="K25" i="23"/>
  <c r="K37" i="23"/>
  <c r="K43" i="23"/>
  <c r="K47" i="23"/>
  <c r="K52" i="23"/>
  <c r="K57" i="23"/>
  <c r="K63" i="23"/>
  <c r="K73" i="23"/>
  <c r="K77" i="23"/>
  <c r="J26" i="19"/>
  <c r="Z40" i="43"/>
  <c r="I21" i="17" l="1"/>
  <c r="I35" i="17"/>
  <c r="K84" i="23"/>
  <c r="I22" i="17"/>
  <c r="I22" i="16"/>
  <c r="L113" i="19" l="1"/>
  <c r="J101" i="19"/>
  <c r="J33" i="19"/>
  <c r="J22" i="19"/>
  <c r="J24" i="19"/>
  <c r="I91" i="17"/>
  <c r="I81" i="17"/>
  <c r="J79" i="19"/>
  <c r="I102" i="16" s="1"/>
  <c r="J32" i="19"/>
  <c r="J34" i="19"/>
  <c r="I51" i="17"/>
  <c r="I79" i="17"/>
  <c r="J25" i="19"/>
  <c r="J53" i="19"/>
  <c r="I54" i="17"/>
  <c r="J70" i="19"/>
  <c r="I95" i="17"/>
  <c r="I38" i="17"/>
  <c r="AG20" i="19"/>
  <c r="J31" i="19"/>
  <c r="J21" i="19"/>
  <c r="I52" i="17"/>
  <c r="I76" i="17"/>
  <c r="AJ21" i="21"/>
  <c r="J104" i="19"/>
  <c r="I99" i="17"/>
  <c r="I71" i="17"/>
  <c r="I25" i="17"/>
  <c r="J20" i="19"/>
  <c r="AL63" i="20"/>
  <c r="J90" i="19"/>
  <c r="J114" i="19"/>
  <c r="I80" i="17"/>
  <c r="I63" i="16"/>
  <c r="I29" i="17"/>
  <c r="I128" i="17"/>
  <c r="J27" i="19"/>
  <c r="J89" i="19"/>
  <c r="I66" i="17"/>
  <c r="I85" i="17"/>
  <c r="J30" i="19"/>
  <c r="I50" i="16"/>
  <c r="I127" i="17"/>
  <c r="I23" i="16"/>
  <c r="I23" i="17"/>
  <c r="I21" i="16"/>
  <c r="J23" i="19"/>
  <c r="I102" i="17"/>
  <c r="I40" i="17"/>
  <c r="I40" i="16"/>
  <c r="L95" i="19" l="1"/>
  <c r="L100" i="19"/>
  <c r="L96" i="19"/>
  <c r="L97" i="19"/>
  <c r="K113" i="17"/>
  <c r="K113" i="16"/>
  <c r="K25" i="16"/>
  <c r="K119" i="17"/>
  <c r="K73" i="17"/>
  <c r="K73" i="16"/>
  <c r="K66" i="17"/>
  <c r="K66" i="16"/>
  <c r="K94" i="17"/>
  <c r="K94" i="16"/>
  <c r="K50" i="17"/>
  <c r="K50" i="16"/>
  <c r="K118" i="17"/>
  <c r="K52" i="16"/>
  <c r="K52" i="17"/>
  <c r="K83" i="17"/>
  <c r="K83" i="16"/>
  <c r="K45" i="17"/>
  <c r="K45" i="16"/>
  <c r="K89" i="17"/>
  <c r="K89" i="16"/>
  <c r="K39" i="17"/>
  <c r="K39" i="16"/>
  <c r="K99" i="17"/>
  <c r="K99" i="16"/>
  <c r="K120" i="17"/>
  <c r="K38" i="17"/>
  <c r="K38" i="16"/>
  <c r="K44" i="16"/>
  <c r="K44" i="17"/>
  <c r="K67" i="16"/>
  <c r="K67" i="17"/>
  <c r="K54" i="17"/>
  <c r="K54" i="16"/>
  <c r="K33" i="16"/>
  <c r="K33" i="17"/>
  <c r="K62" i="17"/>
  <c r="K62" i="16"/>
  <c r="K29" i="17"/>
  <c r="K29" i="16"/>
  <c r="K82" i="17"/>
  <c r="K82" i="16"/>
  <c r="K63" i="17"/>
  <c r="K63" i="16"/>
  <c r="K55" i="17"/>
  <c r="K55" i="16"/>
  <c r="K111" i="16"/>
  <c r="K111" i="17"/>
  <c r="K92" i="17"/>
  <c r="K92" i="16"/>
  <c r="K117" i="17"/>
  <c r="K117" i="16"/>
  <c r="K98" i="17"/>
  <c r="K98" i="16"/>
  <c r="K88" i="17"/>
  <c r="K88" i="16"/>
  <c r="L105" i="19"/>
  <c r="K128" i="17"/>
  <c r="K51" i="17"/>
  <c r="K51" i="16"/>
  <c r="K87" i="16"/>
  <c r="K87" i="17"/>
  <c r="K97" i="17"/>
  <c r="K97" i="16"/>
  <c r="K77" i="16"/>
  <c r="K77" i="17"/>
  <c r="K27" i="17"/>
  <c r="K27" i="16"/>
  <c r="K47" i="17"/>
  <c r="K47" i="16"/>
  <c r="K46" i="17"/>
  <c r="K46" i="16"/>
  <c r="K65" i="17"/>
  <c r="K65" i="16"/>
  <c r="K74" i="17"/>
  <c r="K74" i="16"/>
  <c r="K70" i="17"/>
  <c r="K70" i="16"/>
  <c r="K24" i="16"/>
  <c r="K112" i="16"/>
  <c r="K112" i="17"/>
  <c r="K36" i="17"/>
  <c r="K36" i="16"/>
  <c r="L102" i="19"/>
  <c r="K125" i="17"/>
  <c r="K86" i="16"/>
  <c r="K86" i="17"/>
  <c r="K75" i="17"/>
  <c r="K75" i="16"/>
  <c r="K53" i="16"/>
  <c r="K53" i="17"/>
  <c r="K28" i="17"/>
  <c r="K28" i="16"/>
  <c r="K96" i="16"/>
  <c r="K96" i="17"/>
  <c r="K68" i="16"/>
  <c r="K68" i="17"/>
  <c r="K123" i="17"/>
  <c r="K100" i="17"/>
  <c r="K100" i="16"/>
  <c r="K76" i="16"/>
  <c r="K76" i="17"/>
  <c r="K34" i="17"/>
  <c r="K34" i="16"/>
  <c r="K136" i="17"/>
  <c r="J58" i="19"/>
  <c r="I81" i="16" s="1"/>
  <c r="I83" i="17"/>
  <c r="I53" i="17"/>
  <c r="I53" i="16"/>
  <c r="J71" i="19"/>
  <c r="I94" i="16" s="1"/>
  <c r="I94" i="17"/>
  <c r="I46" i="17"/>
  <c r="I115" i="17"/>
  <c r="J49" i="19"/>
  <c r="I72" i="16" s="1"/>
  <c r="J96" i="19"/>
  <c r="I63" i="17"/>
  <c r="I72" i="17"/>
  <c r="I24" i="17"/>
  <c r="F50" i="2"/>
  <c r="I55" i="17"/>
  <c r="I120" i="17"/>
  <c r="I113" i="17"/>
  <c r="I55" i="16"/>
  <c r="I24" i="16"/>
  <c r="I89" i="17"/>
  <c r="J43" i="19"/>
  <c r="I65" i="16" s="1"/>
  <c r="I36" i="17"/>
  <c r="I68" i="17"/>
  <c r="I112" i="17"/>
  <c r="J57" i="19"/>
  <c r="I80" i="16" s="1"/>
  <c r="I111" i="17"/>
  <c r="J105" i="19"/>
  <c r="I37" i="17"/>
  <c r="J66" i="19"/>
  <c r="I89" i="16" s="1"/>
  <c r="I75" i="17"/>
  <c r="J52" i="19"/>
  <c r="I75" i="16" s="1"/>
  <c r="I113" i="16"/>
  <c r="I37" i="16"/>
  <c r="J41" i="19"/>
  <c r="I62" i="16" s="1"/>
  <c r="I97" i="17"/>
  <c r="J73" i="19"/>
  <c r="I96" i="16" s="1"/>
  <c r="I101" i="17"/>
  <c r="J63" i="19"/>
  <c r="I86" i="16" s="1"/>
  <c r="I28" i="17"/>
  <c r="J76" i="19"/>
  <c r="I99" i="16" s="1"/>
  <c r="J50" i="19"/>
  <c r="I73" i="16" s="1"/>
  <c r="J65" i="19"/>
  <c r="I88" i="16" s="1"/>
  <c r="I86" i="17"/>
  <c r="I77" i="17"/>
  <c r="I74" i="17"/>
  <c r="I25" i="16"/>
  <c r="J72" i="19"/>
  <c r="I95" i="16" s="1"/>
  <c r="I100" i="17"/>
  <c r="I28" i="16"/>
  <c r="I73" i="17"/>
  <c r="I43" i="16"/>
  <c r="I43" i="17"/>
  <c r="J44" i="19"/>
  <c r="I66" i="16" s="1"/>
  <c r="J95" i="19"/>
  <c r="J54" i="19"/>
  <c r="I77" i="16" s="1"/>
  <c r="I112" i="16"/>
  <c r="I46" i="16"/>
  <c r="J77" i="19"/>
  <c r="I100" i="16" s="1"/>
  <c r="I47" i="17"/>
  <c r="I54" i="16"/>
  <c r="I65" i="17"/>
  <c r="I118" i="17"/>
  <c r="I51" i="16"/>
  <c r="I47" i="16"/>
  <c r="I33" i="17"/>
  <c r="I96" i="17"/>
  <c r="I32" i="16"/>
  <c r="J74" i="19"/>
  <c r="I97" i="16" s="1"/>
  <c r="I76" i="16"/>
  <c r="I127" i="16"/>
  <c r="J51" i="19"/>
  <c r="I74" i="16" s="1"/>
  <c r="I87" i="17"/>
  <c r="I82" i="17"/>
  <c r="J64" i="19"/>
  <c r="I87" i="16" s="1"/>
  <c r="J59" i="19"/>
  <c r="I82" i="16" s="1"/>
  <c r="I44" i="16"/>
  <c r="I45" i="16"/>
  <c r="I44" i="17"/>
  <c r="I124" i="17"/>
  <c r="J68" i="19"/>
  <c r="I91" i="16" s="1"/>
  <c r="J75" i="19"/>
  <c r="I98" i="16" s="1"/>
  <c r="J92" i="19"/>
  <c r="J60" i="19"/>
  <c r="I83" i="16" s="1"/>
  <c r="I88" i="17"/>
  <c r="J78" i="19"/>
  <c r="I101" i="16" s="1"/>
  <c r="I70" i="17"/>
  <c r="J46" i="19"/>
  <c r="I68" i="16" s="1"/>
  <c r="I67" i="17"/>
  <c r="F49" i="2"/>
  <c r="J69" i="19"/>
  <c r="I92" i="16" s="1"/>
  <c r="I117" i="17"/>
  <c r="I34" i="17"/>
  <c r="J100" i="19"/>
  <c r="I39" i="16"/>
  <c r="J88" i="19"/>
  <c r="J48" i="19"/>
  <c r="I71" i="16" s="1"/>
  <c r="J56" i="19"/>
  <c r="I79" i="16" s="1"/>
  <c r="J45" i="19"/>
  <c r="I67" i="16" s="1"/>
  <c r="I27" i="16"/>
  <c r="I98" i="17"/>
  <c r="I39" i="17"/>
  <c r="I70" i="16"/>
  <c r="J102" i="19"/>
  <c r="I123" i="17"/>
  <c r="I52" i="16"/>
  <c r="I116" i="17"/>
  <c r="I50" i="17"/>
  <c r="I29" i="16"/>
  <c r="I62" i="17"/>
  <c r="J62" i="19"/>
  <c r="I85" i="16" s="1"/>
  <c r="J113" i="19"/>
  <c r="I119" i="17"/>
  <c r="J93" i="19"/>
  <c r="I125" i="17"/>
  <c r="I45" i="17"/>
  <c r="I34" i="16"/>
  <c r="J94" i="19"/>
  <c r="I32" i="17"/>
  <c r="J97" i="19"/>
  <c r="I124" i="16"/>
  <c r="I35" i="16"/>
  <c r="I22" i="23"/>
  <c r="K22" i="23"/>
  <c r="H20" i="19"/>
  <c r="G32" i="16" s="1"/>
  <c r="H30" i="19"/>
  <c r="H58" i="19"/>
  <c r="G81" i="16" s="1"/>
  <c r="H22" i="19"/>
  <c r="G34" i="16" s="1"/>
  <c r="K120" i="16" l="1"/>
  <c r="K123" i="16"/>
  <c r="K118" i="16"/>
  <c r="K119" i="16"/>
  <c r="K56" i="17"/>
  <c r="K41" i="17"/>
  <c r="K103" i="17"/>
  <c r="K48" i="17"/>
  <c r="K26" i="17"/>
  <c r="K30" i="17" s="1"/>
  <c r="K125" i="16"/>
  <c r="K137" i="17"/>
  <c r="K139" i="17" s="1"/>
  <c r="K121" i="17"/>
  <c r="K128" i="16"/>
  <c r="I119" i="16"/>
  <c r="I137" i="17"/>
  <c r="I128" i="16"/>
  <c r="I123" i="16"/>
  <c r="I118" i="16"/>
  <c r="I116" i="16"/>
  <c r="I136" i="17"/>
  <c r="I115" i="16"/>
  <c r="I125" i="16"/>
  <c r="I117" i="16"/>
  <c r="I92" i="17"/>
  <c r="I111" i="16"/>
  <c r="I120" i="16"/>
  <c r="I38" i="16"/>
  <c r="H97" i="19"/>
  <c r="H26" i="19"/>
  <c r="G38" i="16" s="1"/>
  <c r="K58" i="17" l="1"/>
  <c r="K107" i="17" s="1"/>
  <c r="I26" i="23"/>
  <c r="I21" i="23" l="1"/>
  <c r="K21" i="23"/>
  <c r="M39" i="13"/>
  <c r="I36" i="16" l="1"/>
  <c r="F43" i="40"/>
  <c r="F35" i="40"/>
  <c r="F22" i="40"/>
  <c r="F16" i="40"/>
  <c r="E47" i="39"/>
  <c r="E38" i="39"/>
  <c r="E28" i="39"/>
  <c r="E22" i="39"/>
  <c r="F24" i="40" l="1"/>
  <c r="F46" i="40" s="1"/>
  <c r="E30" i="39"/>
  <c r="E50" i="39" s="1"/>
  <c r="H89" i="19" l="1"/>
  <c r="Z33" i="43" l="1"/>
  <c r="C65" i="34" l="1"/>
  <c r="Z36" i="43" l="1"/>
  <c r="Z26" i="43"/>
  <c r="Z24" i="43"/>
  <c r="Z23" i="43"/>
  <c r="Z22" i="43"/>
  <c r="G22" i="23" l="1"/>
  <c r="G26" i="34"/>
  <c r="G48" i="34"/>
  <c r="G53" i="34"/>
  <c r="G16" i="34"/>
  <c r="M16" i="34" s="1"/>
  <c r="H25" i="45" l="1"/>
  <c r="H24" i="45"/>
  <c r="H22" i="45"/>
  <c r="H21" i="45"/>
  <c r="H20" i="45"/>
  <c r="H19" i="45"/>
  <c r="H18" i="45"/>
  <c r="H17" i="45"/>
  <c r="H16" i="45"/>
  <c r="H15" i="45"/>
  <c r="H14" i="45"/>
  <c r="H13" i="45"/>
  <c r="G13" i="45"/>
  <c r="H11" i="45"/>
  <c r="H56" i="44"/>
  <c r="H55" i="44"/>
  <c r="H54" i="44"/>
  <c r="H53" i="44"/>
  <c r="H52" i="44"/>
  <c r="H51" i="44"/>
  <c r="H50" i="44"/>
  <c r="H49" i="44"/>
  <c r="G49" i="44"/>
  <c r="H48" i="44"/>
  <c r="G48" i="44"/>
  <c r="H45" i="44"/>
  <c r="H44" i="44"/>
  <c r="H43" i="44"/>
  <c r="H42" i="44"/>
  <c r="H41" i="44"/>
  <c r="H40" i="44"/>
  <c r="H39" i="44"/>
  <c r="H38" i="44"/>
  <c r="H37" i="44"/>
  <c r="H36" i="44"/>
  <c r="H35" i="44"/>
  <c r="H34" i="44"/>
  <c r="G34" i="44"/>
  <c r="H32" i="44"/>
  <c r="H31" i="44"/>
  <c r="G31" i="44"/>
  <c r="H29" i="44"/>
  <c r="G29" i="44"/>
  <c r="H28" i="44"/>
  <c r="H27" i="44"/>
  <c r="G27" i="44"/>
  <c r="H26" i="44"/>
  <c r="G26" i="44"/>
  <c r="H25" i="44"/>
  <c r="G25" i="44"/>
  <c r="H24" i="44"/>
  <c r="G24" i="44"/>
  <c r="H23" i="44"/>
  <c r="G23" i="44"/>
  <c r="H22" i="44"/>
  <c r="H21" i="44"/>
  <c r="G21" i="44"/>
  <c r="H20" i="44"/>
  <c r="G19" i="44"/>
  <c r="H18" i="44"/>
  <c r="H17" i="44"/>
  <c r="H16" i="44"/>
  <c r="H15" i="44"/>
  <c r="G15" i="44"/>
  <c r="G13" i="44"/>
  <c r="M42" i="25" l="1"/>
  <c r="M46" i="25" s="1"/>
  <c r="I51" i="23" l="1"/>
  <c r="I77" i="23"/>
  <c r="H57" i="19"/>
  <c r="G80" i="16" s="1"/>
  <c r="H41" i="19"/>
  <c r="G62" i="16" s="1"/>
  <c r="I55" i="23"/>
  <c r="I20" i="23"/>
  <c r="H33" i="19"/>
  <c r="G46" i="16" s="1"/>
  <c r="H25" i="19"/>
  <c r="G37" i="16" s="1"/>
  <c r="H74" i="19"/>
  <c r="H78" i="19"/>
  <c r="H27" i="19"/>
  <c r="H49" i="19"/>
  <c r="H71" i="19"/>
  <c r="I43" i="23"/>
  <c r="H72" i="19"/>
  <c r="I44" i="23"/>
  <c r="I25" i="23"/>
  <c r="G43" i="16" s="1"/>
  <c r="H34" i="19"/>
  <c r="I49" i="23"/>
  <c r="H32" i="19"/>
  <c r="G45" i="16" s="1"/>
  <c r="I52" i="23"/>
  <c r="AL74" i="25"/>
  <c r="I74" i="23"/>
  <c r="H24" i="19"/>
  <c r="G36" i="16" s="1"/>
  <c r="I84" i="23"/>
  <c r="H21" i="19"/>
  <c r="H76" i="19"/>
  <c r="G99" i="16" s="1"/>
  <c r="H104" i="19"/>
  <c r="G127" i="16" s="1"/>
  <c r="I57" i="23"/>
  <c r="H31" i="19"/>
  <c r="G44" i="16" s="1"/>
  <c r="H70" i="19"/>
  <c r="H114" i="19"/>
  <c r="H75" i="19"/>
  <c r="I54" i="23"/>
  <c r="I27" i="23"/>
  <c r="H53" i="19"/>
  <c r="AL76" i="21"/>
  <c r="H52" i="19"/>
  <c r="H95" i="19"/>
  <c r="H44" i="19"/>
  <c r="G66" i="16" s="1"/>
  <c r="H79" i="19"/>
  <c r="G102" i="16" s="1"/>
  <c r="I39" i="23"/>
  <c r="I30" i="23"/>
  <c r="G53" i="16" s="1"/>
  <c r="H73" i="19"/>
  <c r="G96" i="16" s="1"/>
  <c r="H60" i="19"/>
  <c r="W10" i="41"/>
  <c r="Y10" i="41" s="1"/>
  <c r="I10" i="41"/>
  <c r="O10" i="41" s="1"/>
  <c r="G10" i="41"/>
  <c r="M10" i="41" s="1"/>
  <c r="S10" i="41" s="1"/>
  <c r="E10" i="41"/>
  <c r="K10" i="41" s="1"/>
  <c r="Q10" i="41" s="1"/>
  <c r="A6" i="41"/>
  <c r="M10" i="40"/>
  <c r="AA10" i="41" s="1"/>
  <c r="C22" i="39"/>
  <c r="C28" i="39"/>
  <c r="C38" i="39"/>
  <c r="C47" i="39"/>
  <c r="B5" i="36"/>
  <c r="G33" i="16" l="1"/>
  <c r="G47" i="16"/>
  <c r="G75" i="16"/>
  <c r="G94" i="16"/>
  <c r="G97" i="16"/>
  <c r="G76" i="16"/>
  <c r="H17" i="19"/>
  <c r="G27" i="17"/>
  <c r="G39" i="17"/>
  <c r="G39" i="16"/>
  <c r="J82" i="19"/>
  <c r="K20" i="23"/>
  <c r="I78" i="23"/>
  <c r="G120" i="16" s="1"/>
  <c r="I37" i="23"/>
  <c r="G63" i="16" s="1"/>
  <c r="I73" i="23"/>
  <c r="I58" i="23"/>
  <c r="G98" i="16" s="1"/>
  <c r="I83" i="23"/>
  <c r="I27" i="17"/>
  <c r="I42" i="23"/>
  <c r="I46" i="23"/>
  <c r="I69" i="23"/>
  <c r="H66" i="19"/>
  <c r="G89" i="16" s="1"/>
  <c r="H59" i="19"/>
  <c r="I81" i="23"/>
  <c r="I56" i="23"/>
  <c r="G95" i="16" s="1"/>
  <c r="I70" i="23"/>
  <c r="G112" i="16" s="1"/>
  <c r="H92" i="19"/>
  <c r="H96" i="19"/>
  <c r="G119" i="16" s="1"/>
  <c r="I60" i="23"/>
  <c r="G101" i="16" s="1"/>
  <c r="H54" i="19"/>
  <c r="H101" i="19"/>
  <c r="H23" i="19"/>
  <c r="G35" i="16" s="1"/>
  <c r="H94" i="19"/>
  <c r="H46" i="19"/>
  <c r="G68" i="16" s="1"/>
  <c r="H62" i="19"/>
  <c r="G85" i="16" s="1"/>
  <c r="I59" i="23"/>
  <c r="I41" i="23"/>
  <c r="G72" i="16" s="1"/>
  <c r="I47" i="23"/>
  <c r="G83" i="16" s="1"/>
  <c r="H102" i="19"/>
  <c r="H63" i="19"/>
  <c r="G86" i="16" s="1"/>
  <c r="H105" i="19"/>
  <c r="G128" i="16" s="1"/>
  <c r="H88" i="19"/>
  <c r="H45" i="19"/>
  <c r="G67" i="16" s="1"/>
  <c r="I71" i="23"/>
  <c r="H69" i="19"/>
  <c r="G92" i="16" s="1"/>
  <c r="H93" i="19"/>
  <c r="G116" i="16" s="1"/>
  <c r="H68" i="19"/>
  <c r="G91" i="16" s="1"/>
  <c r="H65" i="19"/>
  <c r="G88" i="16" s="1"/>
  <c r="I45" i="23"/>
  <c r="I82" i="23"/>
  <c r="H113" i="19"/>
  <c r="I63" i="23"/>
  <c r="H90" i="19"/>
  <c r="H51" i="19"/>
  <c r="G74" i="16" s="1"/>
  <c r="H48" i="19"/>
  <c r="G71" i="16" s="1"/>
  <c r="H56" i="19"/>
  <c r="G79" i="16" s="1"/>
  <c r="H100" i="19"/>
  <c r="I50" i="23"/>
  <c r="H64" i="19"/>
  <c r="G87" i="16" s="1"/>
  <c r="H50" i="19"/>
  <c r="G73" i="16" s="1"/>
  <c r="I76" i="23"/>
  <c r="G118" i="16" s="1"/>
  <c r="H77" i="19"/>
  <c r="I75" i="23"/>
  <c r="H43" i="19"/>
  <c r="G65" i="16" s="1"/>
  <c r="C30" i="39"/>
  <c r="C50" i="39" s="1"/>
  <c r="C52" i="39" s="1"/>
  <c r="E12" i="39" s="1"/>
  <c r="E52" i="39" s="1"/>
  <c r="G12" i="39" s="1"/>
  <c r="G52" i="39" s="1"/>
  <c r="I12" i="39" s="1"/>
  <c r="I52" i="39" s="1"/>
  <c r="A7" i="31"/>
  <c r="A6" i="32" s="1"/>
  <c r="A6" i="33" s="1"/>
  <c r="G123" i="16" l="1"/>
  <c r="G100" i="16"/>
  <c r="G115" i="16"/>
  <c r="G125" i="16"/>
  <c r="G77" i="16"/>
  <c r="G113" i="16"/>
  <c r="G111" i="16"/>
  <c r="G117" i="16"/>
  <c r="G124" i="16"/>
  <c r="G82" i="16"/>
  <c r="I33" i="16"/>
  <c r="J17" i="19"/>
  <c r="G55" i="44" l="1"/>
  <c r="G54" i="44"/>
  <c r="G53" i="44"/>
  <c r="Z31" i="43" l="1"/>
  <c r="E9" i="45" l="1"/>
  <c r="X95" i="18" l="1"/>
  <c r="D43" i="40" l="1"/>
  <c r="M42" i="40"/>
  <c r="M39" i="40"/>
  <c r="M38" i="40"/>
  <c r="M34" i="40"/>
  <c r="M33" i="40"/>
  <c r="M32" i="40"/>
  <c r="M31" i="40"/>
  <c r="M29" i="40"/>
  <c r="M28" i="40"/>
  <c r="M21" i="40"/>
  <c r="M20" i="40"/>
  <c r="M19" i="40"/>
  <c r="M15" i="40"/>
  <c r="L46" i="39"/>
  <c r="L45" i="39"/>
  <c r="L44" i="39"/>
  <c r="L42" i="39"/>
  <c r="L41" i="39"/>
  <c r="L37" i="39"/>
  <c r="L35" i="39"/>
  <c r="L34" i="39"/>
  <c r="L27" i="39"/>
  <c r="L26" i="39"/>
  <c r="L25" i="39"/>
  <c r="L16" i="39"/>
  <c r="L17" i="39"/>
  <c r="L18" i="39"/>
  <c r="L19" i="39"/>
  <c r="L20" i="39"/>
  <c r="L21" i="39"/>
  <c r="L12" i="39"/>
  <c r="M189" i="42" l="1"/>
  <c r="Q60" i="25" l="1"/>
  <c r="M41" i="40" l="1"/>
  <c r="G7" i="45" l="1"/>
  <c r="C7" i="45"/>
  <c r="G200" i="42" l="1"/>
  <c r="AA20" i="22"/>
  <c r="L37" i="43" l="1"/>
  <c r="Z20" i="43" l="1"/>
  <c r="I25" i="45" l="1"/>
  <c r="I23" i="45"/>
  <c r="I24" i="45"/>
  <c r="I19" i="45"/>
  <c r="I22" i="45"/>
  <c r="I21" i="45"/>
  <c r="I20" i="45"/>
  <c r="I18" i="45"/>
  <c r="I17" i="45"/>
  <c r="I16" i="45"/>
  <c r="I15" i="45"/>
  <c r="I14" i="45"/>
  <c r="I13" i="45"/>
  <c r="H26" i="45"/>
  <c r="I11" i="45"/>
  <c r="E19" i="45"/>
  <c r="E25" i="45"/>
  <c r="E21" i="45"/>
  <c r="E20" i="45"/>
  <c r="E18" i="45"/>
  <c r="E17" i="45"/>
  <c r="E16" i="45"/>
  <c r="E15" i="45"/>
  <c r="E14" i="45"/>
  <c r="E13" i="45"/>
  <c r="X92" i="18" l="1"/>
  <c r="G26" i="45"/>
  <c r="I12" i="45"/>
  <c r="I26" i="45" l="1"/>
  <c r="E12" i="45"/>
  <c r="E11" i="45"/>
  <c r="I28" i="45"/>
  <c r="I41" i="44" l="1"/>
  <c r="I47" i="44"/>
  <c r="I42" i="44"/>
  <c r="I56" i="44"/>
  <c r="I55" i="44"/>
  <c r="I54" i="44"/>
  <c r="I53" i="44"/>
  <c r="I49" i="44"/>
  <c r="I48" i="44"/>
  <c r="I37" i="44"/>
  <c r="I35" i="44"/>
  <c r="I34" i="44"/>
  <c r="I31" i="44"/>
  <c r="I29" i="44"/>
  <c r="I28" i="44"/>
  <c r="I27" i="44"/>
  <c r="I26" i="44"/>
  <c r="I25" i="44"/>
  <c r="I24" i="44"/>
  <c r="I23" i="44"/>
  <c r="I21" i="44"/>
  <c r="I17" i="44"/>
  <c r="I15" i="44"/>
  <c r="I52" i="44"/>
  <c r="I51" i="44"/>
  <c r="I50" i="44"/>
  <c r="I45" i="44"/>
  <c r="I44" i="44"/>
  <c r="I43" i="44"/>
  <c r="I40" i="44"/>
  <c r="I39" i="44"/>
  <c r="I38" i="44"/>
  <c r="I36" i="44"/>
  <c r="I32" i="44"/>
  <c r="I30" i="44"/>
  <c r="I22" i="44"/>
  <c r="I20" i="44"/>
  <c r="I19" i="44"/>
  <c r="I18" i="44"/>
  <c r="I16" i="44"/>
  <c r="I13" i="44"/>
  <c r="I12" i="44"/>
  <c r="I11" i="44"/>
  <c r="E55" i="44"/>
  <c r="E54" i="44"/>
  <c r="E53" i="44"/>
  <c r="E49" i="44"/>
  <c r="E48" i="44"/>
  <c r="E37" i="44"/>
  <c r="E35" i="44"/>
  <c r="E34" i="44"/>
  <c r="E31" i="44"/>
  <c r="E29" i="44"/>
  <c r="E28" i="44"/>
  <c r="E27" i="44"/>
  <c r="E26" i="44"/>
  <c r="E25" i="44"/>
  <c r="E24" i="44"/>
  <c r="E23" i="44"/>
  <c r="E21" i="44"/>
  <c r="E17" i="44"/>
  <c r="E59" i="44"/>
  <c r="E20" i="44"/>
  <c r="E42" i="44"/>
  <c r="E56" i="44"/>
  <c r="E50" i="44"/>
  <c r="E52" i="44"/>
  <c r="E51" i="44"/>
  <c r="E47" i="44"/>
  <c r="E45" i="44"/>
  <c r="E44" i="44"/>
  <c r="E43" i="44"/>
  <c r="E40" i="44"/>
  <c r="E39" i="44"/>
  <c r="E38" i="44"/>
  <c r="E36" i="44"/>
  <c r="E32" i="44"/>
  <c r="E30" i="44"/>
  <c r="E22" i="44"/>
  <c r="E16" i="44"/>
  <c r="E18" i="44"/>
  <c r="E15" i="44"/>
  <c r="E13" i="44"/>
  <c r="E12" i="44"/>
  <c r="E11" i="44"/>
  <c r="I14" i="44" l="1"/>
  <c r="E14" i="44"/>
  <c r="E46" i="44"/>
  <c r="E33" i="44"/>
  <c r="I46" i="44"/>
  <c r="D57" i="44"/>
  <c r="E19" i="44"/>
  <c r="H57" i="44"/>
  <c r="M43" i="40" l="1"/>
  <c r="L92" i="18" l="1"/>
  <c r="E41" i="10" l="1"/>
  <c r="F33" i="19" l="1"/>
  <c r="C41" i="10"/>
  <c r="F23" i="19" l="1"/>
  <c r="E35" i="17"/>
  <c r="E25" i="41"/>
  <c r="G26" i="23" l="1"/>
  <c r="E123" i="17"/>
  <c r="E35" i="16"/>
  <c r="E63" i="17"/>
  <c r="E22" i="16"/>
  <c r="E22" i="17"/>
  <c r="Z16" i="43"/>
  <c r="X17" i="43"/>
  <c r="V17" i="43"/>
  <c r="T17" i="43"/>
  <c r="R17" i="43"/>
  <c r="P17" i="43"/>
  <c r="N17" i="43"/>
  <c r="L17" i="43"/>
  <c r="J17" i="43"/>
  <c r="H17" i="43"/>
  <c r="F17" i="43"/>
  <c r="D17" i="43"/>
  <c r="B17" i="43"/>
  <c r="P22" i="18" l="1"/>
  <c r="P26" i="18" l="1"/>
  <c r="P92" i="18"/>
  <c r="P36" i="18"/>
  <c r="P43" i="18"/>
  <c r="P51" i="18"/>
  <c r="P110" i="18"/>
  <c r="P116" i="18" s="1"/>
  <c r="P53" i="18" l="1"/>
  <c r="W35" i="41" l="1"/>
  <c r="AC9" i="21" l="1"/>
  <c r="D25" i="32" l="1"/>
  <c r="C28" i="31"/>
  <c r="E21" i="17"/>
  <c r="E21" i="16"/>
  <c r="H30" i="45"/>
  <c r="D104" i="19" l="1"/>
  <c r="F20" i="19"/>
  <c r="F30" i="19"/>
  <c r="H61" i="44"/>
  <c r="D61" i="44"/>
  <c r="F73" i="19" l="1"/>
  <c r="F96" i="19"/>
  <c r="F34" i="19"/>
  <c r="AF92" i="18"/>
  <c r="E92" i="17"/>
  <c r="E128" i="17"/>
  <c r="F76" i="19"/>
  <c r="E99" i="16" s="1"/>
  <c r="F26" i="19"/>
  <c r="AK31" i="18"/>
  <c r="F70" i="19"/>
  <c r="E97" i="17"/>
  <c r="F25" i="19"/>
  <c r="AK79" i="18"/>
  <c r="F57" i="2"/>
  <c r="F27" i="19"/>
  <c r="E95" i="17"/>
  <c r="F64" i="19"/>
  <c r="E87" i="16" s="1"/>
  <c r="AE39" i="17"/>
  <c r="F21" i="19"/>
  <c r="F54" i="19"/>
  <c r="AG104" i="19"/>
  <c r="AL104" i="19" s="1"/>
  <c r="AK42" i="18"/>
  <c r="F75" i="19"/>
  <c r="F62" i="19"/>
  <c r="F100" i="19"/>
  <c r="F51" i="19"/>
  <c r="E91" i="17"/>
  <c r="F24" i="19"/>
  <c r="R32" i="11"/>
  <c r="F104" i="19"/>
  <c r="AD104" i="19" s="1"/>
  <c r="J40" i="2" s="1"/>
  <c r="AJ76" i="21"/>
  <c r="F32" i="19"/>
  <c r="E45" i="16" s="1"/>
  <c r="AL70" i="20"/>
  <c r="F45" i="19"/>
  <c r="F68" i="19"/>
  <c r="F17" i="19"/>
  <c r="F53" i="19"/>
  <c r="F48" i="19"/>
  <c r="E71" i="16" s="1"/>
  <c r="E71" i="17"/>
  <c r="F58" i="19"/>
  <c r="E81" i="16" s="1"/>
  <c r="E81" i="17"/>
  <c r="F59" i="19"/>
  <c r="F22" i="19"/>
  <c r="E34" i="17"/>
  <c r="F56" i="19"/>
  <c r="E79" i="16" s="1"/>
  <c r="E79" i="17"/>
  <c r="F92" i="19"/>
  <c r="F79" i="19"/>
  <c r="E102" i="16" s="1"/>
  <c r="E102" i="17"/>
  <c r="F97" i="19"/>
  <c r="F57" i="19"/>
  <c r="E80" i="16" s="1"/>
  <c r="E80" i="17"/>
  <c r="F89" i="19"/>
  <c r="E23" i="16"/>
  <c r="E23" i="17"/>
  <c r="E99" i="17"/>
  <c r="E53" i="17"/>
  <c r="E24" i="16"/>
  <c r="E24" i="17"/>
  <c r="E33" i="17"/>
  <c r="E87" i="17"/>
  <c r="E50" i="16"/>
  <c r="E50" i="17"/>
  <c r="E65" i="17"/>
  <c r="E32" i="17"/>
  <c r="E43" i="17"/>
  <c r="E54" i="16"/>
  <c r="E54" i="17"/>
  <c r="E52" i="17"/>
  <c r="E52" i="16"/>
  <c r="E47" i="17"/>
  <c r="P96" i="18"/>
  <c r="P119" i="18" s="1"/>
  <c r="G32" i="10" l="1"/>
  <c r="K32" i="10" s="1"/>
  <c r="G105" i="17"/>
  <c r="G20" i="23"/>
  <c r="E33" i="16" s="1"/>
  <c r="E89" i="17"/>
  <c r="AI46" i="23"/>
  <c r="G49" i="23"/>
  <c r="E85" i="16" s="1"/>
  <c r="G25" i="23"/>
  <c r="E43" i="16" s="1"/>
  <c r="E127" i="16"/>
  <c r="E137" i="17"/>
  <c r="AG41" i="22"/>
  <c r="E70" i="16"/>
  <c r="E75" i="17"/>
  <c r="N57" i="2"/>
  <c r="G60" i="23"/>
  <c r="AA47" i="22"/>
  <c r="G57" i="23"/>
  <c r="G30" i="23"/>
  <c r="E53" i="16" s="1"/>
  <c r="AI84" i="23"/>
  <c r="AA26" i="22"/>
  <c r="G51" i="23"/>
  <c r="G81" i="23"/>
  <c r="E123" i="16" s="1"/>
  <c r="AE55" i="16"/>
  <c r="AD53" i="15" s="1"/>
  <c r="AE85" i="17"/>
  <c r="AI41" i="22"/>
  <c r="E82" i="17"/>
  <c r="E74" i="16"/>
  <c r="G78" i="23"/>
  <c r="E120" i="16" s="1"/>
  <c r="G46" i="23"/>
  <c r="E72" i="17"/>
  <c r="G84" i="23"/>
  <c r="G54" i="23"/>
  <c r="E91" i="16" s="1"/>
  <c r="G21" i="23"/>
  <c r="E36" i="16" s="1"/>
  <c r="G27" i="23"/>
  <c r="E47" i="16" s="1"/>
  <c r="G69" i="23"/>
  <c r="AL91" i="24"/>
  <c r="G75" i="23"/>
  <c r="G59" i="23"/>
  <c r="G39" i="23"/>
  <c r="G44" i="23"/>
  <c r="I94" i="23"/>
  <c r="E76" i="17"/>
  <c r="G77" i="23"/>
  <c r="E119" i="16" s="1"/>
  <c r="H82" i="19"/>
  <c r="G105" i="16" s="1"/>
  <c r="F50" i="19"/>
  <c r="E73" i="16" s="1"/>
  <c r="F105" i="19"/>
  <c r="E45" i="17"/>
  <c r="E28" i="17"/>
  <c r="E32" i="16"/>
  <c r="E39" i="16"/>
  <c r="E96" i="16"/>
  <c r="F66" i="19"/>
  <c r="F71" i="19"/>
  <c r="F65" i="19"/>
  <c r="E67" i="17"/>
  <c r="E77" i="17"/>
  <c r="E86" i="17"/>
  <c r="E68" i="17"/>
  <c r="E55" i="17"/>
  <c r="E29" i="17"/>
  <c r="E55" i="16"/>
  <c r="E40" i="16"/>
  <c r="E29" i="16"/>
  <c r="E40" i="17"/>
  <c r="E36" i="17"/>
  <c r="G37" i="23"/>
  <c r="E63" i="16" s="1"/>
  <c r="E67" i="16"/>
  <c r="F77" i="19"/>
  <c r="F52" i="19"/>
  <c r="E37" i="16"/>
  <c r="F44" i="19"/>
  <c r="E66" i="16" s="1"/>
  <c r="E73" i="17"/>
  <c r="E46" i="16"/>
  <c r="E39" i="17"/>
  <c r="E96" i="17"/>
  <c r="G52" i="23"/>
  <c r="E100" i="17"/>
  <c r="E66" i="17"/>
  <c r="E101" i="17"/>
  <c r="E98" i="17"/>
  <c r="E37" i="17"/>
  <c r="E46" i="17"/>
  <c r="E127" i="17"/>
  <c r="F60" i="19"/>
  <c r="E28" i="16"/>
  <c r="F90" i="19"/>
  <c r="F49" i="19"/>
  <c r="F74" i="19"/>
  <c r="G63" i="23"/>
  <c r="F41" i="19"/>
  <c r="E62" i="16" s="1"/>
  <c r="F63" i="19"/>
  <c r="E86" i="16" s="1"/>
  <c r="F94" i="19"/>
  <c r="E85" i="17"/>
  <c r="E83" i="17"/>
  <c r="E25" i="16"/>
  <c r="E94" i="17"/>
  <c r="E25" i="17"/>
  <c r="E38" i="17"/>
  <c r="E38" i="16"/>
  <c r="E88" i="17"/>
  <c r="E51" i="16"/>
  <c r="E51" i="17"/>
  <c r="F72" i="19"/>
  <c r="F69" i="19"/>
  <c r="E92" i="16" s="1"/>
  <c r="F46" i="19"/>
  <c r="E68" i="16" s="1"/>
  <c r="F43" i="19"/>
  <c r="F78" i="19"/>
  <c r="F31" i="19"/>
  <c r="E44" i="16" s="1"/>
  <c r="E44" i="17"/>
  <c r="G42" i="23"/>
  <c r="F102" i="19"/>
  <c r="F114" i="19"/>
  <c r="F101" i="19"/>
  <c r="F113" i="19"/>
  <c r="F82" i="19"/>
  <c r="E62" i="17"/>
  <c r="E27" i="17"/>
  <c r="F93" i="19"/>
  <c r="E116" i="17"/>
  <c r="F88" i="19"/>
  <c r="E111" i="17"/>
  <c r="F95" i="19"/>
  <c r="E118" i="17"/>
  <c r="E34" i="16"/>
  <c r="E120" i="17"/>
  <c r="E113" i="17"/>
  <c r="E115" i="17"/>
  <c r="E117" i="17"/>
  <c r="E125" i="17"/>
  <c r="E119" i="17"/>
  <c r="E124" i="17"/>
  <c r="E112" i="17"/>
  <c r="AJ104" i="19"/>
  <c r="P133" i="18"/>
  <c r="P137" i="18" s="1"/>
  <c r="Z15" i="43"/>
  <c r="Z17" i="43" s="1"/>
  <c r="Z27" i="43"/>
  <c r="AA51" i="22" l="1"/>
  <c r="AA62" i="22" s="1"/>
  <c r="AA74" i="22" s="1"/>
  <c r="E101" i="16"/>
  <c r="I92" i="23"/>
  <c r="I93" i="23"/>
  <c r="G92" i="23"/>
  <c r="E88" i="16"/>
  <c r="E97" i="16"/>
  <c r="E105" i="17"/>
  <c r="E70" i="17"/>
  <c r="G47" i="23"/>
  <c r="E83" i="16" s="1"/>
  <c r="G74" i="23"/>
  <c r="E116" i="16" s="1"/>
  <c r="G94" i="23"/>
  <c r="E128" i="16"/>
  <c r="G41" i="23"/>
  <c r="E72" i="16" s="1"/>
  <c r="G82" i="23"/>
  <c r="E124" i="16" s="1"/>
  <c r="G58" i="23"/>
  <c r="E98" i="16" s="1"/>
  <c r="G73" i="23"/>
  <c r="E115" i="16" s="1"/>
  <c r="G45" i="23"/>
  <c r="E77" i="16" s="1"/>
  <c r="E76" i="16"/>
  <c r="E82" i="16"/>
  <c r="E74" i="17"/>
  <c r="G70" i="23"/>
  <c r="E112" i="16" s="1"/>
  <c r="G71" i="23"/>
  <c r="E113" i="16" s="1"/>
  <c r="G43" i="23"/>
  <c r="E75" i="16" s="1"/>
  <c r="G83" i="23"/>
  <c r="E125" i="16" s="1"/>
  <c r="G76" i="23"/>
  <c r="E118" i="16" s="1"/>
  <c r="E100" i="16"/>
  <c r="G93" i="23"/>
  <c r="G56" i="23"/>
  <c r="E95" i="16" s="1"/>
  <c r="G50" i="23"/>
  <c r="G55" i="23"/>
  <c r="E94" i="16" s="1"/>
  <c r="E89" i="16"/>
  <c r="E117" i="16"/>
  <c r="E65" i="16"/>
  <c r="E136" i="17"/>
  <c r="E111" i="16"/>
  <c r="Z25" i="37" l="1"/>
  <c r="E105" i="16"/>
  <c r="I105" i="17" l="1"/>
  <c r="I105" i="16"/>
  <c r="B6" i="24"/>
  <c r="R33" i="11" l="1"/>
  <c r="J33" i="37" l="1"/>
  <c r="M25" i="41"/>
  <c r="P35" i="19" l="1"/>
  <c r="P98" i="20"/>
  <c r="P105" i="20" s="1"/>
  <c r="P114" i="20"/>
  <c r="K25" i="41"/>
  <c r="I121" i="17" l="1"/>
  <c r="I130" i="17" s="1"/>
  <c r="Y23" i="26" l="1"/>
  <c r="J54" i="15" l="1"/>
  <c r="H54" i="15"/>
  <c r="X24" i="22" l="1"/>
  <c r="V24" i="22"/>
  <c r="R24" i="22"/>
  <c r="Y56" i="16" l="1"/>
  <c r="Y56" i="17"/>
  <c r="Z51" i="18" l="1"/>
  <c r="M12" i="40" l="1"/>
  <c r="X51" i="18" l="1"/>
  <c r="W33" i="26"/>
  <c r="M22" i="40"/>
  <c r="D37" i="43"/>
  <c r="Z35" i="43"/>
  <c r="AI76" i="18" l="1"/>
  <c r="AK76" i="18" s="1"/>
  <c r="W56" i="16"/>
  <c r="W56" i="17"/>
  <c r="D21" i="19" l="1"/>
  <c r="D34" i="19"/>
  <c r="D58" i="19"/>
  <c r="T51" i="18" l="1"/>
  <c r="C25" i="16"/>
  <c r="I139" i="17" l="1"/>
  <c r="P24" i="22"/>
  <c r="S56" i="17" l="1"/>
  <c r="S56" i="16"/>
  <c r="AC9" i="20"/>
  <c r="AE28" i="16" l="1"/>
  <c r="AE55" i="17"/>
  <c r="D24" i="22"/>
  <c r="R21" i="15"/>
  <c r="P21" i="15"/>
  <c r="N21" i="15"/>
  <c r="L21" i="15"/>
  <c r="J21" i="15"/>
  <c r="H21" i="15"/>
  <c r="X22" i="18"/>
  <c r="T22" i="18"/>
  <c r="F51" i="18" l="1"/>
  <c r="Y95" i="24"/>
  <c r="M193" i="42" l="1"/>
  <c r="T24" i="22" l="1"/>
  <c r="M190" i="42"/>
  <c r="AC36" i="18" l="1"/>
  <c r="D56" i="19"/>
  <c r="D25" i="19"/>
  <c r="D59" i="19"/>
  <c r="AG27" i="19"/>
  <c r="AE39" i="16" s="1"/>
  <c r="D79" i="19"/>
  <c r="D72" i="19"/>
  <c r="D77" i="19"/>
  <c r="D113" i="19"/>
  <c r="D54" i="19"/>
  <c r="D45" i="32"/>
  <c r="D44" i="19"/>
  <c r="D32" i="19"/>
  <c r="D60" i="19"/>
  <c r="D27" i="19"/>
  <c r="AJ27" i="20"/>
  <c r="AL27" i="20" s="1"/>
  <c r="D68" i="19"/>
  <c r="D22" i="19"/>
  <c r="AI35" i="18"/>
  <c r="AK35" i="18" s="1"/>
  <c r="F36" i="15"/>
  <c r="X36" i="15" s="1"/>
  <c r="D43" i="19"/>
  <c r="D90" i="19"/>
  <c r="D31" i="19"/>
  <c r="D33" i="19"/>
  <c r="C55" i="16"/>
  <c r="AI34" i="18"/>
  <c r="F35" i="15"/>
  <c r="D17" i="32"/>
  <c r="D48" i="19"/>
  <c r="D78" i="19"/>
  <c r="D52" i="19"/>
  <c r="D23" i="19"/>
  <c r="D95" i="19"/>
  <c r="D46" i="19"/>
  <c r="D26" i="19"/>
  <c r="D76" i="19"/>
  <c r="D88" i="19"/>
  <c r="AE40" i="17"/>
  <c r="AE40" i="16"/>
  <c r="AD36" i="15" s="1"/>
  <c r="D24" i="19"/>
  <c r="D53" i="19"/>
  <c r="D74" i="19"/>
  <c r="D62" i="19"/>
  <c r="D30" i="19"/>
  <c r="D63" i="19"/>
  <c r="D70" i="19"/>
  <c r="AD70" i="19" s="1"/>
  <c r="D41" i="19"/>
  <c r="D20" i="19"/>
  <c r="D105" i="19"/>
  <c r="D57" i="19"/>
  <c r="D65" i="19"/>
  <c r="AK34" i="18"/>
  <c r="D50" i="19"/>
  <c r="D75" i="19"/>
  <c r="D71" i="19"/>
  <c r="C22" i="17"/>
  <c r="D102" i="19"/>
  <c r="D101" i="19"/>
  <c r="D17" i="19"/>
  <c r="B24" i="22"/>
  <c r="D82" i="19"/>
  <c r="V22" i="18"/>
  <c r="V51" i="18"/>
  <c r="H21" i="36"/>
  <c r="AD20" i="19" l="1"/>
  <c r="AD27" i="19"/>
  <c r="J35" i="15" s="1"/>
  <c r="X35" i="15" s="1"/>
  <c r="V35" i="15"/>
  <c r="AD113" i="19"/>
  <c r="AH36" i="15"/>
  <c r="AJ36" i="15" s="1"/>
  <c r="AD35" i="15"/>
  <c r="C39" i="17"/>
  <c r="AB39" i="17" s="1"/>
  <c r="AH39" i="17" s="1"/>
  <c r="AJ39" i="17" s="1"/>
  <c r="D48" i="32"/>
  <c r="D73" i="19"/>
  <c r="D93" i="19"/>
  <c r="D45" i="19"/>
  <c r="D97" i="19"/>
  <c r="D96" i="19"/>
  <c r="D92" i="19"/>
  <c r="C128" i="17"/>
  <c r="D51" i="19"/>
  <c r="D94" i="19"/>
  <c r="D64" i="19"/>
  <c r="C55" i="17"/>
  <c r="D51" i="18"/>
  <c r="D69" i="19"/>
  <c r="D114" i="19"/>
  <c r="D100" i="19"/>
  <c r="C44" i="26"/>
  <c r="D66" i="19"/>
  <c r="D89" i="19"/>
  <c r="D49" i="19"/>
  <c r="C40" i="16"/>
  <c r="AB40" i="16" s="1"/>
  <c r="AH40" i="16" s="1"/>
  <c r="AJ40" i="16" s="1"/>
  <c r="C40" i="17"/>
  <c r="AB40" i="17" s="1"/>
  <c r="AH40" i="17" s="1"/>
  <c r="AJ40" i="17" s="1"/>
  <c r="V36" i="15"/>
  <c r="C39" i="16"/>
  <c r="AB39" i="16" s="1"/>
  <c r="AH39" i="16" s="1"/>
  <c r="AJ39" i="16" s="1"/>
  <c r="U56" i="17"/>
  <c r="U56" i="16"/>
  <c r="K12" i="34"/>
  <c r="M12" i="34" s="1"/>
  <c r="S12" i="34" s="1"/>
  <c r="K11" i="34"/>
  <c r="S11" i="34" s="1"/>
  <c r="L11" i="32"/>
  <c r="J13" i="33" s="1"/>
  <c r="D11" i="32"/>
  <c r="K14" i="31"/>
  <c r="C14" i="31"/>
  <c r="A8" i="31"/>
  <c r="A7" i="32" s="1"/>
  <c r="A7" i="33" s="1"/>
  <c r="AJ27" i="19" l="1"/>
  <c r="AL27" i="19" s="1"/>
  <c r="AH35" i="15"/>
  <c r="AJ35" i="15" s="1"/>
  <c r="D13" i="33"/>
  <c r="N24" i="22" l="1"/>
  <c r="AB8" i="18"/>
  <c r="AB12" i="17"/>
  <c r="A40" i="14"/>
  <c r="A6" i="14"/>
  <c r="A6" i="13"/>
  <c r="A40" i="13"/>
  <c r="A39" i="12"/>
  <c r="A6" i="12"/>
  <c r="A6" i="11"/>
  <c r="A42" i="11"/>
  <c r="A42" i="10"/>
  <c r="A6" i="10"/>
  <c r="A50" i="9"/>
  <c r="A49" i="8"/>
  <c r="A6" i="9"/>
  <c r="A6" i="8"/>
  <c r="AD49" i="2" l="1"/>
  <c r="AD50" i="2"/>
  <c r="S26" i="16"/>
  <c r="AD11" i="2"/>
  <c r="X11" i="2"/>
  <c r="N11" i="2"/>
  <c r="J11" i="2"/>
  <c r="R11" i="2" s="1"/>
  <c r="X12" i="2"/>
  <c r="V12" i="2"/>
  <c r="P12" i="2"/>
  <c r="N12" i="2"/>
  <c r="L12" i="2"/>
  <c r="J12" i="2"/>
  <c r="R12" i="2" s="1"/>
  <c r="H12" i="2"/>
  <c r="X13" i="15" l="1"/>
  <c r="L15" i="6"/>
  <c r="L15" i="5"/>
  <c r="S26" i="17"/>
  <c r="AA23" i="41"/>
  <c r="D35" i="40" l="1"/>
  <c r="D22" i="40"/>
  <c r="D16" i="40"/>
  <c r="D24" i="40" l="1"/>
  <c r="D46" i="40" s="1"/>
  <c r="AI86" i="18" l="1"/>
  <c r="R22" i="18"/>
  <c r="Q26" i="16" l="1"/>
  <c r="H51" i="2"/>
  <c r="P59" i="22"/>
  <c r="R51" i="18"/>
  <c r="N41" i="43"/>
  <c r="Q56" i="16" l="1"/>
  <c r="Q56" i="17"/>
  <c r="J29" i="36"/>
  <c r="L24" i="22" l="1"/>
  <c r="L17" i="2" s="1"/>
  <c r="O60" i="24"/>
  <c r="N51" i="18"/>
  <c r="D17" i="2" s="1"/>
  <c r="N22" i="18"/>
  <c r="M44" i="26"/>
  <c r="O60" i="25"/>
  <c r="O67" i="25" s="1"/>
  <c r="O42" i="25"/>
  <c r="L69" i="22"/>
  <c r="N88" i="21"/>
  <c r="N98" i="20"/>
  <c r="N105" i="20" s="1"/>
  <c r="N35" i="20"/>
  <c r="H17" i="3" s="1"/>
  <c r="N28" i="20"/>
  <c r="H16" i="3" s="1"/>
  <c r="N133" i="18"/>
  <c r="N92" i="18"/>
  <c r="D18" i="2" s="1"/>
  <c r="N43" i="18"/>
  <c r="D16" i="2" s="1"/>
  <c r="O56" i="17" l="1"/>
  <c r="O56" i="16"/>
  <c r="M56" i="17"/>
  <c r="M56" i="16"/>
  <c r="L33" i="37"/>
  <c r="K56" i="16"/>
  <c r="M60" i="25"/>
  <c r="M67" i="25" s="1"/>
  <c r="M70" i="25" s="1"/>
  <c r="M60" i="24"/>
  <c r="L51" i="18"/>
  <c r="L22" i="18"/>
  <c r="J24" i="22"/>
  <c r="N37" i="20"/>
  <c r="N17" i="28" l="1"/>
  <c r="C63" i="17"/>
  <c r="AE93" i="17" l="1"/>
  <c r="AJ93" i="17" s="1"/>
  <c r="AJ70" i="20"/>
  <c r="AG70" i="19"/>
  <c r="AE93" i="16" s="1"/>
  <c r="AJ93" i="16" s="1"/>
  <c r="AB93" i="17"/>
  <c r="N23" i="15" l="1"/>
  <c r="F22" i="18"/>
  <c r="E44" i="26"/>
  <c r="U26" i="17"/>
  <c r="U26" i="16"/>
  <c r="W79" i="23"/>
  <c r="E56" i="16" l="1"/>
  <c r="E56" i="17"/>
  <c r="E48" i="16"/>
  <c r="G25" i="41"/>
  <c r="R33" i="37" l="1"/>
  <c r="C124" i="17" l="1"/>
  <c r="M16" i="40"/>
  <c r="M35" i="40" l="1"/>
  <c r="M24" i="40"/>
  <c r="Y35" i="41" l="1"/>
  <c r="Y25" i="41"/>
  <c r="W25" i="41"/>
  <c r="U35" i="41"/>
  <c r="U25" i="41"/>
  <c r="S35" i="41"/>
  <c r="S25" i="41"/>
  <c r="Q35" i="41"/>
  <c r="Q25" i="41"/>
  <c r="O35" i="41"/>
  <c r="O25" i="41"/>
  <c r="M35" i="41"/>
  <c r="K35" i="41"/>
  <c r="I35" i="41"/>
  <c r="I25" i="41"/>
  <c r="G35" i="41"/>
  <c r="M17" i="42" l="1"/>
  <c r="G38" i="41"/>
  <c r="W38" i="41"/>
  <c r="I38" i="41"/>
  <c r="M38" i="41"/>
  <c r="Q38" i="41"/>
  <c r="U38" i="41"/>
  <c r="Y38" i="41"/>
  <c r="K38" i="41"/>
  <c r="O38" i="41"/>
  <c r="S38" i="41"/>
  <c r="A41" i="12" l="1"/>
  <c r="W26" i="17" l="1"/>
  <c r="W23" i="26"/>
  <c r="W26" i="16" l="1"/>
  <c r="F20" i="15" l="1"/>
  <c r="AI50" i="18"/>
  <c r="AK50" i="18" s="1"/>
  <c r="F53" i="15"/>
  <c r="N53" i="15"/>
  <c r="AG23" i="22"/>
  <c r="AI23" i="22" s="1"/>
  <c r="Y22" i="24"/>
  <c r="Y27" i="24"/>
  <c r="Y30" i="24"/>
  <c r="Y60" i="24"/>
  <c r="Y78" i="24"/>
  <c r="Y85" i="24" s="1"/>
  <c r="J22" i="18" l="1"/>
  <c r="J51" i="18"/>
  <c r="X53" i="15"/>
  <c r="AH53" i="15" s="1"/>
  <c r="AJ53" i="15" s="1"/>
  <c r="H24" i="22"/>
  <c r="V53" i="15"/>
  <c r="AB55" i="17"/>
  <c r="AH55" i="17" s="1"/>
  <c r="AJ55" i="17" s="1"/>
  <c r="AB55" i="16"/>
  <c r="AH55" i="16" s="1"/>
  <c r="AJ55" i="16" s="1"/>
  <c r="Y32" i="24"/>
  <c r="Y64" i="24" s="1"/>
  <c r="Y88" i="24" s="1"/>
  <c r="I56" i="17" l="1"/>
  <c r="I56" i="16"/>
  <c r="U121" i="16"/>
  <c r="U130" i="16" s="1"/>
  <c r="Z43" i="37" l="1"/>
  <c r="AE22" i="16"/>
  <c r="F23" i="15"/>
  <c r="V23" i="15"/>
  <c r="AD24" i="22"/>
  <c r="AC51" i="18"/>
  <c r="AF51" i="18"/>
  <c r="AA42" i="3"/>
  <c r="J42" i="3"/>
  <c r="T42" i="3" s="1"/>
  <c r="F24" i="22"/>
  <c r="C21" i="17"/>
  <c r="C21" i="16"/>
  <c r="AB21" i="16" s="1"/>
  <c r="E35" i="41"/>
  <c r="C35" i="41"/>
  <c r="AA34" i="41"/>
  <c r="AA33" i="41"/>
  <c r="AA32" i="41"/>
  <c r="AA31" i="41"/>
  <c r="AA30" i="41"/>
  <c r="C25" i="41"/>
  <c r="AA24" i="41"/>
  <c r="AA22" i="41"/>
  <c r="AA21" i="41"/>
  <c r="AA20" i="41"/>
  <c r="AA19" i="41"/>
  <c r="AA17" i="41"/>
  <c r="AA16" i="41"/>
  <c r="AA15" i="41"/>
  <c r="AA14" i="41"/>
  <c r="F25" i="32" l="1"/>
  <c r="L54" i="15"/>
  <c r="H22" i="18"/>
  <c r="I60" i="24"/>
  <c r="AD42" i="3"/>
  <c r="AF42" i="3" s="1"/>
  <c r="AB128" i="17"/>
  <c r="R42" i="3"/>
  <c r="H51" i="18"/>
  <c r="E38" i="41"/>
  <c r="AA25" i="41"/>
  <c r="C38" i="41"/>
  <c r="AA35" i="41"/>
  <c r="G56" i="17" l="1"/>
  <c r="D54" i="15"/>
  <c r="G56" i="16"/>
  <c r="C25" i="17"/>
  <c r="Q76" i="25"/>
  <c r="AA38" i="41"/>
  <c r="N43" i="37" l="1"/>
  <c r="N59" i="22"/>
  <c r="N47" i="22"/>
  <c r="P80" i="20"/>
  <c r="Q60" i="24"/>
  <c r="P52" i="21"/>
  <c r="P56" i="21" s="1"/>
  <c r="O44" i="26"/>
  <c r="N25" i="28"/>
  <c r="N28" i="28" s="1"/>
  <c r="P70" i="21"/>
  <c r="P79" i="21" s="1"/>
  <c r="N33" i="28"/>
  <c r="Q95" i="24"/>
  <c r="O26" i="17" l="1"/>
  <c r="O26" i="16"/>
  <c r="R43" i="18"/>
  <c r="O103" i="17"/>
  <c r="O139" i="17"/>
  <c r="Q26" i="17" l="1"/>
  <c r="A52" i="9"/>
  <c r="K116" i="30" l="1"/>
  <c r="N37" i="43"/>
  <c r="V43" i="18" l="1"/>
  <c r="V36" i="18"/>
  <c r="V92" i="18"/>
  <c r="V110" i="18"/>
  <c r="V116" i="18" s="1"/>
  <c r="V133" i="18" l="1"/>
  <c r="Y31" i="23" l="1"/>
  <c r="Y23" i="23" l="1"/>
  <c r="A42" i="14"/>
  <c r="A42" i="13"/>
  <c r="A44" i="11"/>
  <c r="A44" i="10"/>
  <c r="A51" i="8"/>
  <c r="M26" i="16" l="1"/>
  <c r="Y61" i="23"/>
  <c r="Y79" i="23"/>
  <c r="Y86" i="23" s="1"/>
  <c r="M26" i="17" l="1"/>
  <c r="T98" i="20"/>
  <c r="C24" i="16" l="1"/>
  <c r="C24" i="17"/>
  <c r="AA31" i="23" l="1"/>
  <c r="AA95" i="24" l="1"/>
  <c r="Z35" i="19"/>
  <c r="Z36" i="18"/>
  <c r="Z22" i="18"/>
  <c r="Z26" i="18" s="1"/>
  <c r="Z28" i="19"/>
  <c r="Z92" i="18"/>
  <c r="AA60" i="24"/>
  <c r="AA23" i="23"/>
  <c r="Z110" i="18"/>
  <c r="Z116" i="18" s="1"/>
  <c r="AA78" i="24"/>
  <c r="AA85" i="24" s="1"/>
  <c r="Z98" i="20"/>
  <c r="Z105" i="20" s="1"/>
  <c r="AA28" i="23"/>
  <c r="Z43" i="18"/>
  <c r="M192" i="42"/>
  <c r="AA96" i="23" l="1"/>
  <c r="Y48" i="16"/>
  <c r="Y103" i="17"/>
  <c r="Y41" i="17"/>
  <c r="Z80" i="19"/>
  <c r="Z80" i="20"/>
  <c r="Y26" i="16"/>
  <c r="Y30" i="16" s="1"/>
  <c r="Y48" i="17"/>
  <c r="Y121" i="17"/>
  <c r="Y130" i="17" s="1"/>
  <c r="Y26" i="17"/>
  <c r="AA33" i="23"/>
  <c r="AA79" i="23"/>
  <c r="AA86" i="23" s="1"/>
  <c r="Y103" i="16"/>
  <c r="AA61" i="23"/>
  <c r="Z98" i="19"/>
  <c r="Z107" i="19" s="1"/>
  <c r="Y41" i="16"/>
  <c r="X37" i="43"/>
  <c r="V37" i="43"/>
  <c r="P37" i="43"/>
  <c r="J37" i="43"/>
  <c r="H37" i="43"/>
  <c r="F37" i="43"/>
  <c r="B37" i="43"/>
  <c r="AD114" i="20" l="1"/>
  <c r="AC22" i="18"/>
  <c r="AC26" i="18" s="1"/>
  <c r="G28" i="9"/>
  <c r="P18" i="6"/>
  <c r="C29" i="16"/>
  <c r="C71" i="17"/>
  <c r="C80" i="17"/>
  <c r="C101" i="17"/>
  <c r="C112" i="30"/>
  <c r="AG42" i="25"/>
  <c r="P18" i="5"/>
  <c r="C23" i="16"/>
  <c r="AA39" i="27"/>
  <c r="G39" i="9"/>
  <c r="AD95" i="24"/>
  <c r="C37" i="17"/>
  <c r="AL85" i="21"/>
  <c r="AG37" i="27"/>
  <c r="AI37" i="27" s="1"/>
  <c r="AE22" i="17"/>
  <c r="F19" i="6"/>
  <c r="C154" i="30"/>
  <c r="AD42" i="25"/>
  <c r="AD46" i="25" s="1"/>
  <c r="C52" i="17"/>
  <c r="C85" i="17"/>
  <c r="C35" i="17"/>
  <c r="C33" i="17"/>
  <c r="AD60" i="24"/>
  <c r="C94" i="17"/>
  <c r="B26" i="6"/>
  <c r="C118" i="17"/>
  <c r="C97" i="17"/>
  <c r="C96" i="17"/>
  <c r="AG95" i="24"/>
  <c r="AD60" i="25"/>
  <c r="AD67" i="25" s="1"/>
  <c r="C127" i="17"/>
  <c r="AC96" i="23"/>
  <c r="P25" i="5"/>
  <c r="AE96" i="17"/>
  <c r="L37" i="15"/>
  <c r="C102" i="17"/>
  <c r="AD47" i="22"/>
  <c r="C79" i="17"/>
  <c r="AG101" i="19"/>
  <c r="C24" i="30"/>
  <c r="E94" i="23"/>
  <c r="B19" i="6"/>
  <c r="C99" i="17"/>
  <c r="D22" i="18"/>
  <c r="AD69" i="22"/>
  <c r="AG69" i="22" s="1"/>
  <c r="C81" i="17"/>
  <c r="AD59" i="22"/>
  <c r="C52" i="16"/>
  <c r="C115" i="17"/>
  <c r="C36" i="17"/>
  <c r="C23" i="17"/>
  <c r="C65" i="17"/>
  <c r="Y121" i="16"/>
  <c r="Y130" i="16" s="1"/>
  <c r="AA65" i="23"/>
  <c r="AA89" i="23" s="1"/>
  <c r="AD70" i="25" l="1"/>
  <c r="AI22" i="18"/>
  <c r="AK22" i="18" s="1"/>
  <c r="C72" i="17"/>
  <c r="C44" i="17"/>
  <c r="C68" i="17"/>
  <c r="B21" i="5"/>
  <c r="C91" i="17"/>
  <c r="C120" i="17"/>
  <c r="C98" i="17"/>
  <c r="C119" i="17"/>
  <c r="C74" i="17"/>
  <c r="C66" i="17"/>
  <c r="AB66" i="17" s="1"/>
  <c r="C45" i="17"/>
  <c r="C47" i="17"/>
  <c r="C87" i="17"/>
  <c r="C95" i="17"/>
  <c r="B29" i="5"/>
  <c r="D110" i="18"/>
  <c r="D116" i="18" s="1"/>
  <c r="E93" i="23"/>
  <c r="C137" i="17"/>
  <c r="C111" i="17"/>
  <c r="C86" i="17"/>
  <c r="C125" i="17"/>
  <c r="C88" i="17"/>
  <c r="C77" i="17"/>
  <c r="C100" i="17"/>
  <c r="C28" i="16"/>
  <c r="AB28" i="16" s="1"/>
  <c r="C105" i="17"/>
  <c r="C92" i="17"/>
  <c r="AE137" i="17"/>
  <c r="AA50" i="3"/>
  <c r="D133" i="18"/>
  <c r="C34" i="17"/>
  <c r="C27" i="17"/>
  <c r="C50" i="17"/>
  <c r="C28" i="17"/>
  <c r="C43" i="17"/>
  <c r="C127" i="16"/>
  <c r="C70" i="17"/>
  <c r="C70" i="16"/>
  <c r="B29" i="6"/>
  <c r="C54" i="16"/>
  <c r="C54" i="17"/>
  <c r="C89" i="17"/>
  <c r="C82" i="17"/>
  <c r="C75" i="17"/>
  <c r="D92" i="18"/>
  <c r="C62" i="17"/>
  <c r="C38" i="17"/>
  <c r="C32" i="17"/>
  <c r="C50" i="16"/>
  <c r="C29" i="17"/>
  <c r="C67" i="17"/>
  <c r="C51" i="17"/>
  <c r="C51" i="16"/>
  <c r="C76" i="17"/>
  <c r="C73" i="17"/>
  <c r="C112" i="17"/>
  <c r="C113" i="17"/>
  <c r="C26" i="17"/>
  <c r="C22" i="16"/>
  <c r="C26" i="16" s="1"/>
  <c r="D21" i="15"/>
  <c r="D25" i="15" s="1"/>
  <c r="C46" i="17"/>
  <c r="C123" i="17"/>
  <c r="C53" i="17"/>
  <c r="C117" i="17"/>
  <c r="C116" i="17"/>
  <c r="C83" i="17"/>
  <c r="V17" i="29"/>
  <c r="V17" i="28"/>
  <c r="V49" i="2" l="1"/>
  <c r="M137" i="16" s="1"/>
  <c r="C41" i="17"/>
  <c r="C56" i="17"/>
  <c r="D34" i="2"/>
  <c r="D42" i="2" s="1"/>
  <c r="D37" i="15"/>
  <c r="D45" i="15"/>
  <c r="C136" i="17"/>
  <c r="G26" i="17"/>
  <c r="G30" i="17" s="1"/>
  <c r="G26" i="16"/>
  <c r="G30" i="16" s="1"/>
  <c r="G41" i="17"/>
  <c r="G41" i="16"/>
  <c r="G48" i="17"/>
  <c r="G103" i="17"/>
  <c r="G48" i="16"/>
  <c r="AB80" i="19"/>
  <c r="AB35" i="19"/>
  <c r="AB28" i="19"/>
  <c r="D56" i="15" l="1"/>
  <c r="AB37" i="19"/>
  <c r="AB84" i="19" s="1"/>
  <c r="G103" i="16"/>
  <c r="G121" i="16"/>
  <c r="G130" i="16" s="1"/>
  <c r="G58" i="17"/>
  <c r="G107" i="17" s="1"/>
  <c r="G133" i="17" s="1"/>
  <c r="G143" i="17" s="1"/>
  <c r="G58" i="16"/>
  <c r="G107" i="16" l="1"/>
  <c r="G133" i="16" s="1"/>
  <c r="AJ77" i="20" l="1"/>
  <c r="J70" i="21"/>
  <c r="J79" i="21" s="1"/>
  <c r="I34" i="10"/>
  <c r="P32" i="6"/>
  <c r="L25" i="37"/>
  <c r="L17" i="28"/>
  <c r="L20" i="22"/>
  <c r="L15" i="2" s="1"/>
  <c r="Q78" i="24"/>
  <c r="Q85" i="24" s="1"/>
  <c r="Q30" i="24"/>
  <c r="L26" i="22" l="1"/>
  <c r="H25" i="29"/>
  <c r="J88" i="21"/>
  <c r="I26" i="17" l="1"/>
  <c r="I26" i="16"/>
  <c r="K15" i="30"/>
  <c r="AB93" i="16"/>
  <c r="AH93" i="16" s="1"/>
  <c r="AJ21" i="24"/>
  <c r="AL21" i="24" s="1"/>
  <c r="V47" i="22"/>
  <c r="V59" i="22"/>
  <c r="V33" i="29"/>
  <c r="V25" i="28"/>
  <c r="V28" i="28" s="1"/>
  <c r="V25" i="29"/>
  <c r="V28" i="29" s="1"/>
  <c r="P28" i="20"/>
  <c r="P116" i="19"/>
  <c r="P28" i="19"/>
  <c r="P37" i="19" s="1"/>
  <c r="AB21" i="17" l="1"/>
  <c r="AF93" i="23"/>
  <c r="AF94" i="23"/>
  <c r="R50" i="2" s="1"/>
  <c r="L43" i="18"/>
  <c r="L110" i="18"/>
  <c r="L116" i="18" s="1"/>
  <c r="L26" i="18"/>
  <c r="L36" i="18"/>
  <c r="AL70" i="19"/>
  <c r="N70" i="21"/>
  <c r="N79" i="21" s="1"/>
  <c r="L25" i="29"/>
  <c r="L28" i="27"/>
  <c r="M23" i="26"/>
  <c r="O78" i="24"/>
  <c r="O85" i="24" s="1"/>
  <c r="L47" i="22"/>
  <c r="L18" i="2" s="1"/>
  <c r="M33" i="26"/>
  <c r="L19" i="27"/>
  <c r="O30" i="24"/>
  <c r="L17" i="29"/>
  <c r="O27" i="24"/>
  <c r="L25" i="28"/>
  <c r="L28" i="28" s="1"/>
  <c r="N52" i="21"/>
  <c r="N56" i="21" s="1"/>
  <c r="V33" i="28"/>
  <c r="V37" i="28" s="1"/>
  <c r="V20" i="22"/>
  <c r="V69" i="22"/>
  <c r="V37" i="29"/>
  <c r="N82" i="21" l="1"/>
  <c r="K26" i="16"/>
  <c r="H35" i="3"/>
  <c r="H43" i="3" s="1"/>
  <c r="L53" i="18"/>
  <c r="L96" i="18" s="1"/>
  <c r="AG45" i="22"/>
  <c r="G30" i="24"/>
  <c r="AE100" i="17"/>
  <c r="AK86" i="18"/>
  <c r="M30" i="16"/>
  <c r="L28" i="29"/>
  <c r="M37" i="26"/>
  <c r="M49" i="26" s="1"/>
  <c r="L32" i="27"/>
  <c r="M121" i="17"/>
  <c r="M30" i="17"/>
  <c r="L51" i="22"/>
  <c r="M41" i="17"/>
  <c r="M48" i="17"/>
  <c r="N28" i="19"/>
  <c r="H15" i="2" s="1"/>
  <c r="M103" i="17"/>
  <c r="N80" i="20"/>
  <c r="H19" i="3" s="1"/>
  <c r="L45" i="15"/>
  <c r="L25" i="15"/>
  <c r="M48" i="16" l="1"/>
  <c r="L56" i="15"/>
  <c r="F28" i="19"/>
  <c r="F35" i="19"/>
  <c r="G23" i="23"/>
  <c r="G28" i="23"/>
  <c r="Y58" i="16"/>
  <c r="Y107" i="16" s="1"/>
  <c r="Y133" i="16" s="1"/>
  <c r="M103" i="16"/>
  <c r="M121" i="16"/>
  <c r="M58" i="17"/>
  <c r="M139" i="17"/>
  <c r="N84" i="20"/>
  <c r="N108" i="20" s="1"/>
  <c r="L34" i="2"/>
  <c r="Z53" i="18" l="1"/>
  <c r="Z96" i="18" s="1"/>
  <c r="Z119" i="18" s="1"/>
  <c r="G79" i="23"/>
  <c r="G86" i="23" s="1"/>
  <c r="G61" i="23"/>
  <c r="G31" i="23"/>
  <c r="F98" i="19"/>
  <c r="F107" i="19" s="1"/>
  <c r="G33" i="23" l="1"/>
  <c r="G65" i="23" s="1"/>
  <c r="G89" i="23" s="1"/>
  <c r="F80" i="19"/>
  <c r="S31" i="23" l="1"/>
  <c r="L22" i="39"/>
  <c r="L47" i="39"/>
  <c r="L38" i="39"/>
  <c r="L28" i="39"/>
  <c r="L30" i="39" l="1"/>
  <c r="L50" i="39" l="1"/>
  <c r="L52" i="39" s="1"/>
  <c r="C46" i="16"/>
  <c r="X114" i="20" l="1"/>
  <c r="M46" i="40"/>
  <c r="M48" i="40" s="1"/>
  <c r="D48" i="40" l="1"/>
  <c r="F12" i="40" s="1"/>
  <c r="F48" i="40" s="1"/>
  <c r="H12" i="40" s="1"/>
  <c r="H48" i="40" s="1"/>
  <c r="J12" i="40" s="1"/>
  <c r="J48" i="40" s="1"/>
  <c r="E59" i="23"/>
  <c r="AF59" i="23" s="1"/>
  <c r="E60" i="23"/>
  <c r="AF60" i="23" s="1"/>
  <c r="C79" i="16"/>
  <c r="AD54" i="19"/>
  <c r="X35" i="19"/>
  <c r="X28" i="19"/>
  <c r="X98" i="19"/>
  <c r="J18" i="33" l="1"/>
  <c r="K115" i="30"/>
  <c r="X37" i="19"/>
  <c r="C34" i="16"/>
  <c r="C100" i="16"/>
  <c r="AB100" i="16" s="1"/>
  <c r="AD21" i="19"/>
  <c r="E52" i="23"/>
  <c r="AF52" i="23" s="1"/>
  <c r="AK66" i="18"/>
  <c r="E70" i="23"/>
  <c r="E49" i="23"/>
  <c r="AE35" i="17"/>
  <c r="E58" i="23"/>
  <c r="E30" i="23"/>
  <c r="P23" i="6"/>
  <c r="C99" i="16"/>
  <c r="AC43" i="18"/>
  <c r="AC53" i="18" s="1"/>
  <c r="AG22" i="19"/>
  <c r="AI66" i="18"/>
  <c r="E22" i="23"/>
  <c r="AF22" i="23" s="1"/>
  <c r="E77" i="23"/>
  <c r="AE92" i="17"/>
  <c r="E26" i="23"/>
  <c r="AJ19" i="25"/>
  <c r="F30" i="2"/>
  <c r="AD28" i="20"/>
  <c r="G23" i="12"/>
  <c r="C80" i="16"/>
  <c r="AC110" i="18"/>
  <c r="AC116" i="18" s="1"/>
  <c r="C92" i="16"/>
  <c r="C101" i="16"/>
  <c r="AI43" i="23"/>
  <c r="AI74" i="23"/>
  <c r="E63" i="23"/>
  <c r="C71" i="16"/>
  <c r="P35" i="5"/>
  <c r="E69" i="23"/>
  <c r="E74" i="23"/>
  <c r="I25" i="10"/>
  <c r="C66" i="16"/>
  <c r="E25" i="23"/>
  <c r="C81" i="16"/>
  <c r="E57" i="23"/>
  <c r="AC92" i="18"/>
  <c r="E43" i="23"/>
  <c r="AF43" i="23" s="1"/>
  <c r="E20" i="23"/>
  <c r="AF20" i="23" s="1"/>
  <c r="E27" i="23"/>
  <c r="E54" i="23"/>
  <c r="E21" i="23"/>
  <c r="AJ33" i="25"/>
  <c r="E81" i="23"/>
  <c r="X80" i="19"/>
  <c r="AC79" i="23"/>
  <c r="AC86" i="23" s="1"/>
  <c r="AC61" i="23"/>
  <c r="AC31" i="23"/>
  <c r="AC28" i="23"/>
  <c r="AC23" i="23"/>
  <c r="AF27" i="23" l="1"/>
  <c r="P45" i="15"/>
  <c r="P54" i="15"/>
  <c r="AF21" i="23"/>
  <c r="C53" i="16"/>
  <c r="C56" i="16" s="1"/>
  <c r="AD114" i="19"/>
  <c r="J50" i="2" s="1"/>
  <c r="C45" i="16"/>
  <c r="C35" i="16"/>
  <c r="AB35" i="16" s="1"/>
  <c r="C37" i="16"/>
  <c r="C32" i="16"/>
  <c r="AD100" i="19"/>
  <c r="C43" i="16"/>
  <c r="C85" i="16"/>
  <c r="C33" i="16"/>
  <c r="AB33" i="16" s="1"/>
  <c r="C38" i="16"/>
  <c r="C112" i="16"/>
  <c r="C98" i="16"/>
  <c r="C116" i="16"/>
  <c r="C47" i="16"/>
  <c r="C123" i="16"/>
  <c r="C44" i="16"/>
  <c r="C36" i="16"/>
  <c r="AD51" i="19"/>
  <c r="C74" i="16"/>
  <c r="AD59" i="19"/>
  <c r="E103" i="16"/>
  <c r="E103" i="17"/>
  <c r="AB23" i="16"/>
  <c r="E41" i="16"/>
  <c r="E41" i="17"/>
  <c r="E121" i="17"/>
  <c r="E130" i="17" s="1"/>
  <c r="E121" i="16"/>
  <c r="AB24" i="17"/>
  <c r="E48" i="17"/>
  <c r="E42" i="23"/>
  <c r="E82" i="23"/>
  <c r="C67" i="16"/>
  <c r="C102" i="16"/>
  <c r="C73" i="16"/>
  <c r="C89" i="16"/>
  <c r="C87" i="16"/>
  <c r="C86" i="16"/>
  <c r="AC96" i="18"/>
  <c r="AC119" i="18" s="1"/>
  <c r="AC137" i="18" s="1"/>
  <c r="E51" i="23"/>
  <c r="E73" i="23"/>
  <c r="E45" i="23"/>
  <c r="E92" i="23"/>
  <c r="E41" i="23"/>
  <c r="C72" i="16" s="1"/>
  <c r="C62" i="16"/>
  <c r="D28" i="19"/>
  <c r="C96" i="16"/>
  <c r="D35" i="19"/>
  <c r="E56" i="23"/>
  <c r="E44" i="23"/>
  <c r="C76" i="16" s="1"/>
  <c r="E76" i="23"/>
  <c r="E39" i="23"/>
  <c r="C65" i="16" s="1"/>
  <c r="E84" i="23"/>
  <c r="AF84" i="23" s="1"/>
  <c r="E71" i="23"/>
  <c r="E37" i="23"/>
  <c r="C63" i="16" s="1"/>
  <c r="E50" i="23"/>
  <c r="E46" i="23"/>
  <c r="AF46" i="23" s="1"/>
  <c r="E83" i="23"/>
  <c r="C68" i="16"/>
  <c r="E55" i="23"/>
  <c r="C97" i="16"/>
  <c r="E78" i="23"/>
  <c r="E75" i="23"/>
  <c r="C91" i="16"/>
  <c r="C75" i="16"/>
  <c r="E47" i="23"/>
  <c r="AD43" i="19"/>
  <c r="AD101" i="19"/>
  <c r="X84" i="19"/>
  <c r="AC33" i="23"/>
  <c r="AC65" i="23" s="1"/>
  <c r="AC89" i="23" s="1"/>
  <c r="AC101" i="23" s="1"/>
  <c r="C77" i="16" l="1"/>
  <c r="AF45" i="23"/>
  <c r="AF75" i="23"/>
  <c r="C41" i="16"/>
  <c r="AF78" i="23"/>
  <c r="D37" i="19"/>
  <c r="H45" i="15"/>
  <c r="H37" i="15"/>
  <c r="C115" i="16"/>
  <c r="C118" i="16"/>
  <c r="C125" i="16"/>
  <c r="C124" i="16"/>
  <c r="AF92" i="23"/>
  <c r="AF96" i="23" s="1"/>
  <c r="P51" i="2"/>
  <c r="C119" i="16"/>
  <c r="C111" i="16"/>
  <c r="C105" i="16"/>
  <c r="C95" i="16"/>
  <c r="AB22" i="17"/>
  <c r="E26" i="17"/>
  <c r="E30" i="17" s="1"/>
  <c r="E58" i="17" s="1"/>
  <c r="E107" i="17" s="1"/>
  <c r="AB22" i="16"/>
  <c r="E26" i="16"/>
  <c r="C88" i="16"/>
  <c r="C113" i="16"/>
  <c r="C94" i="16"/>
  <c r="C128" i="16"/>
  <c r="C82" i="16"/>
  <c r="C117" i="16"/>
  <c r="C83" i="16"/>
  <c r="C120" i="16"/>
  <c r="Z33" i="37"/>
  <c r="Z45" i="37" s="1"/>
  <c r="E130" i="16"/>
  <c r="D80" i="19"/>
  <c r="C139" i="17"/>
  <c r="D98" i="19"/>
  <c r="D107" i="19" s="1"/>
  <c r="D116" i="19"/>
  <c r="C121" i="17"/>
  <c r="C130" i="17" s="1"/>
  <c r="J19" i="33"/>
  <c r="D20" i="33"/>
  <c r="E30" i="16" l="1"/>
  <c r="E58" i="16" s="1"/>
  <c r="E107" i="16" s="1"/>
  <c r="E133" i="16" s="1"/>
  <c r="AB26" i="16"/>
  <c r="E133" i="17"/>
  <c r="D84" i="19"/>
  <c r="D110" i="19" s="1"/>
  <c r="D120" i="19" s="1"/>
  <c r="P20" i="22"/>
  <c r="H29" i="36"/>
  <c r="N37" i="19" l="1"/>
  <c r="B34" i="6"/>
  <c r="B39" i="6" s="1"/>
  <c r="AE105" i="17"/>
  <c r="P47" i="22"/>
  <c r="P69" i="22"/>
  <c r="R52" i="21"/>
  <c r="R56" i="21" s="1"/>
  <c r="A6" i="34"/>
  <c r="F34" i="6" l="1"/>
  <c r="S23" i="23"/>
  <c r="AA49" i="3"/>
  <c r="G30" i="9"/>
  <c r="R35" i="19"/>
  <c r="S28" i="23"/>
  <c r="L51" i="2"/>
  <c r="S61" i="23"/>
  <c r="A6" i="37"/>
  <c r="T9" i="37"/>
  <c r="B9" i="37"/>
  <c r="A5" i="44" l="1"/>
  <c r="A5" i="45" s="1"/>
  <c r="A6" i="38"/>
  <c r="A6" i="39" s="1"/>
  <c r="B6" i="40" s="1"/>
  <c r="S33" i="23"/>
  <c r="S65" i="23" s="1"/>
  <c r="R98" i="19"/>
  <c r="R107" i="19" s="1"/>
  <c r="R80" i="19"/>
  <c r="S79" i="23"/>
  <c r="S86" i="23" s="1"/>
  <c r="S96" i="23"/>
  <c r="R28" i="19"/>
  <c r="R37"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D13" i="15"/>
  <c r="P15" i="6"/>
  <c r="N15" i="6"/>
  <c r="B15" i="6"/>
  <c r="N15" i="5"/>
  <c r="B15" i="5"/>
  <c r="L119" i="18" l="1"/>
  <c r="B37" i="5"/>
  <c r="F29" i="15"/>
  <c r="AI51" i="23"/>
  <c r="AG17" i="19"/>
  <c r="AI83" i="18"/>
  <c r="AK83" i="18" s="1"/>
  <c r="AI56" i="23"/>
  <c r="AN56" i="23" s="1"/>
  <c r="AI60" i="23"/>
  <c r="AD98" i="20"/>
  <c r="AD105" i="20" s="1"/>
  <c r="AI26" i="23"/>
  <c r="AD35" i="20"/>
  <c r="AD37" i="20" s="1"/>
  <c r="X116" i="19" l="1"/>
  <c r="Q48" i="17"/>
  <c r="Q33" i="26"/>
  <c r="P88" i="21"/>
  <c r="P92" i="21" s="1"/>
  <c r="Q41" i="17"/>
  <c r="N69" i="22"/>
  <c r="F29" i="5"/>
  <c r="V34" i="15"/>
  <c r="Q22" i="24"/>
  <c r="R26" i="18"/>
  <c r="F26" i="6"/>
  <c r="F29" i="6" s="1"/>
  <c r="F39" i="6" s="1"/>
  <c r="F37" i="5"/>
  <c r="AF57" i="23"/>
  <c r="E28" i="31" l="1"/>
  <c r="M71" i="42"/>
  <c r="M52" i="42"/>
  <c r="M174" i="42"/>
  <c r="M221" i="42"/>
  <c r="M231" i="42"/>
  <c r="M30" i="42"/>
  <c r="M16" i="42"/>
  <c r="M48" i="34"/>
  <c r="M34" i="42"/>
  <c r="M61" i="42"/>
  <c r="K27" i="31"/>
  <c r="G62" i="34"/>
  <c r="M62" i="34" s="1"/>
  <c r="M24" i="42"/>
  <c r="M43" i="42"/>
  <c r="G30" i="34"/>
  <c r="M30" i="34" s="1"/>
  <c r="H20" i="33"/>
  <c r="M98" i="42"/>
  <c r="G39" i="34"/>
  <c r="M39" i="34" s="1"/>
  <c r="G22" i="34"/>
  <c r="M22" i="34" s="1"/>
  <c r="M73" i="42"/>
  <c r="M21" i="42"/>
  <c r="M28" i="42"/>
  <c r="M36" i="42"/>
  <c r="M25" i="42"/>
  <c r="G57" i="34"/>
  <c r="M57" i="34" s="1"/>
  <c r="M64" i="42"/>
  <c r="M39" i="42"/>
  <c r="M50" i="42"/>
  <c r="M111" i="42"/>
  <c r="G21" i="34"/>
  <c r="M21" i="34" s="1"/>
  <c r="M81" i="42"/>
  <c r="M56" i="42"/>
  <c r="M72" i="42"/>
  <c r="M57" i="42"/>
  <c r="G52" i="34"/>
  <c r="M52" i="34" s="1"/>
  <c r="M100" i="42"/>
  <c r="O200" i="42"/>
  <c r="M55" i="42"/>
  <c r="I28" i="31"/>
  <c r="G41" i="34"/>
  <c r="M26" i="42"/>
  <c r="M45" i="42"/>
  <c r="M41" i="42"/>
  <c r="G51" i="34"/>
  <c r="M51" i="34" s="1"/>
  <c r="G50" i="34"/>
  <c r="M50" i="34" s="1"/>
  <c r="M67" i="42"/>
  <c r="M35" i="42"/>
  <c r="M31" i="42"/>
  <c r="M66" i="42"/>
  <c r="G38" i="34"/>
  <c r="M38" i="34" s="1"/>
  <c r="M53" i="42"/>
  <c r="M51" i="42"/>
  <c r="M42" i="42"/>
  <c r="G45" i="34"/>
  <c r="M198" i="42"/>
  <c r="G29" i="34"/>
  <c r="M29" i="34" s="1"/>
  <c r="M59" i="42"/>
  <c r="G59" i="34"/>
  <c r="M59" i="34" s="1"/>
  <c r="M195" i="42"/>
  <c r="K200" i="42"/>
  <c r="M65" i="42"/>
  <c r="J17" i="33"/>
  <c r="M92" i="42"/>
  <c r="M32" i="42"/>
  <c r="M60" i="42"/>
  <c r="G19" i="34"/>
  <c r="M19" i="34" s="1"/>
  <c r="E65" i="34"/>
  <c r="M33" i="42"/>
  <c r="M46" i="42"/>
  <c r="M47" i="42"/>
  <c r="M48" i="42"/>
  <c r="M54" i="42"/>
  <c r="J16" i="33"/>
  <c r="F20" i="33"/>
  <c r="M49" i="42"/>
  <c r="M26" i="34"/>
  <c r="M225" i="42"/>
  <c r="M37" i="42"/>
  <c r="M217" i="42"/>
  <c r="G34" i="34"/>
  <c r="M34" i="34" s="1"/>
  <c r="M38" i="42"/>
  <c r="M214" i="42"/>
  <c r="M20" i="42"/>
  <c r="M230" i="42"/>
  <c r="M127" i="42"/>
  <c r="H25" i="32"/>
  <c r="L21" i="32"/>
  <c r="G49" i="34"/>
  <c r="M49" i="34" s="1"/>
  <c r="M88" i="42"/>
  <c r="K88" i="30"/>
  <c r="G35" i="34"/>
  <c r="M35" i="34" s="1"/>
  <c r="M27" i="42"/>
  <c r="M23" i="42"/>
  <c r="M237" i="42"/>
  <c r="M74" i="42"/>
  <c r="M63" i="42"/>
  <c r="M19" i="42"/>
  <c r="G63" i="34"/>
  <c r="G20" i="34"/>
  <c r="M40" i="42"/>
  <c r="M18" i="42"/>
  <c r="M227" i="42"/>
  <c r="M87" i="42"/>
  <c r="M69" i="42"/>
  <c r="G43" i="34"/>
  <c r="M43" i="34" s="1"/>
  <c r="K18" i="31"/>
  <c r="G28" i="31"/>
  <c r="M53" i="34"/>
  <c r="M58" i="42"/>
  <c r="G23" i="34"/>
  <c r="M23" i="34" s="1"/>
  <c r="G56" i="34"/>
  <c r="M56" i="34" s="1"/>
  <c r="M44" i="42"/>
  <c r="M22" i="42"/>
  <c r="M68" i="42"/>
  <c r="M90" i="42"/>
  <c r="G31" i="34"/>
  <c r="M31" i="34" s="1"/>
  <c r="M29" i="42"/>
  <c r="M226" i="42"/>
  <c r="M126" i="42"/>
  <c r="M107" i="17"/>
  <c r="Q103" i="17"/>
  <c r="Q103" i="16"/>
  <c r="R88" i="21"/>
  <c r="R116" i="19"/>
  <c r="R84" i="19"/>
  <c r="R110" i="19" s="1"/>
  <c r="Q121" i="17"/>
  <c r="Q130" i="17" s="1"/>
  <c r="Q121" i="16"/>
  <c r="Q130" i="16" s="1"/>
  <c r="P98" i="19"/>
  <c r="P107" i="19" s="1"/>
  <c r="Q48" i="16"/>
  <c r="Q41" i="16"/>
  <c r="P80" i="19"/>
  <c r="J20" i="33" l="1"/>
  <c r="P84" i="19"/>
  <c r="P110" i="19" s="1"/>
  <c r="P120" i="19" s="1"/>
  <c r="R120" i="19"/>
  <c r="Q139" i="17"/>
  <c r="AD17" i="29" l="1"/>
  <c r="AA17" i="28"/>
  <c r="AD25" i="29"/>
  <c r="AA25" i="28"/>
  <c r="AD33" i="29"/>
  <c r="AD76" i="25" l="1"/>
  <c r="AD80" i="25" s="1"/>
  <c r="AF58" i="23"/>
  <c r="AA28" i="27"/>
  <c r="AB44" i="26"/>
  <c r="AD27" i="24"/>
  <c r="AA19" i="27"/>
  <c r="AF77" i="23"/>
  <c r="AD30" i="24"/>
  <c r="AD80" i="20"/>
  <c r="AB33" i="26"/>
  <c r="AF56" i="23"/>
  <c r="AD52" i="21"/>
  <c r="AD56" i="21" s="1"/>
  <c r="AD22" i="24"/>
  <c r="AF41" i="23"/>
  <c r="AD70" i="21"/>
  <c r="AD79" i="21" s="1"/>
  <c r="AF44" i="23"/>
  <c r="AF69" i="23"/>
  <c r="AD78" i="24"/>
  <c r="AD85" i="24" s="1"/>
  <c r="AB23" i="26"/>
  <c r="AF74" i="23"/>
  <c r="AF30" i="23"/>
  <c r="AF31" i="23" s="1"/>
  <c r="AF54" i="23"/>
  <c r="AF49" i="23"/>
  <c r="AF63" i="23"/>
  <c r="AF39" i="23"/>
  <c r="AF51" i="23"/>
  <c r="AF76" i="23"/>
  <c r="AF42" i="23"/>
  <c r="AD28" i="29"/>
  <c r="AD37" i="29" s="1"/>
  <c r="AF55" i="23"/>
  <c r="AA28" i="28"/>
  <c r="H43" i="37"/>
  <c r="F43" i="37"/>
  <c r="D43" i="37"/>
  <c r="B43" i="37"/>
  <c r="H33" i="37"/>
  <c r="F33" i="37"/>
  <c r="D33" i="37"/>
  <c r="B33" i="37"/>
  <c r="H25" i="37"/>
  <c r="F25" i="37"/>
  <c r="D25" i="37"/>
  <c r="B25" i="37"/>
  <c r="AD82" i="21" l="1"/>
  <c r="AB37" i="26"/>
  <c r="AB49" i="26" s="1"/>
  <c r="K147" i="30"/>
  <c r="AD84" i="20"/>
  <c r="AD108" i="20" s="1"/>
  <c r="AA32" i="27"/>
  <c r="AA44" i="27" s="1"/>
  <c r="N98" i="19"/>
  <c r="N107" i="19" s="1"/>
  <c r="AD32" i="24"/>
  <c r="AD64" i="24" s="1"/>
  <c r="AD88" i="24" s="1"/>
  <c r="AD100" i="24" s="1"/>
  <c r="AF26" i="23"/>
  <c r="AF50" i="23"/>
  <c r="AF81" i="23"/>
  <c r="AF47" i="23"/>
  <c r="AF70" i="23"/>
  <c r="AF73" i="23"/>
  <c r="AF71" i="23"/>
  <c r="AF83" i="23"/>
  <c r="AF82" i="23"/>
  <c r="D45" i="37"/>
  <c r="H45" i="37"/>
  <c r="F45" i="37"/>
  <c r="B45" i="37"/>
  <c r="AB98" i="19" l="1"/>
  <c r="G186" i="42" l="1"/>
  <c r="N84" i="19"/>
  <c r="N110"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I78" i="24"/>
  <c r="I85" i="24" s="1"/>
  <c r="G78" i="24"/>
  <c r="G85" i="24" s="1"/>
  <c r="E78" i="24"/>
  <c r="E85" i="24" s="1"/>
  <c r="G60" i="24"/>
  <c r="E60" i="24"/>
  <c r="I30" i="24"/>
  <c r="E30" i="24"/>
  <c r="I27" i="24"/>
  <c r="G27" i="24"/>
  <c r="E27" i="24"/>
  <c r="I22" i="24"/>
  <c r="G22" i="24"/>
  <c r="E22" i="24"/>
  <c r="K31" i="23"/>
  <c r="I31" i="23"/>
  <c r="E31" i="23"/>
  <c r="K28" i="23"/>
  <c r="H59" i="22"/>
  <c r="F59" i="22"/>
  <c r="D59" i="22"/>
  <c r="B59" i="22"/>
  <c r="H47" i="22"/>
  <c r="F47" i="22"/>
  <c r="D47" i="22"/>
  <c r="B47" i="22"/>
  <c r="H20" i="22"/>
  <c r="F20" i="22"/>
  <c r="D20" i="22"/>
  <c r="B20" i="22"/>
  <c r="H70" i="21"/>
  <c r="H79" i="21" s="1"/>
  <c r="F70" i="21"/>
  <c r="F79" i="21" s="1"/>
  <c r="D70" i="21"/>
  <c r="D79" i="21" s="1"/>
  <c r="J52" i="21"/>
  <c r="J56" i="21" s="1"/>
  <c r="J82" i="21" s="1"/>
  <c r="H52" i="21"/>
  <c r="H56" i="21" s="1"/>
  <c r="F52" i="21"/>
  <c r="F56" i="21" s="1"/>
  <c r="D52" i="21"/>
  <c r="D56" i="21" s="1"/>
  <c r="H98" i="20"/>
  <c r="H105" i="20" s="1"/>
  <c r="F98" i="20"/>
  <c r="F105" i="20" s="1"/>
  <c r="D98" i="20"/>
  <c r="D105" i="20" s="1"/>
  <c r="H80" i="20"/>
  <c r="F80" i="20"/>
  <c r="D80" i="20"/>
  <c r="H35" i="20"/>
  <c r="F35" i="20"/>
  <c r="D35" i="20"/>
  <c r="H28" i="20"/>
  <c r="F28" i="20"/>
  <c r="D28" i="20"/>
  <c r="G110" i="19"/>
  <c r="J35" i="19"/>
  <c r="H35" i="19"/>
  <c r="J110" i="18"/>
  <c r="J116" i="18" s="1"/>
  <c r="H110" i="18"/>
  <c r="H116" i="18" s="1"/>
  <c r="F110" i="18"/>
  <c r="F116" i="18" s="1"/>
  <c r="J92" i="18"/>
  <c r="H92" i="18"/>
  <c r="F92" i="18"/>
  <c r="J43" i="18"/>
  <c r="H43" i="18"/>
  <c r="F43" i="18"/>
  <c r="D43" i="18"/>
  <c r="J36" i="18"/>
  <c r="H36" i="18"/>
  <c r="F36" i="18"/>
  <c r="D36" i="18"/>
  <c r="J26" i="18"/>
  <c r="H26" i="18"/>
  <c r="F26" i="18"/>
  <c r="H82" i="21" l="1"/>
  <c r="F82" i="21"/>
  <c r="H37" i="20"/>
  <c r="H84" i="20" s="1"/>
  <c r="H108" i="20" s="1"/>
  <c r="C37" i="26"/>
  <c r="C49" i="26" s="1"/>
  <c r="F37" i="20"/>
  <c r="F84" i="20" s="1"/>
  <c r="F108" i="20" s="1"/>
  <c r="D37" i="20"/>
  <c r="D84" i="20" s="1"/>
  <c r="D108" i="20" s="1"/>
  <c r="G70" i="25"/>
  <c r="I70" i="25"/>
  <c r="D28" i="29"/>
  <c r="V26" i="22"/>
  <c r="V51" i="22" s="1"/>
  <c r="V62" i="22" s="1"/>
  <c r="V74" i="22" s="1"/>
  <c r="F28" i="29"/>
  <c r="J53" i="18"/>
  <c r="J96" i="18" s="1"/>
  <c r="J119" i="18" s="1"/>
  <c r="H26" i="22"/>
  <c r="H51" i="22" s="1"/>
  <c r="H62" i="22" s="1"/>
  <c r="P26" i="22"/>
  <c r="P51" i="22" s="1"/>
  <c r="P62" i="22" s="1"/>
  <c r="P74" i="22" s="1"/>
  <c r="Q30" i="17"/>
  <c r="Q58" i="17" s="1"/>
  <c r="Q107" i="17" s="1"/>
  <c r="Q133" i="17" s="1"/>
  <c r="Q143" i="17" s="1"/>
  <c r="F32" i="27"/>
  <c r="H28" i="29"/>
  <c r="K70" i="25"/>
  <c r="G37" i="26"/>
  <c r="D32" i="27"/>
  <c r="I37" i="26"/>
  <c r="D28" i="28"/>
  <c r="H32" i="27"/>
  <c r="H28" i="19"/>
  <c r="H98" i="19"/>
  <c r="H107" i="19" s="1"/>
  <c r="H53" i="18"/>
  <c r="H96" i="18" s="1"/>
  <c r="H119" i="18" s="1"/>
  <c r="B26" i="22"/>
  <c r="B51" i="22" s="1"/>
  <c r="B62" i="22" s="1"/>
  <c r="J80" i="19"/>
  <c r="J28" i="19"/>
  <c r="I79" i="23"/>
  <c r="I86" i="23" s="1"/>
  <c r="F53" i="18"/>
  <c r="F96" i="18" s="1"/>
  <c r="F119" i="18" s="1"/>
  <c r="H80" i="19"/>
  <c r="D26" i="22"/>
  <c r="D51" i="22" s="1"/>
  <c r="D62" i="22" s="1"/>
  <c r="B32" i="27"/>
  <c r="E70" i="25"/>
  <c r="E37" i="26"/>
  <c r="E49" i="26" s="1"/>
  <c r="K23" i="23"/>
  <c r="E79" i="23"/>
  <c r="E86" i="23" s="1"/>
  <c r="J98" i="19"/>
  <c r="J107" i="19" s="1"/>
  <c r="I23" i="23"/>
  <c r="E28" i="23"/>
  <c r="H28" i="28"/>
  <c r="F26" i="22"/>
  <c r="F51" i="22" s="1"/>
  <c r="F62" i="22" s="1"/>
  <c r="B28" i="29"/>
  <c r="B28" i="28"/>
  <c r="F28" i="28"/>
  <c r="D82" i="21"/>
  <c r="I28" i="23"/>
  <c r="G32" i="24"/>
  <c r="G64" i="24" s="1"/>
  <c r="G88" i="24" s="1"/>
  <c r="I32" i="24"/>
  <c r="I64" i="24" s="1"/>
  <c r="I88" i="24" s="1"/>
  <c r="K32" i="24"/>
  <c r="K64" i="24" s="1"/>
  <c r="K88" i="24" s="1"/>
  <c r="K100" i="24" s="1"/>
  <c r="E32" i="24"/>
  <c r="E64" i="24" s="1"/>
  <c r="E88" i="24" s="1"/>
  <c r="K79" i="23"/>
  <c r="K86" i="23" s="1"/>
  <c r="I61" i="23"/>
  <c r="E61" i="23"/>
  <c r="K61" i="23"/>
  <c r="J37" i="19" l="1"/>
  <c r="J84" i="19" s="1"/>
  <c r="J110" i="19" s="1"/>
  <c r="H37" i="19"/>
  <c r="H84" i="19" s="1"/>
  <c r="H110" i="19" s="1"/>
  <c r="K33" i="23"/>
  <c r="K65" i="23" s="1"/>
  <c r="I33" i="23"/>
  <c r="I65" i="23" s="1"/>
  <c r="I89" i="23" s="1"/>
  <c r="A5" i="14"/>
  <c r="A5" i="13"/>
  <c r="A5" i="12"/>
  <c r="A5" i="11"/>
  <c r="A5" i="10"/>
  <c r="A5" i="9"/>
  <c r="A5" i="8"/>
  <c r="K23" i="12" l="1"/>
  <c r="V32" i="11"/>
  <c r="K41" i="9"/>
  <c r="K40" i="9"/>
  <c r="K28" i="9"/>
  <c r="K39" i="9"/>
  <c r="V22" i="11"/>
  <c r="V20" i="11"/>
  <c r="U22" i="14"/>
  <c r="U20" i="14"/>
  <c r="K32" i="11"/>
  <c r="U21" i="14"/>
  <c r="U25" i="14"/>
  <c r="V33" i="11"/>
  <c r="V21" i="11"/>
  <c r="S22" i="14"/>
  <c r="S21" i="14"/>
  <c r="T20" i="11"/>
  <c r="S20" i="14"/>
  <c r="I23" i="12"/>
  <c r="T33" i="11"/>
  <c r="S25" i="14"/>
  <c r="I32" i="11"/>
  <c r="T32" i="11"/>
  <c r="T21" i="11"/>
  <c r="I41" i="9"/>
  <c r="I39" i="9"/>
  <c r="I28" i="9"/>
  <c r="I40" i="9"/>
  <c r="K89" i="23"/>
  <c r="AD48" i="18"/>
  <c r="K30" i="9" l="1"/>
  <c r="K42" i="9"/>
  <c r="I42" i="9"/>
  <c r="I30" i="9"/>
  <c r="C32" i="10"/>
  <c r="M32" i="10" s="1"/>
  <c r="E32" i="10"/>
  <c r="O32" i="10" s="1"/>
  <c r="R40" i="15"/>
  <c r="E32" i="7" l="1"/>
  <c r="K137" i="30"/>
  <c r="K135" i="30"/>
  <c r="T92" i="18" l="1"/>
  <c r="R92" i="18"/>
  <c r="W48" i="17" l="1"/>
  <c r="O121" i="17"/>
  <c r="O130" i="17" s="1"/>
  <c r="S121" i="17"/>
  <c r="S130" i="17" s="1"/>
  <c r="V80" i="19"/>
  <c r="O48" i="17"/>
  <c r="S48" i="17"/>
  <c r="T80" i="19"/>
  <c r="I48" i="17" l="1"/>
  <c r="S41" i="17" l="1"/>
  <c r="W41" i="17"/>
  <c r="O41" i="17"/>
  <c r="W30" i="16"/>
  <c r="W30" i="17"/>
  <c r="P43" i="37" l="1"/>
  <c r="V43" i="37"/>
  <c r="W96" i="23"/>
  <c r="U60" i="24"/>
  <c r="X43" i="37"/>
  <c r="L43" i="37"/>
  <c r="L45" i="37" s="1"/>
  <c r="X33" i="37"/>
  <c r="W28" i="23"/>
  <c r="Q31" i="23"/>
  <c r="Q96" i="23"/>
  <c r="W31" i="23"/>
  <c r="V33" i="37"/>
  <c r="P33" i="37"/>
  <c r="Y96" i="23"/>
  <c r="W60" i="24"/>
  <c r="U96" i="23"/>
  <c r="S60" i="24"/>
  <c r="R43" i="37"/>
  <c r="U31" i="23"/>
  <c r="T43" i="37"/>
  <c r="T33" i="37"/>
  <c r="N33" i="37"/>
  <c r="N45" i="37" s="1"/>
  <c r="W139" i="17"/>
  <c r="S139" i="17"/>
  <c r="W103" i="17"/>
  <c r="S103" i="17"/>
  <c r="U23" i="23"/>
  <c r="Y139" i="17"/>
  <c r="Q28" i="23"/>
  <c r="W58" i="17"/>
  <c r="P45" i="37" l="1"/>
  <c r="W48" i="16"/>
  <c r="I41" i="17"/>
  <c r="I30" i="17"/>
  <c r="I30" i="16"/>
  <c r="K96" i="23"/>
  <c r="B69" i="22"/>
  <c r="T45" i="37"/>
  <c r="S41" i="16"/>
  <c r="Y28" i="23"/>
  <c r="W23" i="23"/>
  <c r="O41" i="16"/>
  <c r="Q23" i="23"/>
  <c r="W41" i="16"/>
  <c r="S121" i="16"/>
  <c r="S130" i="16" s="1"/>
  <c r="W86" i="23"/>
  <c r="R25" i="37"/>
  <c r="T25" i="37"/>
  <c r="V25" i="37"/>
  <c r="X25" i="37"/>
  <c r="N25" i="37"/>
  <c r="P25" i="37"/>
  <c r="U28" i="23"/>
  <c r="V45" i="37"/>
  <c r="O48" i="16"/>
  <c r="U79" i="23"/>
  <c r="U86" i="23" s="1"/>
  <c r="R45" i="37"/>
  <c r="S48" i="16"/>
  <c r="W107" i="17"/>
  <c r="X45" i="37"/>
  <c r="Y33" i="23" l="1"/>
  <c r="Y65" i="23" s="1"/>
  <c r="Y89" i="23" s="1"/>
  <c r="Y101" i="23" s="1"/>
  <c r="Q33" i="23"/>
  <c r="AA101" i="23"/>
  <c r="W33" i="23"/>
  <c r="U33" i="23"/>
  <c r="AI57" i="23"/>
  <c r="AN57" i="23" s="1"/>
  <c r="I121" i="16"/>
  <c r="I130" i="16" s="1"/>
  <c r="I48" i="16"/>
  <c r="I58" i="17"/>
  <c r="I41" i="16"/>
  <c r="I96" i="23"/>
  <c r="I103" i="16"/>
  <c r="I103" i="17"/>
  <c r="W58" i="16"/>
  <c r="I107" i="17" l="1"/>
  <c r="I133" i="17" s="1"/>
  <c r="I143" i="17" s="1"/>
  <c r="K101" i="23"/>
  <c r="I58" i="16"/>
  <c r="I107" i="16" s="1"/>
  <c r="I133" i="16" s="1"/>
  <c r="P28" i="5" l="1"/>
  <c r="J49" i="3" l="1"/>
  <c r="G25" i="11"/>
  <c r="I42" i="10"/>
  <c r="I35" i="10"/>
  <c r="I40" i="13"/>
  <c r="I25" i="11" l="1"/>
  <c r="K25" i="11"/>
  <c r="N28" i="15"/>
  <c r="N37" i="15" s="1"/>
  <c r="G96" i="23" l="1"/>
  <c r="G101" i="23" l="1"/>
  <c r="AA51" i="3" l="1"/>
  <c r="R34" i="11" l="1"/>
  <c r="AG30" i="19"/>
  <c r="T34" i="11" l="1"/>
  <c r="V34" i="11"/>
  <c r="Q30" i="16"/>
  <c r="Q58" i="16" l="1"/>
  <c r="Q107" i="16" s="1"/>
  <c r="Q133" i="16" s="1"/>
  <c r="AI55" i="23"/>
  <c r="AG54" i="19"/>
  <c r="AG59" i="19"/>
  <c r="AI52" i="23"/>
  <c r="AG56" i="19"/>
  <c r="AG24" i="19"/>
  <c r="AI50" i="23"/>
  <c r="AI71" i="23"/>
  <c r="AI58" i="23"/>
  <c r="AI49" i="23"/>
  <c r="P33" i="6"/>
  <c r="AG60" i="19"/>
  <c r="AG75" i="19"/>
  <c r="AG94" i="19"/>
  <c r="AG44" i="19"/>
  <c r="AI82" i="23"/>
  <c r="AG74" i="19"/>
  <c r="AG48" i="19"/>
  <c r="AI30" i="23"/>
  <c r="AG96" i="19"/>
  <c r="AI45" i="23"/>
  <c r="AI39" i="23"/>
  <c r="AI37" i="23"/>
  <c r="AG71" i="19"/>
  <c r="AG73" i="19"/>
  <c r="AE96" i="16" s="1"/>
  <c r="AG88" i="19"/>
  <c r="AI70" i="23"/>
  <c r="AG31" i="19"/>
  <c r="AG97" i="19"/>
  <c r="AG53" i="19"/>
  <c r="AI83" i="23"/>
  <c r="AG58" i="19"/>
  <c r="AG25" i="19"/>
  <c r="P24" i="6"/>
  <c r="AG23" i="19"/>
  <c r="AE35" i="16" s="1"/>
  <c r="AG95" i="19"/>
  <c r="AG51" i="19"/>
  <c r="P26" i="5"/>
  <c r="AG79" i="19"/>
  <c r="AG62" i="19"/>
  <c r="AG32" i="19"/>
  <c r="AG78" i="19"/>
  <c r="AI76" i="23"/>
  <c r="AG93" i="19"/>
  <c r="AG50" i="19"/>
  <c r="AG34" i="19"/>
  <c r="AG52" i="19"/>
  <c r="AI73" i="23"/>
  <c r="AI22" i="23"/>
  <c r="AI59" i="23"/>
  <c r="AI20" i="23"/>
  <c r="AI47" i="23"/>
  <c r="AG41" i="19"/>
  <c r="AE62" i="16" s="1"/>
  <c r="AI54" i="23"/>
  <c r="AD40" i="2"/>
  <c r="P20" i="5"/>
  <c r="AG100" i="19"/>
  <c r="AG33" i="19"/>
  <c r="AE46" i="16" s="1"/>
  <c r="AI69" i="23"/>
  <c r="P36" i="5"/>
  <c r="AG57" i="19"/>
  <c r="AG49" i="19"/>
  <c r="AG89" i="19"/>
  <c r="AI78" i="23"/>
  <c r="AG43" i="19"/>
  <c r="AI81" i="23"/>
  <c r="AI41" i="23"/>
  <c r="AI75" i="23"/>
  <c r="AG72" i="19"/>
  <c r="AL72" i="19" s="1"/>
  <c r="AG68" i="19"/>
  <c r="AG64" i="19"/>
  <c r="AI25" i="23"/>
  <c r="AG46" i="19"/>
  <c r="AL46" i="19" s="1"/>
  <c r="AI63" i="23"/>
  <c r="AI77" i="23"/>
  <c r="AG26" i="19"/>
  <c r="P25" i="6"/>
  <c r="AD20" i="22"/>
  <c r="AG90" i="19"/>
  <c r="AG82" i="19"/>
  <c r="AG65" i="19"/>
  <c r="P19" i="5"/>
  <c r="AG105" i="19"/>
  <c r="AE128" i="17" s="1"/>
  <c r="AG102" i="19"/>
  <c r="P27" i="5"/>
  <c r="AI42" i="23"/>
  <c r="AG63" i="19"/>
  <c r="AL63" i="19" s="1"/>
  <c r="AG77" i="19"/>
  <c r="AI44" i="23"/>
  <c r="AG92" i="19"/>
  <c r="AG76" i="19"/>
  <c r="AG45" i="19"/>
  <c r="AG66" i="19"/>
  <c r="AD26" i="22" l="1"/>
  <c r="AD51" i="22" s="1"/>
  <c r="AD62" i="22" s="1"/>
  <c r="AN92" i="23"/>
  <c r="AI96" i="23"/>
  <c r="AL96" i="23" s="1"/>
  <c r="AE85" i="16"/>
  <c r="AI31" i="23"/>
  <c r="AE53" i="16"/>
  <c r="AH128" i="17"/>
  <c r="AJ128" i="17" s="1"/>
  <c r="AE95" i="16"/>
  <c r="AL22" i="23"/>
  <c r="AN22" i="23" s="1"/>
  <c r="AE100" i="16"/>
  <c r="I26" i="13"/>
  <c r="I27" i="13" s="1"/>
  <c r="I32" i="13"/>
  <c r="I33" i="13" s="1"/>
  <c r="AD31" i="15"/>
  <c r="AI23" i="23"/>
  <c r="AI28" i="23"/>
  <c r="AI79" i="23"/>
  <c r="AI86" i="23" s="1"/>
  <c r="AI61" i="23"/>
  <c r="AD41" i="2"/>
  <c r="AD28" i="2"/>
  <c r="P26" i="6"/>
  <c r="AD30" i="2"/>
  <c r="AD33" i="2"/>
  <c r="AD29" i="2"/>
  <c r="AD25" i="2"/>
  <c r="AD38" i="2"/>
  <c r="AD36" i="2"/>
  <c r="AD32" i="2"/>
  <c r="AD37" i="2"/>
  <c r="AD24" i="2"/>
  <c r="AD31" i="2"/>
  <c r="AG69" i="19"/>
  <c r="AE136" i="17"/>
  <c r="AD19" i="2"/>
  <c r="AD48" i="2"/>
  <c r="AI48" i="2" s="1"/>
  <c r="AD26" i="2"/>
  <c r="AD51" i="2" l="1"/>
  <c r="AE136" i="16"/>
  <c r="AJ136" i="16" s="1"/>
  <c r="AC103" i="23"/>
  <c r="AG80" i="19"/>
  <c r="AD18" i="2" s="1"/>
  <c r="AE92" i="16"/>
  <c r="AI33" i="23"/>
  <c r="AI65" i="23" s="1"/>
  <c r="AI89" i="23" s="1"/>
  <c r="AI101" i="23" s="1"/>
  <c r="T98" i="19"/>
  <c r="T107" i="19" s="1"/>
  <c r="V98" i="19"/>
  <c r="V107" i="19" s="1"/>
  <c r="T35" i="19"/>
  <c r="V35" i="19"/>
  <c r="T28" i="19"/>
  <c r="V28" i="19"/>
  <c r="V37" i="19" l="1"/>
  <c r="V84" i="19" s="1"/>
  <c r="V110" i="19" s="1"/>
  <c r="T37" i="19"/>
  <c r="T84" i="19" s="1"/>
  <c r="T110" i="19" s="1"/>
  <c r="K64" i="30"/>
  <c r="AJ73" i="25"/>
  <c r="F32" i="15"/>
  <c r="F34" i="15"/>
  <c r="AI62" i="18"/>
  <c r="J43" i="37"/>
  <c r="N51" i="15"/>
  <c r="N54" i="15" s="1"/>
  <c r="F33" i="15"/>
  <c r="AJ74" i="25"/>
  <c r="J45" i="37" l="1"/>
  <c r="J25" i="37"/>
  <c r="K30" i="16"/>
  <c r="L35" i="19"/>
  <c r="L80" i="19"/>
  <c r="L28" i="19"/>
  <c r="L98" i="19"/>
  <c r="L107" i="19" s="1"/>
  <c r="L37" i="19" l="1"/>
  <c r="L84" i="19" s="1"/>
  <c r="L110" i="19" s="1"/>
  <c r="M101" i="23"/>
  <c r="K121" i="16"/>
  <c r="K41" i="16"/>
  <c r="K48" i="16"/>
  <c r="K103" i="16"/>
  <c r="AB35" i="17"/>
  <c r="AH35" i="17" s="1"/>
  <c r="AJ35" i="17" s="1"/>
  <c r="AJ23" i="20"/>
  <c r="AL23" i="20" s="1"/>
  <c r="V31" i="15"/>
  <c r="K58" i="16" l="1"/>
  <c r="K107" i="16" s="1"/>
  <c r="AD23" i="19"/>
  <c r="AJ23" i="19" l="1"/>
  <c r="AL23" i="19" s="1"/>
  <c r="J31" i="15"/>
  <c r="AH35" i="16"/>
  <c r="AJ35" i="16" s="1"/>
  <c r="AE71" i="17" l="1"/>
  <c r="AB71" i="17" l="1"/>
  <c r="AH71" i="17" s="1"/>
  <c r="AJ71" i="17" s="1"/>
  <c r="AJ48" i="20" l="1"/>
  <c r="AL48" i="20" s="1"/>
  <c r="AE71" i="16" l="1"/>
  <c r="AD48" i="19"/>
  <c r="AJ48" i="19" s="1"/>
  <c r="AL48" i="19" s="1"/>
  <c r="AB71" i="16"/>
  <c r="AH71" i="16" l="1"/>
  <c r="AJ71" i="16" s="1"/>
  <c r="U95" i="24" l="1"/>
  <c r="U78" i="24"/>
  <c r="U85" i="24" s="1"/>
  <c r="U30" i="24"/>
  <c r="U27" i="24"/>
  <c r="U22" i="24"/>
  <c r="U76" i="25"/>
  <c r="U60" i="25"/>
  <c r="U67" i="25" s="1"/>
  <c r="U32" i="24" l="1"/>
  <c r="U64" i="24" l="1"/>
  <c r="U88" i="24" s="1"/>
  <c r="U100" i="24" s="1"/>
  <c r="AL50" i="25"/>
  <c r="M191" i="42" l="1"/>
  <c r="M197" i="42"/>
  <c r="V13" i="15"/>
  <c r="R13" i="15"/>
  <c r="P13" i="15"/>
  <c r="N13" i="15"/>
  <c r="L13" i="15"/>
  <c r="J13" i="15"/>
  <c r="H13" i="15"/>
  <c r="AD12" i="15"/>
  <c r="X12" i="15"/>
  <c r="R12" i="15"/>
  <c r="N12" i="15"/>
  <c r="J12" i="15"/>
  <c r="M196" i="42" l="1"/>
  <c r="AJ55" i="24"/>
  <c r="AJ38" i="25"/>
  <c r="AL56" i="23" l="1"/>
  <c r="R28" i="20" l="1"/>
  <c r="AL73" i="25" l="1"/>
  <c r="AL52" i="25"/>
  <c r="AL39" i="25"/>
  <c r="AL37" i="25"/>
  <c r="AL36" i="25"/>
  <c r="AL32" i="25"/>
  <c r="AL33" i="25"/>
  <c r="AL29" i="25"/>
  <c r="AL31" i="25"/>
  <c r="AL24" i="25"/>
  <c r="AL25" i="25"/>
  <c r="AL26" i="25"/>
  <c r="AL27" i="25"/>
  <c r="AL28" i="25"/>
  <c r="AL23" i="25"/>
  <c r="AL21" i="25"/>
  <c r="AL19" i="25"/>
  <c r="AL41" i="24"/>
  <c r="AL24" i="24"/>
  <c r="AN25" i="23"/>
  <c r="AL27" i="21"/>
  <c r="AL28" i="21"/>
  <c r="AL29" i="21"/>
  <c r="AL30" i="21"/>
  <c r="AL26" i="21"/>
  <c r="AL22" i="21"/>
  <c r="AL23" i="21"/>
  <c r="AL24" i="21"/>
  <c r="V52" i="15" l="1"/>
  <c r="V51" i="15"/>
  <c r="V50" i="15"/>
  <c r="V49" i="15"/>
  <c r="V48" i="15"/>
  <c r="N45" i="15"/>
  <c r="V44" i="15"/>
  <c r="V43" i="15"/>
  <c r="V42" i="15"/>
  <c r="V41" i="15"/>
  <c r="V40" i="15"/>
  <c r="V33" i="15"/>
  <c r="V32" i="15"/>
  <c r="V30" i="15"/>
  <c r="V28" i="15"/>
  <c r="V24" i="15"/>
  <c r="R25" i="15"/>
  <c r="P25" i="15"/>
  <c r="N25" i="15"/>
  <c r="V54" i="15" l="1"/>
  <c r="V45" i="15"/>
  <c r="N56" i="15"/>
  <c r="AE44" i="26" l="1"/>
  <c r="K94" i="30" l="1"/>
  <c r="J18" i="6"/>
  <c r="F16" i="15"/>
  <c r="F17" i="15"/>
  <c r="F18" i="15"/>
  <c r="F19" i="15"/>
  <c r="F22" i="15"/>
  <c r="X23" i="15"/>
  <c r="F24" i="15"/>
  <c r="F28" i="15"/>
  <c r="F30" i="15"/>
  <c r="F40" i="15"/>
  <c r="F41" i="15"/>
  <c r="F42" i="15"/>
  <c r="F43" i="15"/>
  <c r="F49" i="15"/>
  <c r="X49" i="15" s="1"/>
  <c r="F50" i="15"/>
  <c r="X50" i="15" s="1"/>
  <c r="F52" i="15"/>
  <c r="X52" i="15" s="1"/>
  <c r="X16" i="15" l="1"/>
  <c r="F21" i="15"/>
  <c r="F25" i="15" s="1"/>
  <c r="X18" i="15"/>
  <c r="X24" i="15"/>
  <c r="X19" i="15"/>
  <c r="X17" i="15"/>
  <c r="X20" i="15"/>
  <c r="X21" i="15" l="1"/>
  <c r="J33" i="28"/>
  <c r="AI128" i="18" l="1"/>
  <c r="AK128"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J12" i="43" s="1"/>
  <c r="AL57" i="23" l="1"/>
  <c r="M199" i="42" l="1"/>
  <c r="AJ56" i="24"/>
  <c r="AJ49" i="21" l="1"/>
  <c r="AL49" i="21" s="1"/>
  <c r="AD74" i="22" l="1"/>
  <c r="X69" i="22" l="1"/>
  <c r="X59" i="22"/>
  <c r="X47" i="22"/>
  <c r="X20" i="22"/>
  <c r="T69" i="22"/>
  <c r="T59" i="22"/>
  <c r="T47" i="22"/>
  <c r="T20" i="22"/>
  <c r="R69" i="22"/>
  <c r="R59" i="22"/>
  <c r="R47" i="22"/>
  <c r="R20" i="22"/>
  <c r="N20" i="22"/>
  <c r="J69" i="22"/>
  <c r="J47" i="22"/>
  <c r="J20" i="22"/>
  <c r="H69" i="22"/>
  <c r="F69" i="22"/>
  <c r="L20" i="2" l="1"/>
  <c r="J26" i="22"/>
  <c r="J51" i="22" s="1"/>
  <c r="R26" i="22"/>
  <c r="R51" i="22" s="1"/>
  <c r="R62" i="22" s="1"/>
  <c r="R74" i="22" s="1"/>
  <c r="H74" i="22"/>
  <c r="X26" i="22"/>
  <c r="X51" i="22" s="1"/>
  <c r="X62" i="22" s="1"/>
  <c r="X74" i="22" s="1"/>
  <c r="F74" i="22"/>
  <c r="T26" i="22"/>
  <c r="T51" i="22" s="1"/>
  <c r="T62" i="22" s="1"/>
  <c r="T74" i="22" s="1"/>
  <c r="P17" i="29"/>
  <c r="G25" i="14" l="1"/>
  <c r="I25" i="14" l="1"/>
  <c r="K25" i="14"/>
  <c r="G25" i="13"/>
  <c r="G40" i="7"/>
  <c r="AN42" i="23" l="1"/>
  <c r="AJ24" i="25"/>
  <c r="AJ41" i="24"/>
  <c r="AL42" i="23" l="1"/>
  <c r="AA34" i="3" l="1"/>
  <c r="AI87" i="18" l="1"/>
  <c r="AK87" i="18" s="1"/>
  <c r="AI88" i="18"/>
  <c r="AK88" i="18" s="1"/>
  <c r="AE101" i="17"/>
  <c r="AE66" i="17"/>
  <c r="AG46" i="22" l="1"/>
  <c r="AI46" i="22" s="1"/>
  <c r="AG30" i="22"/>
  <c r="AI30" i="22" s="1"/>
  <c r="AE97" i="17" l="1"/>
  <c r="AN50" i="23" l="1"/>
  <c r="AJ32" i="25"/>
  <c r="AJ49" i="24"/>
  <c r="AL49" i="24" s="1"/>
  <c r="AL50" i="23" l="1"/>
  <c r="R80" i="20" l="1"/>
  <c r="AL25" i="23" l="1"/>
  <c r="AA42" i="25" l="1"/>
  <c r="Y42" i="25"/>
  <c r="W42" i="25"/>
  <c r="S42" i="25"/>
  <c r="W103" i="16" l="1"/>
  <c r="W107" i="16" s="1"/>
  <c r="W61" i="23"/>
  <c r="A39" i="13"/>
  <c r="A41" i="11"/>
  <c r="A41" i="10"/>
  <c r="A49" i="9"/>
  <c r="W65" i="23" l="1"/>
  <c r="W89" i="23" s="1"/>
  <c r="W101" i="23" s="1"/>
  <c r="Q31" i="14"/>
  <c r="AL59" i="25"/>
  <c r="Q24" i="14"/>
  <c r="G32" i="14"/>
  <c r="R31" i="11"/>
  <c r="G33" i="11"/>
  <c r="G31" i="11"/>
  <c r="G24" i="11"/>
  <c r="AJ75" i="20"/>
  <c r="AL75" i="20" s="1"/>
  <c r="AJ63" i="20"/>
  <c r="G20" i="11"/>
  <c r="AE27" i="17"/>
  <c r="AE28" i="17"/>
  <c r="AE127" i="16"/>
  <c r="AE139" i="17"/>
  <c r="AE76" i="17"/>
  <c r="AE75" i="17"/>
  <c r="AE74" i="17"/>
  <c r="AE73" i="17"/>
  <c r="AE72" i="17"/>
  <c r="AE70" i="17"/>
  <c r="AE70" i="16"/>
  <c r="AG37" i="22"/>
  <c r="AI37" i="22" s="1"/>
  <c r="AG36" i="22"/>
  <c r="AI36" i="22" s="1"/>
  <c r="AG35" i="22"/>
  <c r="AI35" i="22" s="1"/>
  <c r="AG34" i="22"/>
  <c r="AI34" i="22" s="1"/>
  <c r="AG32" i="22"/>
  <c r="AI32" i="22" s="1"/>
  <c r="AE54" i="17"/>
  <c r="AE53" i="17"/>
  <c r="AE54" i="16"/>
  <c r="AE52" i="16"/>
  <c r="AE51" i="16"/>
  <c r="AE101" i="16"/>
  <c r="AE97" i="16"/>
  <c r="AE74" i="16"/>
  <c r="AE73" i="16"/>
  <c r="AE66" i="16"/>
  <c r="AG28" i="20"/>
  <c r="I31" i="11" l="1"/>
  <c r="K31" i="11"/>
  <c r="I33" i="11"/>
  <c r="K33" i="11"/>
  <c r="T31" i="11"/>
  <c r="V31" i="11"/>
  <c r="I32" i="14"/>
  <c r="K32" i="14"/>
  <c r="K20" i="11"/>
  <c r="I20" i="11"/>
  <c r="S24" i="14"/>
  <c r="U24" i="14"/>
  <c r="S31" i="14"/>
  <c r="U31" i="14"/>
  <c r="I24" i="11"/>
  <c r="K24" i="11"/>
  <c r="G33" i="8"/>
  <c r="AD23" i="15"/>
  <c r="AH23" i="15" s="1"/>
  <c r="AJ23" i="15" s="1"/>
  <c r="AD50" i="15"/>
  <c r="AH50" i="15" s="1"/>
  <c r="AJ50" i="15" s="1"/>
  <c r="AD52" i="15"/>
  <c r="AH52" i="15" s="1"/>
  <c r="AJ52" i="15" s="1"/>
  <c r="AD49" i="15"/>
  <c r="AH49" i="15" s="1"/>
  <c r="AJ49" i="15" s="1"/>
  <c r="G30" i="11"/>
  <c r="R30" i="11"/>
  <c r="AL54" i="21"/>
  <c r="R24" i="11"/>
  <c r="G24" i="14"/>
  <c r="G26" i="14"/>
  <c r="G31" i="14"/>
  <c r="AJ93" i="24"/>
  <c r="AL93" i="24" s="1"/>
  <c r="Q32" i="14"/>
  <c r="R23" i="11"/>
  <c r="N14" i="2"/>
  <c r="AE72" i="16"/>
  <c r="AE75" i="16"/>
  <c r="AG16" i="22"/>
  <c r="AI16" i="22" s="1"/>
  <c r="Q23" i="14"/>
  <c r="G20" i="12"/>
  <c r="AE76" i="16"/>
  <c r="AG33" i="22"/>
  <c r="AI33" i="22" s="1"/>
  <c r="G34" i="11"/>
  <c r="AJ31" i="21"/>
  <c r="AL31" i="21" s="1"/>
  <c r="T30" i="11" l="1"/>
  <c r="V30" i="11"/>
  <c r="S32" i="14"/>
  <c r="U32" i="14"/>
  <c r="I30" i="11"/>
  <c r="K30" i="11"/>
  <c r="I34" i="11"/>
  <c r="K34" i="11"/>
  <c r="T23" i="11"/>
  <c r="V23" i="11"/>
  <c r="S23" i="14"/>
  <c r="U23" i="14"/>
  <c r="I31" i="14"/>
  <c r="K31" i="14"/>
  <c r="I26" i="14"/>
  <c r="K26" i="14"/>
  <c r="I24" i="14"/>
  <c r="K24" i="14"/>
  <c r="I20" i="12"/>
  <c r="K20" i="12"/>
  <c r="T24" i="11"/>
  <c r="V24" i="11"/>
  <c r="G32" i="13"/>
  <c r="G31" i="13"/>
  <c r="G24" i="13"/>
  <c r="J28" i="5" l="1"/>
  <c r="J19" i="5"/>
  <c r="H14" i="5"/>
  <c r="P14" i="5" s="1"/>
  <c r="L14" i="5"/>
  <c r="F15" i="5"/>
  <c r="H15" i="5"/>
  <c r="J15" i="5"/>
  <c r="J20" i="5"/>
  <c r="P21" i="5"/>
  <c r="P29" i="5"/>
  <c r="P37" i="5"/>
  <c r="P32" i="5" l="1"/>
  <c r="P42" i="5" s="1"/>
  <c r="J27" i="5"/>
  <c r="J26" i="5"/>
  <c r="J36" i="5"/>
  <c r="J35" i="5"/>
  <c r="J25" i="5"/>
  <c r="L116" i="19"/>
  <c r="K140" i="30" l="1"/>
  <c r="G11" i="42"/>
  <c r="J37" i="5"/>
  <c r="J29" i="5"/>
  <c r="L120" i="19" l="1"/>
  <c r="AE138" i="16" l="1"/>
  <c r="Z35" i="20"/>
  <c r="X35" i="20"/>
  <c r="V35" i="20"/>
  <c r="T35" i="20"/>
  <c r="R35" i="20"/>
  <c r="P35" i="20"/>
  <c r="L35" i="20"/>
  <c r="Z28" i="20"/>
  <c r="X28" i="20"/>
  <c r="V28" i="20"/>
  <c r="T28" i="20"/>
  <c r="L28" i="20"/>
  <c r="AG37" i="20"/>
  <c r="R37" i="20" l="1"/>
  <c r="P37" i="20"/>
  <c r="P84" i="20" s="1"/>
  <c r="P108" i="20" s="1"/>
  <c r="P118" i="20" s="1"/>
  <c r="V37" i="20"/>
  <c r="T37" i="20"/>
  <c r="X37" i="20"/>
  <c r="L37" i="20"/>
  <c r="AE102" i="17" l="1"/>
  <c r="AE99" i="17"/>
  <c r="AE98" i="17"/>
  <c r="AE95" i="17"/>
  <c r="AE94" i="17"/>
  <c r="AE91" i="17"/>
  <c r="AE89" i="17"/>
  <c r="AE83" i="17"/>
  <c r="AE88" i="17"/>
  <c r="AE87" i="17"/>
  <c r="AE86" i="17"/>
  <c r="AJ86" i="17" s="1"/>
  <c r="AE82" i="17"/>
  <c r="AE81" i="17"/>
  <c r="AE80" i="17"/>
  <c r="AE79" i="17"/>
  <c r="AE77" i="17"/>
  <c r="AE68" i="17"/>
  <c r="AE67" i="17"/>
  <c r="AE65" i="17"/>
  <c r="AE63" i="17"/>
  <c r="AE33" i="17"/>
  <c r="AE38" i="17"/>
  <c r="AE36" i="17"/>
  <c r="AE47" i="17"/>
  <c r="AE44" i="17"/>
  <c r="AE127" i="17"/>
  <c r="AE124" i="17"/>
  <c r="AE125" i="17"/>
  <c r="AE123" i="17"/>
  <c r="AE120" i="17"/>
  <c r="AE119" i="17"/>
  <c r="AE118" i="17"/>
  <c r="AE117" i="17"/>
  <c r="AE116" i="17"/>
  <c r="AE115" i="17"/>
  <c r="AE113" i="17"/>
  <c r="AE112" i="17"/>
  <c r="AE111" i="17"/>
  <c r="AE63" i="16" l="1"/>
  <c r="AE62" i="17"/>
  <c r="AE121" i="17"/>
  <c r="AE130" i="17" s="1"/>
  <c r="G23" i="11" l="1"/>
  <c r="I23" i="11" l="1"/>
  <c r="K23" i="11"/>
  <c r="P41" i="43"/>
  <c r="P43" i="43" s="1"/>
  <c r="AF43" i="18" l="1"/>
  <c r="X43" i="18"/>
  <c r="T43" i="18"/>
  <c r="AD17" i="2" l="1"/>
  <c r="AA18" i="3"/>
  <c r="AG30" i="24"/>
  <c r="AA30" i="24"/>
  <c r="W30" i="24"/>
  <c r="S30" i="24"/>
  <c r="M30" i="24"/>
  <c r="AG22" i="24"/>
  <c r="AA22" i="24"/>
  <c r="W22" i="24"/>
  <c r="S22" i="24"/>
  <c r="M22" i="24"/>
  <c r="AA27" i="24"/>
  <c r="W27" i="24"/>
  <c r="S27" i="24"/>
  <c r="Q27" i="24"/>
  <c r="Q32" i="24" s="1"/>
  <c r="M27" i="24"/>
  <c r="AE50" i="16"/>
  <c r="AE29" i="16"/>
  <c r="AE25" i="16"/>
  <c r="AE24" i="16"/>
  <c r="AE23" i="16"/>
  <c r="AE52" i="17"/>
  <c r="AE51" i="17"/>
  <c r="AE50" i="17"/>
  <c r="AE46" i="17"/>
  <c r="AE45" i="17"/>
  <c r="AE43" i="17"/>
  <c r="AE37" i="17"/>
  <c r="AE34" i="17"/>
  <c r="AE32" i="17"/>
  <c r="AE29" i="17"/>
  <c r="AE25" i="17"/>
  <c r="AE24" i="17"/>
  <c r="AE23" i="17"/>
  <c r="AJ25" i="24"/>
  <c r="AL25" i="24" s="1"/>
  <c r="AJ24" i="24"/>
  <c r="AE56" i="16" l="1"/>
  <c r="AE56" i="17"/>
  <c r="AD48" i="15"/>
  <c r="AD17" i="15"/>
  <c r="AD24" i="15"/>
  <c r="AH24" i="15" s="1"/>
  <c r="AJ24" i="15" s="1"/>
  <c r="AD18" i="15"/>
  <c r="AH18" i="15" s="1"/>
  <c r="AJ18" i="15" s="1"/>
  <c r="AD51" i="15"/>
  <c r="AD19" i="15"/>
  <c r="AH19" i="15" s="1"/>
  <c r="AJ19" i="15" s="1"/>
  <c r="AD20" i="15"/>
  <c r="AH20" i="15" s="1"/>
  <c r="AJ20" i="15" s="1"/>
  <c r="G22" i="14"/>
  <c r="AE48" i="17"/>
  <c r="AG32" i="24"/>
  <c r="C48" i="17"/>
  <c r="Q64" i="24"/>
  <c r="S32" i="24"/>
  <c r="S64" i="24" s="1"/>
  <c r="AA32" i="24"/>
  <c r="AA64" i="24" s="1"/>
  <c r="AJ29" i="24"/>
  <c r="AL29" i="24" s="1"/>
  <c r="M32" i="24"/>
  <c r="M64" i="24" s="1"/>
  <c r="W32" i="24"/>
  <c r="W64" i="24" s="1"/>
  <c r="AE41" i="17"/>
  <c r="C30" i="17"/>
  <c r="I22" i="14" l="1"/>
  <c r="K22" i="14"/>
  <c r="AH17" i="15"/>
  <c r="AJ17" i="15" s="1"/>
  <c r="G22" i="13"/>
  <c r="K22" i="13" s="1"/>
  <c r="AJ30" i="24"/>
  <c r="AL30" i="24" s="1"/>
  <c r="R41" i="15"/>
  <c r="R51" i="15"/>
  <c r="R54" i="15" s="1"/>
  <c r="AG22" i="22"/>
  <c r="AI22" i="22" s="1"/>
  <c r="AG19" i="22"/>
  <c r="AI19" i="22" s="1"/>
  <c r="C30" i="16"/>
  <c r="AJ41" i="25"/>
  <c r="AL41" i="25" s="1"/>
  <c r="AJ40" i="25"/>
  <c r="AL40" i="25" s="1"/>
  <c r="AJ39" i="25"/>
  <c r="AJ37" i="25"/>
  <c r="AJ36" i="25"/>
  <c r="AJ34" i="25"/>
  <c r="AL34" i="25" s="1"/>
  <c r="AJ29" i="25"/>
  <c r="AJ31" i="25"/>
  <c r="AJ28" i="25"/>
  <c r="AJ27" i="25"/>
  <c r="AJ26" i="25"/>
  <c r="AJ25" i="25"/>
  <c r="AJ23" i="25"/>
  <c r="AJ21" i="25"/>
  <c r="AJ58" i="24"/>
  <c r="AL58" i="24" s="1"/>
  <c r="AJ57" i="24"/>
  <c r="AL57" i="24" s="1"/>
  <c r="AJ54" i="24"/>
  <c r="AL54" i="24" s="1"/>
  <c r="AJ53" i="24"/>
  <c r="AL53" i="24" s="1"/>
  <c r="AJ51" i="24"/>
  <c r="AL51" i="24" s="1"/>
  <c r="AJ50" i="24"/>
  <c r="AL50" i="24" s="1"/>
  <c r="AJ45" i="24"/>
  <c r="AL45" i="24" s="1"/>
  <c r="AJ44" i="24"/>
  <c r="AL44" i="24" s="1"/>
  <c r="AJ42" i="24"/>
  <c r="AL42" i="24" s="1"/>
  <c r="AE105" i="16"/>
  <c r="AE91" i="16"/>
  <c r="AE68" i="16"/>
  <c r="AG114" i="20"/>
  <c r="AJ34" i="20"/>
  <c r="AL34" i="20" s="1"/>
  <c r="AJ33" i="20"/>
  <c r="AL33" i="20" s="1"/>
  <c r="AJ32" i="20"/>
  <c r="AL32" i="20" s="1"/>
  <c r="AJ31" i="20"/>
  <c r="AL31" i="20" s="1"/>
  <c r="AA17" i="3"/>
  <c r="AJ26" i="20"/>
  <c r="AL26" i="20" s="1"/>
  <c r="AJ25" i="20"/>
  <c r="AL25" i="20" s="1"/>
  <c r="AJ24" i="20"/>
  <c r="AL24" i="20" s="1"/>
  <c r="AJ22" i="20"/>
  <c r="AL22" i="20" s="1"/>
  <c r="AJ21" i="20"/>
  <c r="AL21" i="20" s="1"/>
  <c r="AL27" i="23" l="1"/>
  <c r="AN27" i="23" s="1"/>
  <c r="R44" i="15"/>
  <c r="R45" i="15" s="1"/>
  <c r="AL21" i="23"/>
  <c r="AN21" i="23" s="1"/>
  <c r="R32" i="15"/>
  <c r="R34" i="15"/>
  <c r="B74" i="22"/>
  <c r="AJ42" i="25"/>
  <c r="AL42" i="25" s="1"/>
  <c r="AB27" i="16"/>
  <c r="AE27" i="16"/>
  <c r="AD22" i="15" s="1"/>
  <c r="C48" i="16"/>
  <c r="AL30" i="23"/>
  <c r="AN30" i="23" s="1"/>
  <c r="AE67" i="16"/>
  <c r="AE79" i="16"/>
  <c r="AE83" i="16"/>
  <c r="AE94" i="16"/>
  <c r="AE102" i="16"/>
  <c r="AJ30" i="20"/>
  <c r="AE77" i="16"/>
  <c r="AE82" i="16"/>
  <c r="AE33" i="16"/>
  <c r="AE38" i="16"/>
  <c r="AE45" i="16"/>
  <c r="AE65" i="16"/>
  <c r="AE81" i="16"/>
  <c r="AE87" i="16"/>
  <c r="AE32" i="16"/>
  <c r="AE37" i="16"/>
  <c r="AE44" i="16"/>
  <c r="AE98" i="16"/>
  <c r="AE34" i="16"/>
  <c r="AE88" i="16"/>
  <c r="AE80" i="16"/>
  <c r="AE86" i="16"/>
  <c r="AJ86" i="16" s="1"/>
  <c r="AE89" i="16"/>
  <c r="AE99" i="16"/>
  <c r="AE36" i="16"/>
  <c r="AE47" i="16"/>
  <c r="AD25" i="19"/>
  <c r="C58" i="17"/>
  <c r="AD24" i="19"/>
  <c r="AD34" i="19"/>
  <c r="AD26" i="19"/>
  <c r="AD22" i="19"/>
  <c r="AD33" i="19"/>
  <c r="AG35" i="19"/>
  <c r="AD16" i="2" s="1"/>
  <c r="AE43" i="16"/>
  <c r="AD32" i="19"/>
  <c r="AG116" i="19"/>
  <c r="AD30" i="19"/>
  <c r="AG98" i="19"/>
  <c r="AG107" i="19" s="1"/>
  <c r="AD31" i="19"/>
  <c r="AG28" i="19"/>
  <c r="AF28" i="23"/>
  <c r="AL26" i="23"/>
  <c r="AN26" i="23" s="1"/>
  <c r="AJ59" i="24"/>
  <c r="AL59" i="24" s="1"/>
  <c r="AJ43" i="24"/>
  <c r="AL43" i="24" s="1"/>
  <c r="AJ48" i="24"/>
  <c r="AL48" i="24" s="1"/>
  <c r="AJ46" i="24"/>
  <c r="AL46" i="24" s="1"/>
  <c r="AJ40" i="24"/>
  <c r="AL40" i="24" s="1"/>
  <c r="AJ36" i="24"/>
  <c r="AL36" i="24" s="1"/>
  <c r="AJ38" i="24"/>
  <c r="AL38" i="24" s="1"/>
  <c r="AJ17" i="20"/>
  <c r="AL17" i="20" s="1"/>
  <c r="AJ20" i="20"/>
  <c r="J15" i="3"/>
  <c r="AI49" i="18"/>
  <c r="AK49" i="18" s="1"/>
  <c r="AI47" i="18"/>
  <c r="AK47" i="18" s="1"/>
  <c r="AI46" i="18"/>
  <c r="AK46" i="18" s="1"/>
  <c r="F48" i="15"/>
  <c r="AI41" i="18"/>
  <c r="AK41" i="18" s="1"/>
  <c r="AI40" i="18"/>
  <c r="AK40" i="18" s="1"/>
  <c r="AI39" i="18"/>
  <c r="AK39" i="18" s="1"/>
  <c r="AI38" i="18"/>
  <c r="AK38" i="18" s="1"/>
  <c r="AI32" i="18"/>
  <c r="AK32" i="18" s="1"/>
  <c r="AI30" i="18"/>
  <c r="AK30" i="18" s="1"/>
  <c r="AI28" i="18"/>
  <c r="AK28" i="18" s="1"/>
  <c r="AI23" i="18"/>
  <c r="AK23" i="18" s="1"/>
  <c r="AI21" i="18"/>
  <c r="AK21" i="18" s="1"/>
  <c r="AI20" i="18"/>
  <c r="AK20" i="18" s="1"/>
  <c r="AI19" i="18"/>
  <c r="AK19" i="18" s="1"/>
  <c r="AI18" i="18"/>
  <c r="AK18" i="18" s="1"/>
  <c r="AF36" i="18"/>
  <c r="X36" i="18"/>
  <c r="T36" i="18"/>
  <c r="R36" i="18"/>
  <c r="X26" i="18"/>
  <c r="AA13" i="3"/>
  <c r="Y13" i="3"/>
  <c r="F13" i="3"/>
  <c r="F12" i="3"/>
  <c r="D13" i="3"/>
  <c r="AB102" i="17"/>
  <c r="AE103" i="17"/>
  <c r="AG52" i="21"/>
  <c r="Z52" i="21"/>
  <c r="Z56" i="21" s="1"/>
  <c r="X52" i="21"/>
  <c r="V52" i="21"/>
  <c r="V56" i="21" s="1"/>
  <c r="T52" i="21"/>
  <c r="T56" i="21" s="1"/>
  <c r="AG80" i="20"/>
  <c r="AG84" i="20" s="1"/>
  <c r="X80" i="20"/>
  <c r="V80" i="20"/>
  <c r="T80" i="20"/>
  <c r="L80" i="20"/>
  <c r="AA46" i="25"/>
  <c r="Y46" i="25"/>
  <c r="W46" i="25"/>
  <c r="S46" i="25"/>
  <c r="O46" i="25"/>
  <c r="AG60" i="24"/>
  <c r="L84" i="20" l="1"/>
  <c r="AD15" i="2"/>
  <c r="AA19" i="3"/>
  <c r="AE41" i="16"/>
  <c r="AG37" i="19"/>
  <c r="AG84" i="19" s="1"/>
  <c r="AG110" i="19" s="1"/>
  <c r="AG120" i="19" s="1"/>
  <c r="R53" i="18"/>
  <c r="R96" i="18" s="1"/>
  <c r="X84" i="20"/>
  <c r="AD40" i="15"/>
  <c r="AD44" i="15"/>
  <c r="AD41" i="15"/>
  <c r="AD42" i="15"/>
  <c r="AD43" i="15"/>
  <c r="AD54" i="15"/>
  <c r="AD32" i="15"/>
  <c r="AD33" i="15"/>
  <c r="AD34" i="15"/>
  <c r="AD30" i="15"/>
  <c r="AD28" i="15"/>
  <c r="AD29" i="15"/>
  <c r="AA16" i="3"/>
  <c r="AJ33" i="19"/>
  <c r="AL33" i="19" s="1"/>
  <c r="J43" i="15"/>
  <c r="X43" i="15" s="1"/>
  <c r="AJ34" i="19"/>
  <c r="AL34" i="19" s="1"/>
  <c r="J44" i="15"/>
  <c r="AJ30" i="19"/>
  <c r="AL30" i="19" s="1"/>
  <c r="J40" i="15"/>
  <c r="AJ31" i="19"/>
  <c r="AL31" i="19" s="1"/>
  <c r="J41" i="15"/>
  <c r="X41" i="15" s="1"/>
  <c r="AJ32" i="19"/>
  <c r="AL32" i="19" s="1"/>
  <c r="J42" i="15"/>
  <c r="X42" i="15" s="1"/>
  <c r="AJ26" i="19"/>
  <c r="AL26" i="19" s="1"/>
  <c r="J34" i="15"/>
  <c r="AJ25" i="19"/>
  <c r="AL25" i="19" s="1"/>
  <c r="J33" i="15"/>
  <c r="AJ24" i="19"/>
  <c r="AL24" i="19" s="1"/>
  <c r="J32" i="15"/>
  <c r="X32" i="15" s="1"/>
  <c r="AJ22" i="19"/>
  <c r="AL22" i="19" s="1"/>
  <c r="J30" i="15"/>
  <c r="X30" i="15" s="1"/>
  <c r="AJ21" i="19"/>
  <c r="J29" i="15"/>
  <c r="AJ20" i="19"/>
  <c r="AL20" i="19" s="1"/>
  <c r="J28" i="15"/>
  <c r="X48" i="15"/>
  <c r="AI29" i="18"/>
  <c r="AK29" i="18" s="1"/>
  <c r="AI33" i="18"/>
  <c r="AK33" i="18" s="1"/>
  <c r="AI31" i="18"/>
  <c r="X31" i="15"/>
  <c r="AH31" i="15" s="1"/>
  <c r="AJ31" i="15" s="1"/>
  <c r="AI42" i="18"/>
  <c r="F44" i="15"/>
  <c r="AI48" i="18"/>
  <c r="AK48" i="18" s="1"/>
  <c r="F51" i="15"/>
  <c r="X51" i="15" s="1"/>
  <c r="AH51" i="15" s="1"/>
  <c r="AJ51" i="15" s="1"/>
  <c r="J17" i="3"/>
  <c r="G22" i="11"/>
  <c r="J16" i="3"/>
  <c r="G21" i="11"/>
  <c r="G23" i="14"/>
  <c r="AJ35" i="20"/>
  <c r="AL35" i="20" s="1"/>
  <c r="AL30" i="20"/>
  <c r="AJ28" i="20"/>
  <c r="AL28" i="20" s="1"/>
  <c r="AL20" i="20"/>
  <c r="AG56" i="21"/>
  <c r="AL52" i="21"/>
  <c r="G20" i="10"/>
  <c r="K20" i="10" s="1"/>
  <c r="X56" i="21"/>
  <c r="AI25" i="18"/>
  <c r="AK25" i="18" s="1"/>
  <c r="AH27" i="16"/>
  <c r="AJ27" i="16" s="1"/>
  <c r="C58" i="16"/>
  <c r="AI24" i="18"/>
  <c r="AK24" i="18" s="1"/>
  <c r="AE48" i="16"/>
  <c r="V84" i="20"/>
  <c r="AG46" i="25"/>
  <c r="X53" i="18"/>
  <c r="X96" i="18" s="1"/>
  <c r="AI45" i="18"/>
  <c r="G23" i="9"/>
  <c r="G22" i="9"/>
  <c r="T84" i="20"/>
  <c r="AG24" i="22"/>
  <c r="AI24" i="22" s="1"/>
  <c r="G22" i="12"/>
  <c r="N17" i="2"/>
  <c r="AG20" i="22"/>
  <c r="AI20" i="22" s="1"/>
  <c r="G21" i="12"/>
  <c r="N15" i="2"/>
  <c r="AD35" i="19"/>
  <c r="J16" i="2" s="1"/>
  <c r="R84" i="20"/>
  <c r="AL31" i="23"/>
  <c r="AN31" i="23" s="1"/>
  <c r="R17" i="2"/>
  <c r="R16" i="2"/>
  <c r="AG64" i="24"/>
  <c r="AL28" i="23"/>
  <c r="AN28" i="23" s="1"/>
  <c r="AE103" i="16"/>
  <c r="AJ60" i="24"/>
  <c r="AL60" i="24" s="1"/>
  <c r="AD28" i="19"/>
  <c r="AB79" i="17"/>
  <c r="AB81" i="17"/>
  <c r="AB96" i="17"/>
  <c r="AB80" i="17"/>
  <c r="AA41" i="3"/>
  <c r="AA39" i="3"/>
  <c r="AA38" i="3"/>
  <c r="AA37" i="3"/>
  <c r="AA33" i="3"/>
  <c r="AA32" i="3"/>
  <c r="AA31" i="3"/>
  <c r="AA30" i="3"/>
  <c r="I21" i="11" l="1"/>
  <c r="K21" i="11"/>
  <c r="I22" i="12"/>
  <c r="K22" i="12"/>
  <c r="I22" i="11"/>
  <c r="K22" i="11"/>
  <c r="I22" i="9"/>
  <c r="K22" i="9"/>
  <c r="I23" i="9"/>
  <c r="K23" i="9"/>
  <c r="I21" i="12"/>
  <c r="K21" i="12"/>
  <c r="I23" i="14"/>
  <c r="K23" i="14"/>
  <c r="F54" i="15"/>
  <c r="AK45" i="18"/>
  <c r="AI51" i="18"/>
  <c r="AK51" i="18" s="1"/>
  <c r="G23" i="7"/>
  <c r="AJ37" i="20"/>
  <c r="AL37" i="20" s="1"/>
  <c r="J15" i="2"/>
  <c r="AD37" i="15"/>
  <c r="AH30" i="15"/>
  <c r="AJ30" i="15" s="1"/>
  <c r="AH41" i="15"/>
  <c r="AJ41" i="15" s="1"/>
  <c r="AH32" i="15"/>
  <c r="AJ32" i="15" s="1"/>
  <c r="AH43" i="15"/>
  <c r="AJ43" i="15" s="1"/>
  <c r="AH42" i="15"/>
  <c r="AJ42" i="15" s="1"/>
  <c r="AD45" i="15"/>
  <c r="G23" i="13"/>
  <c r="AI43" i="18"/>
  <c r="AJ35" i="19"/>
  <c r="AL35" i="19" s="1"/>
  <c r="J45" i="15"/>
  <c r="X40" i="15"/>
  <c r="AH40" i="15" s="1"/>
  <c r="AJ40" i="15" s="1"/>
  <c r="X33" i="15"/>
  <c r="AH33" i="15" s="1"/>
  <c r="AJ33" i="15" s="1"/>
  <c r="X34" i="15"/>
  <c r="AH34" i="15" s="1"/>
  <c r="AJ34" i="15" s="1"/>
  <c r="AJ28" i="19"/>
  <c r="AL28" i="19" s="1"/>
  <c r="J37" i="15"/>
  <c r="X28" i="15"/>
  <c r="AH28" i="15" s="1"/>
  <c r="AJ28" i="15" s="1"/>
  <c r="AI36" i="18"/>
  <c r="AH48" i="15"/>
  <c r="AJ48" i="15" s="1"/>
  <c r="X44" i="15"/>
  <c r="F45" i="15"/>
  <c r="G21" i="9"/>
  <c r="G22" i="10"/>
  <c r="K22" i="10" s="1"/>
  <c r="G20" i="9"/>
  <c r="AG26" i="22"/>
  <c r="AI26" i="22" s="1"/>
  <c r="G21" i="10"/>
  <c r="K21" i="10" s="1"/>
  <c r="I20" i="9" l="1"/>
  <c r="K20" i="9"/>
  <c r="I21" i="9"/>
  <c r="K21" i="9"/>
  <c r="X54" i="15"/>
  <c r="AH54" i="15" s="1"/>
  <c r="AJ54" i="15" s="1"/>
  <c r="K23" i="13"/>
  <c r="AH44" i="15"/>
  <c r="AJ44" i="15" s="1"/>
  <c r="X45" i="15"/>
  <c r="AH45" i="15" s="1"/>
  <c r="AJ45" i="15" s="1"/>
  <c r="F37" i="15"/>
  <c r="F56" i="15" s="1"/>
  <c r="G20" i="7"/>
  <c r="AJ112" i="20"/>
  <c r="AL112" i="20" s="1"/>
  <c r="J50" i="3"/>
  <c r="N29" i="5" l="1"/>
  <c r="AA29" i="3"/>
  <c r="AA27" i="3"/>
  <c r="AA26" i="3"/>
  <c r="AA25" i="3"/>
  <c r="AA20" i="3"/>
  <c r="AH102" i="17"/>
  <c r="AJ102" i="17" s="1"/>
  <c r="AH96" i="17"/>
  <c r="AJ96" i="17" s="1"/>
  <c r="AH81" i="17"/>
  <c r="AJ81" i="17" s="1"/>
  <c r="AH80" i="17"/>
  <c r="AH79" i="17"/>
  <c r="AJ79" i="17" s="1"/>
  <c r="AJ51" i="21" l="1"/>
  <c r="AL51" i="21" s="1"/>
  <c r="AJ50" i="21"/>
  <c r="AL50" i="21" s="1"/>
  <c r="AJ48" i="21"/>
  <c r="AL48" i="21" s="1"/>
  <c r="AJ47" i="21"/>
  <c r="AL47" i="21" s="1"/>
  <c r="AJ46" i="21"/>
  <c r="AL46" i="21" s="1"/>
  <c r="AJ45" i="21"/>
  <c r="AL45" i="21" s="1"/>
  <c r="AJ44" i="21"/>
  <c r="AL44" i="21" s="1"/>
  <c r="AJ43" i="21"/>
  <c r="AJ42" i="21"/>
  <c r="AL42" i="21" s="1"/>
  <c r="AJ41" i="21"/>
  <c r="AL41" i="21" s="1"/>
  <c r="AJ39" i="21"/>
  <c r="AL39" i="21" s="1"/>
  <c r="AJ33" i="21"/>
  <c r="AL33" i="21" s="1"/>
  <c r="AJ38" i="21"/>
  <c r="AL38" i="21" s="1"/>
  <c r="AJ37" i="21"/>
  <c r="AL37" i="21" s="1"/>
  <c r="AJ36" i="21"/>
  <c r="AL36" i="21" s="1"/>
  <c r="AJ35" i="21"/>
  <c r="AL35" i="21" s="1"/>
  <c r="AJ32" i="21"/>
  <c r="AL32" i="21" s="1"/>
  <c r="AJ30" i="21"/>
  <c r="AJ29" i="21"/>
  <c r="AJ28" i="21"/>
  <c r="AJ27" i="21"/>
  <c r="AJ26" i="21"/>
  <c r="AJ24" i="21"/>
  <c r="AJ23" i="21"/>
  <c r="AJ22" i="21"/>
  <c r="AL21" i="21"/>
  <c r="AJ79" i="20"/>
  <c r="AL79" i="20" s="1"/>
  <c r="AJ78" i="20"/>
  <c r="AL78" i="20" s="1"/>
  <c r="AL77" i="20"/>
  <c r="AJ76" i="20"/>
  <c r="AL76" i="20" s="1"/>
  <c r="AJ74" i="20"/>
  <c r="AL74" i="20" s="1"/>
  <c r="AJ73" i="20"/>
  <c r="AL73" i="20" s="1"/>
  <c r="AJ72" i="20"/>
  <c r="AJ71" i="20"/>
  <c r="AL71" i="20" s="1"/>
  <c r="AJ69" i="20"/>
  <c r="AL69" i="20" s="1"/>
  <c r="AJ66" i="20"/>
  <c r="AL66" i="20" s="1"/>
  <c r="AJ60" i="20"/>
  <c r="AL60" i="20" s="1"/>
  <c r="AJ65" i="20"/>
  <c r="AL65" i="20" s="1"/>
  <c r="AJ64" i="20"/>
  <c r="AL64" i="20" s="1"/>
  <c r="AJ62" i="20"/>
  <c r="AL62" i="20" s="1"/>
  <c r="AJ59" i="20"/>
  <c r="AL59" i="20" s="1"/>
  <c r="AJ58" i="20"/>
  <c r="AL58" i="20" s="1"/>
  <c r="AJ57" i="20"/>
  <c r="AL57" i="20" s="1"/>
  <c r="AJ56" i="20"/>
  <c r="AL56" i="20" s="1"/>
  <c r="AJ54" i="20"/>
  <c r="AL54" i="20" s="1"/>
  <c r="AJ53" i="20"/>
  <c r="AL53" i="20" s="1"/>
  <c r="AJ52" i="20"/>
  <c r="AL52" i="20" s="1"/>
  <c r="AJ51" i="20"/>
  <c r="AL51" i="20" s="1"/>
  <c r="AJ50" i="20"/>
  <c r="AL50" i="20" s="1"/>
  <c r="AJ49" i="20"/>
  <c r="AL49" i="20" s="1"/>
  <c r="AJ46" i="20"/>
  <c r="AJ45" i="20"/>
  <c r="AL45" i="20" s="1"/>
  <c r="AJ44" i="20"/>
  <c r="AL44" i="20" s="1"/>
  <c r="AJ43" i="20"/>
  <c r="AL43" i="20" s="1"/>
  <c r="AJ41" i="20"/>
  <c r="AL41" i="20" s="1"/>
  <c r="J116" i="19"/>
  <c r="AJ86" i="21" l="1"/>
  <c r="AL86" i="21" s="1"/>
  <c r="AL56" i="21"/>
  <c r="AJ19" i="21"/>
  <c r="AL19" i="21" s="1"/>
  <c r="AJ68" i="20"/>
  <c r="AL68" i="20" s="1"/>
  <c r="AB96" i="16"/>
  <c r="AB80" i="16"/>
  <c r="AB79" i="16"/>
  <c r="AB81" i="16"/>
  <c r="AB102" i="16"/>
  <c r="J120" i="19" l="1"/>
  <c r="AH102" i="16"/>
  <c r="AJ102" i="16" s="1"/>
  <c r="AH96" i="16"/>
  <c r="AJ96" i="16" s="1"/>
  <c r="AH81" i="16"/>
  <c r="AJ81" i="16" s="1"/>
  <c r="AH80" i="16"/>
  <c r="AJ80" i="16" s="1"/>
  <c r="AH79" i="16"/>
  <c r="AJ79" i="16" s="1"/>
  <c r="AJ52" i="21"/>
  <c r="J19" i="3"/>
  <c r="AJ80" i="20"/>
  <c r="G26" i="11" l="1"/>
  <c r="G23" i="10"/>
  <c r="K23" i="10" s="1"/>
  <c r="AL80"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AE49" i="26" s="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J41" i="26" s="1"/>
  <c r="AG33" i="28"/>
  <c r="AI33" i="28" s="1"/>
  <c r="AD32" i="27"/>
  <c r="AD44" i="27" s="1"/>
  <c r="AA33" i="28"/>
  <c r="AG17" i="27"/>
  <c r="AI17" i="27" s="1"/>
  <c r="AG25" i="28"/>
  <c r="AI25" i="28" s="1"/>
  <c r="L36" i="5" l="1"/>
  <c r="S36" i="5" s="1"/>
  <c r="U36" i="5" s="1"/>
  <c r="AI39" i="27"/>
  <c r="L18" i="5"/>
  <c r="D37" i="5"/>
  <c r="AH44" i="26"/>
  <c r="AJ44" i="26" s="1"/>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1" i="23"/>
  <c r="AN51" i="23" s="1"/>
  <c r="AL49" i="23"/>
  <c r="AN49" i="23" s="1"/>
  <c r="AL46" i="23"/>
  <c r="AN46" i="23" s="1"/>
  <c r="AL44" i="23"/>
  <c r="AN44" i="23" s="1"/>
  <c r="AG42" i="22"/>
  <c r="AI42" i="22" s="1"/>
  <c r="AG39" i="22"/>
  <c r="AI39" i="22" s="1"/>
  <c r="U37" i="5" l="1"/>
  <c r="AG44" i="22"/>
  <c r="AI44" i="22" s="1"/>
  <c r="AL39" i="23"/>
  <c r="AN39" i="23" s="1"/>
  <c r="AL58" i="23"/>
  <c r="AN58" i="23" s="1"/>
  <c r="AL43" i="23"/>
  <c r="AN43" i="23" s="1"/>
  <c r="AL47" i="23"/>
  <c r="AN47"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7" i="22"/>
  <c r="AI47" i="22" s="1"/>
  <c r="U32" i="5" l="1"/>
  <c r="S42" i="5"/>
  <c r="U42" i="5" s="1"/>
  <c r="Q26" i="14"/>
  <c r="U26" i="14" s="1"/>
  <c r="U27" i="14" l="1"/>
  <c r="S26" i="14"/>
  <c r="G26" i="13"/>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E139" i="17"/>
  <c r="K111" i="30" l="1"/>
  <c r="K25" i="13"/>
  <c r="E143" i="17"/>
  <c r="AA35" i="3"/>
  <c r="AA43" i="3" s="1"/>
  <c r="AJ43" i="19" l="1"/>
  <c r="AL43" i="19" s="1"/>
  <c r="AD44" i="19"/>
  <c r="AJ44" i="19" s="1"/>
  <c r="AL44" i="19" s="1"/>
  <c r="AD46" i="19"/>
  <c r="AJ46" i="19" s="1"/>
  <c r="AD50" i="19"/>
  <c r="AJ50" i="19" s="1"/>
  <c r="AL50" i="19" s="1"/>
  <c r="AJ51" i="19"/>
  <c r="AL51" i="19" s="1"/>
  <c r="AD53" i="19"/>
  <c r="AJ53" i="19" s="1"/>
  <c r="AL53" i="19" s="1"/>
  <c r="AD57" i="19"/>
  <c r="AJ57" i="19" s="1"/>
  <c r="AL57" i="19" s="1"/>
  <c r="AD63" i="19"/>
  <c r="AJ63" i="19" s="1"/>
  <c r="AD65" i="19"/>
  <c r="AJ65" i="19" s="1"/>
  <c r="AL65" i="19" s="1"/>
  <c r="AD60" i="19"/>
  <c r="AJ60" i="19" s="1"/>
  <c r="AL60" i="19" s="1"/>
  <c r="AD66" i="19"/>
  <c r="AJ66" i="19" s="1"/>
  <c r="AL66" i="19" s="1"/>
  <c r="AD69" i="19"/>
  <c r="AJ69" i="19" s="1"/>
  <c r="AL69" i="19" s="1"/>
  <c r="AD72" i="19"/>
  <c r="AJ72" i="19" s="1"/>
  <c r="AD73" i="19"/>
  <c r="AJ73" i="19" s="1"/>
  <c r="AL73" i="19" s="1"/>
  <c r="AD74" i="19"/>
  <c r="AJ74" i="19" s="1"/>
  <c r="AL74" i="19" s="1"/>
  <c r="AD76" i="19"/>
  <c r="AJ76" i="19" s="1"/>
  <c r="AL76" i="19" s="1"/>
  <c r="AD79" i="19"/>
  <c r="AJ79" i="19" s="1"/>
  <c r="AL79" i="19" s="1"/>
  <c r="AD78" i="19"/>
  <c r="AJ78" i="19" s="1"/>
  <c r="AL78" i="19" s="1"/>
  <c r="AD58" i="19"/>
  <c r="AJ58" i="19" s="1"/>
  <c r="AL58" i="19" s="1"/>
  <c r="AD49" i="19"/>
  <c r="AJ49" i="19" s="1"/>
  <c r="AL49" i="19" s="1"/>
  <c r="AD62" i="19"/>
  <c r="AJ62" i="19" s="1"/>
  <c r="AL62" i="19" s="1"/>
  <c r="AD56" i="19"/>
  <c r="AJ56" i="19" s="1"/>
  <c r="AL56" i="19" s="1"/>
  <c r="AI90" i="18"/>
  <c r="AK90" i="18" s="1"/>
  <c r="AI74" i="18"/>
  <c r="AK74" i="18" s="1"/>
  <c r="AI73" i="18"/>
  <c r="AK73" i="18" s="1"/>
  <c r="AI61" i="18"/>
  <c r="AK61" i="18" s="1"/>
  <c r="AI60" i="18"/>
  <c r="AK60" i="18" s="1"/>
  <c r="AB85" i="17" l="1"/>
  <c r="AH85" i="17" s="1"/>
  <c r="AJ85" i="17" s="1"/>
  <c r="AI63" i="18"/>
  <c r="AK63" i="18" s="1"/>
  <c r="AK62" i="18"/>
  <c r="AI79" i="18"/>
  <c r="AI82" i="18"/>
  <c r="AK82" i="18" s="1"/>
  <c r="AB85" i="16"/>
  <c r="AI91" i="18"/>
  <c r="AK91" i="18" s="1"/>
  <c r="AD77" i="19"/>
  <c r="AJ77" i="19" s="1"/>
  <c r="AL77" i="19" s="1"/>
  <c r="AD75" i="19"/>
  <c r="AJ75" i="19" s="1"/>
  <c r="AL75" i="19" s="1"/>
  <c r="AD71" i="19"/>
  <c r="AJ71" i="19" s="1"/>
  <c r="AL71" i="19" s="1"/>
  <c r="AD68" i="19"/>
  <c r="AJ68" i="19" s="1"/>
  <c r="AL68" i="19" s="1"/>
  <c r="AD64" i="19"/>
  <c r="AJ64" i="19" s="1"/>
  <c r="AL64" i="19" s="1"/>
  <c r="AJ59" i="19"/>
  <c r="AL59" i="19" s="1"/>
  <c r="AJ54" i="19"/>
  <c r="AL54" i="19" s="1"/>
  <c r="AD52" i="19"/>
  <c r="AJ52" i="19" s="1"/>
  <c r="AL52" i="19" s="1"/>
  <c r="AD45" i="19"/>
  <c r="AJ45" i="19" s="1"/>
  <c r="AL45" i="19" s="1"/>
  <c r="AD41" i="19"/>
  <c r="AI89" i="18"/>
  <c r="AK89" i="18" s="1"/>
  <c r="AI85" i="18"/>
  <c r="AK85" i="18" s="1"/>
  <c r="AI84" i="18"/>
  <c r="AI80" i="18"/>
  <c r="AK80" i="18" s="1"/>
  <c r="AI78" i="18"/>
  <c r="AK78" i="18" s="1"/>
  <c r="AI77" i="18"/>
  <c r="AK77" i="18" s="1"/>
  <c r="AI72" i="18"/>
  <c r="AK72" i="18" s="1"/>
  <c r="AI71" i="18"/>
  <c r="AK71" i="18" s="1"/>
  <c r="AI70" i="18"/>
  <c r="AK70" i="18" s="1"/>
  <c r="AI69" i="18"/>
  <c r="AK69" i="18" s="1"/>
  <c r="AI68" i="18"/>
  <c r="AK68" i="18" s="1"/>
  <c r="AI67" i="18"/>
  <c r="AK67" i="18" s="1"/>
  <c r="AI65" i="18"/>
  <c r="AK65" i="18" s="1"/>
  <c r="AI58" i="18"/>
  <c r="AK58" i="18" s="1"/>
  <c r="AI57" i="18"/>
  <c r="AK57" i="18" s="1"/>
  <c r="AD80" i="19" l="1"/>
  <c r="AH85" i="16"/>
  <c r="AJ85" i="16" s="1"/>
  <c r="C103" i="17"/>
  <c r="C107" i="17" s="1"/>
  <c r="C133" i="17" s="1"/>
  <c r="C143" i="17" s="1"/>
  <c r="C103" i="16"/>
  <c r="AJ41" i="19"/>
  <c r="AL41" i="19" s="1"/>
  <c r="AI92" i="18"/>
  <c r="AK92" i="18" s="1"/>
  <c r="G24" i="9"/>
  <c r="I24" i="9" l="1"/>
  <c r="K24" i="9"/>
  <c r="AJ80" i="19"/>
  <c r="F18" i="2"/>
  <c r="F19" i="3" l="1"/>
  <c r="K50" i="30" l="1"/>
  <c r="L50" i="3"/>
  <c r="L49" i="3"/>
  <c r="L19" i="3"/>
  <c r="L18" i="3"/>
  <c r="L16" i="3"/>
  <c r="L51" i="3" l="1"/>
  <c r="G25" i="10" l="1"/>
  <c r="L20" i="3"/>
  <c r="AG98" i="20"/>
  <c r="AG105" i="20" l="1"/>
  <c r="F15" i="6"/>
  <c r="AI124" i="18" l="1"/>
  <c r="AK124" i="18" s="1"/>
  <c r="AI125" i="18"/>
  <c r="AK125" i="18" s="1"/>
  <c r="G29" i="9"/>
  <c r="AI126" i="18"/>
  <c r="AK126" i="18" s="1"/>
  <c r="I29" i="9" l="1"/>
  <c r="K29" i="9"/>
  <c r="X28" i="27"/>
  <c r="J38" i="3"/>
  <c r="J34" i="3"/>
  <c r="J33" i="3"/>
  <c r="J32" i="3"/>
  <c r="J31" i="3"/>
  <c r="J30" i="3"/>
  <c r="J29" i="3"/>
  <c r="J27" i="3"/>
  <c r="J26" i="3"/>
  <c r="J25" i="3"/>
  <c r="J20" i="3" l="1"/>
  <c r="AL84" i="20"/>
  <c r="J39" i="3"/>
  <c r="J37" i="3"/>
  <c r="J35" i="3"/>
  <c r="AJ82" i="24"/>
  <c r="AL82" i="24" s="1"/>
  <c r="AJ81" i="24"/>
  <c r="AL81" i="24" s="1"/>
  <c r="AJ80" i="24"/>
  <c r="AL80" i="24" s="1"/>
  <c r="AJ77" i="24"/>
  <c r="AL77" i="24" s="1"/>
  <c r="AJ75" i="24"/>
  <c r="AL75" i="24" s="1"/>
  <c r="AJ74" i="24"/>
  <c r="AL74" i="24" s="1"/>
  <c r="AJ73" i="24"/>
  <c r="AL73" i="24" s="1"/>
  <c r="AJ72" i="24"/>
  <c r="AL72" i="24" s="1"/>
  <c r="AG76" i="25"/>
  <c r="AL76" i="25" s="1"/>
  <c r="AA76" i="25"/>
  <c r="Y76" i="25"/>
  <c r="W76" i="25"/>
  <c r="S76" i="25"/>
  <c r="O76" i="25"/>
  <c r="M76" i="25"/>
  <c r="M80" i="25" s="1"/>
  <c r="K76" i="25"/>
  <c r="I76" i="25"/>
  <c r="G76" i="25"/>
  <c r="E76" i="25"/>
  <c r="AG60" i="25"/>
  <c r="AA60" i="25"/>
  <c r="AA67" i="25" s="1"/>
  <c r="Y60" i="25"/>
  <c r="Y67" i="25" s="1"/>
  <c r="W60" i="25"/>
  <c r="W67" i="25" s="1"/>
  <c r="S60" i="25"/>
  <c r="S67" i="25" s="1"/>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I24" i="29" s="1"/>
  <c r="AG23" i="29"/>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2" i="31"/>
  <c r="AG78" i="24"/>
  <c r="AG85" i="24" s="1"/>
  <c r="W78" i="24"/>
  <c r="W85" i="24" s="1"/>
  <c r="S78" i="24"/>
  <c r="S85" i="24" s="1"/>
  <c r="M78" i="24"/>
  <c r="M85" i="24" s="1"/>
  <c r="E95" i="24"/>
  <c r="G31" i="12"/>
  <c r="G25" i="12"/>
  <c r="G29" i="12"/>
  <c r="D69" i="22"/>
  <c r="AG88" i="21"/>
  <c r="AG70" i="21"/>
  <c r="Z88" i="21"/>
  <c r="X88" i="21"/>
  <c r="V88" i="21"/>
  <c r="T88" i="21"/>
  <c r="H88" i="21"/>
  <c r="F88" i="21"/>
  <c r="D88" i="21"/>
  <c r="G29" i="11"/>
  <c r="Z114" i="20"/>
  <c r="V114" i="20"/>
  <c r="T114" i="20"/>
  <c r="R114" i="20"/>
  <c r="N114" i="20"/>
  <c r="N118" i="20" s="1"/>
  <c r="L114" i="20"/>
  <c r="H114" i="20"/>
  <c r="F114" i="20"/>
  <c r="X98" i="20"/>
  <c r="X105" i="20" s="1"/>
  <c r="X107" i="19" s="1"/>
  <c r="X110" i="19" s="1"/>
  <c r="X120" i="19" s="1"/>
  <c r="V98" i="20"/>
  <c r="V105" i="20" s="1"/>
  <c r="T105" i="20"/>
  <c r="T108" i="20" s="1"/>
  <c r="R98" i="20"/>
  <c r="R105" i="20" s="1"/>
  <c r="L98" i="20"/>
  <c r="L105" i="20" s="1"/>
  <c r="D114" i="20"/>
  <c r="Z116" i="19"/>
  <c r="V116" i="19"/>
  <c r="V120" i="19" s="1"/>
  <c r="T116" i="19"/>
  <c r="N116" i="19"/>
  <c r="H116" i="19"/>
  <c r="F116" i="19"/>
  <c r="AF133" i="18"/>
  <c r="AF110" i="18"/>
  <c r="AF116" i="18" s="1"/>
  <c r="I29" i="12" l="1"/>
  <c r="K29" i="12"/>
  <c r="I29" i="11"/>
  <c r="K29" i="11"/>
  <c r="I31" i="12"/>
  <c r="K31" i="12"/>
  <c r="I25" i="12"/>
  <c r="K25" i="12"/>
  <c r="E29" i="8"/>
  <c r="E31" i="10"/>
  <c r="E35" i="11"/>
  <c r="E29" i="10"/>
  <c r="E21" i="8"/>
  <c r="E32" i="8"/>
  <c r="E24" i="10"/>
  <c r="E30" i="8"/>
  <c r="E23" i="13"/>
  <c r="O23" i="13" s="1"/>
  <c r="E25" i="13"/>
  <c r="O25" i="13" s="1"/>
  <c r="E40" i="7"/>
  <c r="E21" i="13"/>
  <c r="E20" i="13"/>
  <c r="E27" i="14"/>
  <c r="E21" i="10"/>
  <c r="O21" i="10" s="1"/>
  <c r="E24" i="13"/>
  <c r="E31" i="13"/>
  <c r="E23" i="10"/>
  <c r="O23" i="10" s="1"/>
  <c r="E25" i="8"/>
  <c r="E24" i="8"/>
  <c r="E22" i="13"/>
  <c r="O22" i="13" s="1"/>
  <c r="E30" i="10"/>
  <c r="P26" i="11"/>
  <c r="O33" i="14"/>
  <c r="E25" i="10"/>
  <c r="E26" i="13"/>
  <c r="E33" i="10"/>
  <c r="E33" i="8"/>
  <c r="K33" i="8" s="1"/>
  <c r="E30" i="13"/>
  <c r="E33" i="14"/>
  <c r="E23" i="8"/>
  <c r="O27" i="14"/>
  <c r="P35" i="11"/>
  <c r="E34" i="10"/>
  <c r="E31" i="8"/>
  <c r="E26" i="12"/>
  <c r="E20" i="8"/>
  <c r="E26" i="11"/>
  <c r="E20" i="10"/>
  <c r="O20" i="10" s="1"/>
  <c r="E32" i="13"/>
  <c r="E22" i="8"/>
  <c r="E22" i="10"/>
  <c r="O22" i="10" s="1"/>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R28" i="28"/>
  <c r="R37" i="28" s="1"/>
  <c r="N37" i="28"/>
  <c r="AL98" i="20"/>
  <c r="AG79" i="21"/>
  <c r="AG82" i="21" s="1"/>
  <c r="AJ82" i="21" s="1"/>
  <c r="T28" i="28"/>
  <c r="T37" i="28" s="1"/>
  <c r="G31" i="10"/>
  <c r="K31" i="10" s="1"/>
  <c r="G33" i="10"/>
  <c r="F44" i="27"/>
  <c r="H37" i="28"/>
  <c r="G24" i="10"/>
  <c r="K24" i="10" s="1"/>
  <c r="H120" i="19"/>
  <c r="E100" i="24"/>
  <c r="E80" i="25"/>
  <c r="W37" i="26"/>
  <c r="W49" i="26" s="1"/>
  <c r="T28" i="29"/>
  <c r="T37" i="29" s="1"/>
  <c r="S37" i="26"/>
  <c r="S49" i="26" s="1"/>
  <c r="T118" i="20"/>
  <c r="X44" i="27"/>
  <c r="P28" i="28"/>
  <c r="P37" i="28" s="1"/>
  <c r="D44" i="27"/>
  <c r="N28" i="29"/>
  <c r="N37" i="29" s="1"/>
  <c r="B37" i="29"/>
  <c r="H37" i="29"/>
  <c r="P28" i="29"/>
  <c r="P37" i="29" s="1"/>
  <c r="X28" i="29"/>
  <c r="X37" i="29" s="1"/>
  <c r="R28" i="29"/>
  <c r="R37" i="29" s="1"/>
  <c r="F37" i="29"/>
  <c r="J28" i="28"/>
  <c r="J37" i="28" s="1"/>
  <c r="G30" i="10"/>
  <c r="K30" i="10" s="1"/>
  <c r="N120" i="19"/>
  <c r="D118" i="20"/>
  <c r="AG49" i="22"/>
  <c r="AI49" i="22" s="1"/>
  <c r="G24" i="12"/>
  <c r="K24" i="12" s="1"/>
  <c r="AG33" i="29"/>
  <c r="AI33" i="29" s="1"/>
  <c r="AG25" i="29"/>
  <c r="AI25" i="29" s="1"/>
  <c r="V108" i="20"/>
  <c r="V118" i="20" s="1"/>
  <c r="L108" i="20"/>
  <c r="L118" i="20" s="1"/>
  <c r="X108" i="20"/>
  <c r="X118" i="20" s="1"/>
  <c r="R108" i="20"/>
  <c r="R118" i="20" s="1"/>
  <c r="AJ76" i="25"/>
  <c r="AJ91" i="24"/>
  <c r="J21" i="3"/>
  <c r="Q88" i="24"/>
  <c r="Q100" i="24" s="1"/>
  <c r="S88" i="24"/>
  <c r="S100" i="24" s="1"/>
  <c r="AA88" i="24"/>
  <c r="AA100" i="24" s="1"/>
  <c r="W88" i="24"/>
  <c r="W100" i="24" s="1"/>
  <c r="M88" i="24"/>
  <c r="Y100" i="24"/>
  <c r="AJ62" i="24"/>
  <c r="AL62" i="24" s="1"/>
  <c r="AJ83" i="24"/>
  <c r="AL83" i="24" s="1"/>
  <c r="O70" i="25"/>
  <c r="O80" i="25" s="1"/>
  <c r="W70" i="25"/>
  <c r="W80" i="25" s="1"/>
  <c r="K80" i="25"/>
  <c r="S70" i="25"/>
  <c r="S80" i="25" s="1"/>
  <c r="AA70" i="25"/>
  <c r="AA80" i="25" s="1"/>
  <c r="Y70" i="25"/>
  <c r="Y80" i="25" s="1"/>
  <c r="AJ51" i="25"/>
  <c r="AL51" i="25" s="1"/>
  <c r="I49" i="26"/>
  <c r="K37" i="26"/>
  <c r="K49" i="26" s="1"/>
  <c r="H44" i="27"/>
  <c r="B44" i="27"/>
  <c r="D37" i="29"/>
  <c r="AG57" i="22"/>
  <c r="AI57" i="22" s="1"/>
  <c r="G30" i="12"/>
  <c r="T120" i="19"/>
  <c r="G49" i="26"/>
  <c r="AG67" i="22"/>
  <c r="AI67" i="22" s="1"/>
  <c r="AG66" i="22"/>
  <c r="AI66" i="22" s="1"/>
  <c r="F37" i="28"/>
  <c r="H118" i="20"/>
  <c r="I101" i="23"/>
  <c r="AJ65" i="25"/>
  <c r="AL65" i="25" s="1"/>
  <c r="I80" i="25"/>
  <c r="AJ70" i="24"/>
  <c r="AL70" i="24" s="1"/>
  <c r="I100" i="24"/>
  <c r="AJ19" i="24"/>
  <c r="AL19" i="24" s="1"/>
  <c r="AJ26" i="24"/>
  <c r="AL26" i="24" s="1"/>
  <c r="D74" i="22"/>
  <c r="AJ92" i="24"/>
  <c r="AL92" i="24" s="1"/>
  <c r="AJ20" i="24"/>
  <c r="AL20" i="24" s="1"/>
  <c r="D37" i="28"/>
  <c r="AJ76" i="24"/>
  <c r="AL76" i="24" s="1"/>
  <c r="AJ69" i="24"/>
  <c r="AL69" i="24" s="1"/>
  <c r="G100" i="24"/>
  <c r="AJ68" i="24"/>
  <c r="AL68" i="24" s="1"/>
  <c r="AJ59" i="25"/>
  <c r="Q30" i="14"/>
  <c r="U30" i="14" s="1"/>
  <c r="G80" i="25"/>
  <c r="AJ44" i="25"/>
  <c r="AL44" i="25" s="1"/>
  <c r="AG55" i="22"/>
  <c r="AI55" i="22" s="1"/>
  <c r="AG108" i="20"/>
  <c r="AG118" i="20" s="1"/>
  <c r="AJ98" i="20"/>
  <c r="F118" i="20"/>
  <c r="AL105" i="20"/>
  <c r="C45" i="31"/>
  <c r="AA33" i="29"/>
  <c r="AA25" i="29"/>
  <c r="N19" i="6"/>
  <c r="N34" i="2"/>
  <c r="C100" i="30"/>
  <c r="C90" i="30"/>
  <c r="O31" i="10" l="1"/>
  <c r="O30" i="10"/>
  <c r="O24" i="10"/>
  <c r="I30" i="12"/>
  <c r="K30" i="12"/>
  <c r="K32" i="12" s="1"/>
  <c r="I21" i="14"/>
  <c r="K21" i="14"/>
  <c r="E37" i="14"/>
  <c r="M100" i="24"/>
  <c r="U33" i="14"/>
  <c r="U37" i="14" s="1"/>
  <c r="S30" i="14"/>
  <c r="K26" i="12"/>
  <c r="I24" i="12"/>
  <c r="G32" i="7"/>
  <c r="K32" i="7" s="1"/>
  <c r="E30" i="7"/>
  <c r="E20" i="7"/>
  <c r="K20" i="7" s="1"/>
  <c r="E31" i="7"/>
  <c r="E36" i="12"/>
  <c r="E39" i="12" s="1"/>
  <c r="O37" i="14"/>
  <c r="O40" i="14" s="1"/>
  <c r="E35" i="10"/>
  <c r="E34" i="8"/>
  <c r="E39" i="11"/>
  <c r="E42" i="11" s="1"/>
  <c r="E24" i="7"/>
  <c r="E25" i="7"/>
  <c r="K26" i="11"/>
  <c r="K35" i="11"/>
  <c r="E29" i="7"/>
  <c r="E21" i="7"/>
  <c r="E26" i="10"/>
  <c r="E31" i="9"/>
  <c r="E43" i="9"/>
  <c r="E33" i="13"/>
  <c r="E26" i="8"/>
  <c r="P39" i="11"/>
  <c r="E33" i="7"/>
  <c r="E40" i="8"/>
  <c r="E41" i="7"/>
  <c r="E41" i="8"/>
  <c r="E42" i="7"/>
  <c r="E27" i="13"/>
  <c r="E23" i="7"/>
  <c r="K23" i="7" s="1"/>
  <c r="E22" i="7"/>
  <c r="K33" i="10"/>
  <c r="O33" i="10" s="1"/>
  <c r="G33" i="7"/>
  <c r="O121" i="16"/>
  <c r="O130" i="16" s="1"/>
  <c r="AF79" i="23"/>
  <c r="AF86" i="23" s="1"/>
  <c r="G21" i="13"/>
  <c r="K32" i="13"/>
  <c r="O32" i="13" s="1"/>
  <c r="G30" i="14"/>
  <c r="G20" i="14"/>
  <c r="G35" i="11"/>
  <c r="AL60" i="25"/>
  <c r="G32" i="12"/>
  <c r="G26" i="10"/>
  <c r="G26" i="12"/>
  <c r="K24" i="13"/>
  <c r="O24" i="13" s="1"/>
  <c r="Q27" i="14"/>
  <c r="AI69" i="22"/>
  <c r="K31" i="13"/>
  <c r="O31" i="13" s="1"/>
  <c r="AJ46" i="25"/>
  <c r="G24" i="7"/>
  <c r="AJ27" i="24"/>
  <c r="AL27" i="24" s="1"/>
  <c r="AJ22" i="24"/>
  <c r="AL22" i="24" s="1"/>
  <c r="AG51" i="22"/>
  <c r="AI51" i="22" s="1"/>
  <c r="J46" i="3"/>
  <c r="AJ60" i="25"/>
  <c r="AJ78" i="24"/>
  <c r="AL78" i="24" s="1"/>
  <c r="AJ95" i="24"/>
  <c r="AL95" i="24" s="1"/>
  <c r="AG59" i="22"/>
  <c r="AI59" i="22" s="1"/>
  <c r="AJ105" i="20"/>
  <c r="AG88" i="24"/>
  <c r="H24" i="6"/>
  <c r="AK36" i="18"/>
  <c r="G25" i="9"/>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AI130" i="18"/>
  <c r="AK130" i="18" s="1"/>
  <c r="F133" i="18"/>
  <c r="H133" i="18"/>
  <c r="J133" i="18"/>
  <c r="L133" i="18"/>
  <c r="R133" i="18"/>
  <c r="T133" i="18"/>
  <c r="X133" i="18"/>
  <c r="Z133" i="18"/>
  <c r="Z70" i="21"/>
  <c r="Z79" i="21" s="1"/>
  <c r="Z92" i="21" s="1"/>
  <c r="X70" i="21"/>
  <c r="X79" i="21" s="1"/>
  <c r="V70" i="21"/>
  <c r="T70" i="21"/>
  <c r="T79" i="21" s="1"/>
  <c r="T92" i="21" s="1"/>
  <c r="R70" i="21"/>
  <c r="R79" i="21" s="1"/>
  <c r="R92" i="21" s="1"/>
  <c r="AG92" i="21"/>
  <c r="K33" i="7" l="1"/>
  <c r="I20" i="14"/>
  <c r="K20" i="14"/>
  <c r="K27" i="14" s="1"/>
  <c r="I30" i="14"/>
  <c r="K30" i="14"/>
  <c r="K33" i="14" s="1"/>
  <c r="E40" i="14"/>
  <c r="I27" i="9"/>
  <c r="K27" i="9"/>
  <c r="I25" i="9"/>
  <c r="K25" i="9"/>
  <c r="P42" i="11"/>
  <c r="K24" i="7"/>
  <c r="K36" i="12"/>
  <c r="V79" i="21"/>
  <c r="V92" i="21" s="1"/>
  <c r="G36" i="12"/>
  <c r="E39" i="10"/>
  <c r="E42" i="10" s="1"/>
  <c r="E37" i="8"/>
  <c r="E37" i="13"/>
  <c r="E47" i="9"/>
  <c r="E26" i="7"/>
  <c r="E42" i="8"/>
  <c r="E46" i="8" s="1"/>
  <c r="T116" i="18"/>
  <c r="K21" i="13"/>
  <c r="O21" i="13" s="1"/>
  <c r="G20" i="13"/>
  <c r="G30" i="13"/>
  <c r="G22" i="7"/>
  <c r="K22" i="7" s="1"/>
  <c r="G27" i="14"/>
  <c r="AG100" i="24"/>
  <c r="D92" i="21"/>
  <c r="G31" i="9"/>
  <c r="G25" i="7"/>
  <c r="K25" i="7" s="1"/>
  <c r="Q33" i="14"/>
  <c r="Q37" i="14" s="1"/>
  <c r="AJ32" i="24"/>
  <c r="AL32" i="24" s="1"/>
  <c r="AI94" i="18"/>
  <c r="AK94" i="18" s="1"/>
  <c r="X92" i="21"/>
  <c r="N92" i="21"/>
  <c r="J92" i="21"/>
  <c r="AI129" i="18"/>
  <c r="AK129" i="18" s="1"/>
  <c r="G38" i="9"/>
  <c r="AI127" i="18"/>
  <c r="AK127" i="18" s="1"/>
  <c r="AI114" i="18"/>
  <c r="AK114" i="18" s="1"/>
  <c r="G36" i="9"/>
  <c r="AI113" i="18"/>
  <c r="AK113" i="18" s="1"/>
  <c r="G35" i="9"/>
  <c r="G33" i="14"/>
  <c r="AK43" i="18"/>
  <c r="H92" i="21"/>
  <c r="AJ85" i="24"/>
  <c r="AL85" i="24" s="1"/>
  <c r="AI123" i="18"/>
  <c r="AK123" i="18" s="1"/>
  <c r="F92" i="21"/>
  <c r="AJ108" i="20"/>
  <c r="AL108" i="20" s="1"/>
  <c r="R119" i="18"/>
  <c r="AI100" i="18"/>
  <c r="AK100" i="18" s="1"/>
  <c r="K31" i="9" l="1"/>
  <c r="I35" i="9"/>
  <c r="K35" i="9"/>
  <c r="I36" i="9"/>
  <c r="K36" i="9"/>
  <c r="I38" i="9"/>
  <c r="K38" i="9"/>
  <c r="F49" i="3"/>
  <c r="K30" i="13"/>
  <c r="O30" i="13" s="1"/>
  <c r="G37" i="14"/>
  <c r="K37" i="14" s="1"/>
  <c r="AI133" i="18"/>
  <c r="AK133" i="18" s="1"/>
  <c r="G31" i="7"/>
  <c r="K31" i="7" s="1"/>
  <c r="G30" i="7"/>
  <c r="K30" i="7" s="1"/>
  <c r="AJ64" i="24"/>
  <c r="AL64" i="24" s="1"/>
  <c r="AG62" i="22"/>
  <c r="AJ88" i="24"/>
  <c r="AL88" i="24" s="1"/>
  <c r="H33" i="6"/>
  <c r="H32" i="6"/>
  <c r="D33" i="6"/>
  <c r="D32" i="6"/>
  <c r="L32" i="6" l="1"/>
  <c r="S32" i="6" s="1"/>
  <c r="U32" i="6" s="1"/>
  <c r="O33" i="13"/>
  <c r="K33" i="13"/>
  <c r="G33" i="13"/>
  <c r="K20" i="13"/>
  <c r="O20" i="13" s="1"/>
  <c r="G27" i="13"/>
  <c r="G21" i="7"/>
  <c r="K21" i="7" s="1"/>
  <c r="AG74" i="22"/>
  <c r="AI74" i="22" s="1"/>
  <c r="AI62" i="22"/>
  <c r="AJ100" i="24"/>
  <c r="D34" i="6"/>
  <c r="L33" i="6"/>
  <c r="S33" i="6" s="1"/>
  <c r="U33" i="6" s="1"/>
  <c r="P34" i="6"/>
  <c r="J32" i="6"/>
  <c r="J33" i="6"/>
  <c r="H34" i="6"/>
  <c r="G34" i="10"/>
  <c r="K26" i="7" l="1"/>
  <c r="U34" i="6"/>
  <c r="K34" i="10"/>
  <c r="O34" i="10" s="1"/>
  <c r="AL100" i="24"/>
  <c r="G37" i="13"/>
  <c r="G26" i="7"/>
  <c r="S34" i="6"/>
  <c r="L34" i="6"/>
  <c r="J34" i="6"/>
  <c r="G42" i="7" l="1"/>
  <c r="K42" i="7" s="1"/>
  <c r="R41" i="43"/>
  <c r="J41" i="43"/>
  <c r="J43" i="43" s="1"/>
  <c r="J45" i="43" s="1"/>
  <c r="L12" i="43" s="1"/>
  <c r="AE128" i="16" l="1"/>
  <c r="AJ74" i="21"/>
  <c r="AL74" i="21" s="1"/>
  <c r="AJ68" i="21"/>
  <c r="AL68" i="21" s="1"/>
  <c r="AJ94" i="20"/>
  <c r="AL94" i="20" s="1"/>
  <c r="R25" i="11"/>
  <c r="AJ77" i="21"/>
  <c r="AL77"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3" i="20"/>
  <c r="AL103" i="20" s="1"/>
  <c r="AJ102" i="20"/>
  <c r="AL102" i="20" s="1"/>
  <c r="AJ101" i="20"/>
  <c r="AL101" i="20" s="1"/>
  <c r="AJ100" i="20"/>
  <c r="AL100" i="20" s="1"/>
  <c r="AJ97" i="20"/>
  <c r="AL97" i="20" s="1"/>
  <c r="AJ96" i="20"/>
  <c r="AJ95" i="20"/>
  <c r="AL95" i="20" s="1"/>
  <c r="AJ93" i="20"/>
  <c r="AL93" i="20" s="1"/>
  <c r="AJ92" i="20"/>
  <c r="AL92" i="20" s="1"/>
  <c r="AJ90" i="20"/>
  <c r="AL90" i="20" s="1"/>
  <c r="AJ89" i="20"/>
  <c r="AL89" i="20" s="1"/>
  <c r="AJ88" i="20"/>
  <c r="AL88" i="20" s="1"/>
  <c r="AJ82" i="20"/>
  <c r="AL82" i="20" s="1"/>
  <c r="T25" i="11" l="1"/>
  <c r="V25" i="11"/>
  <c r="V26" i="11" s="1"/>
  <c r="AE118" i="16"/>
  <c r="AE116" i="16"/>
  <c r="AE113" i="16"/>
  <c r="AE112" i="16"/>
  <c r="AE111" i="16"/>
  <c r="R26" i="11"/>
  <c r="AE119" i="16"/>
  <c r="AE120" i="16"/>
  <c r="AE124" i="16"/>
  <c r="AE117" i="16"/>
  <c r="AE123" i="16"/>
  <c r="AE115" i="16"/>
  <c r="AE125" i="16"/>
  <c r="AJ84" i="20"/>
  <c r="J51" i="3"/>
  <c r="J55" i="3" s="1"/>
  <c r="AD88" i="21"/>
  <c r="AL88" i="21" s="1"/>
  <c r="AJ85" i="21"/>
  <c r="AJ111" i="20"/>
  <c r="AL111" i="20" s="1"/>
  <c r="AJ60" i="21"/>
  <c r="AL60" i="21" s="1"/>
  <c r="R29" i="11"/>
  <c r="T29" i="11" l="1"/>
  <c r="V29" i="11"/>
  <c r="V35" i="11" s="1"/>
  <c r="K59" i="30"/>
  <c r="I26" i="10"/>
  <c r="K25" i="10"/>
  <c r="O25" i="10" s="1"/>
  <c r="O26" i="10" s="1"/>
  <c r="AL70" i="21"/>
  <c r="AD118" i="20"/>
  <c r="AL114" i="20"/>
  <c r="AE121" i="16"/>
  <c r="AJ88" i="21"/>
  <c r="AJ114" i="20"/>
  <c r="AJ118" i="20" s="1"/>
  <c r="G39" i="11"/>
  <c r="K39" i="11" s="1"/>
  <c r="AL79" i="21"/>
  <c r="AJ70" i="21"/>
  <c r="K26" i="10" l="1"/>
  <c r="AL118" i="20"/>
  <c r="G29" i="10"/>
  <c r="R35" i="11"/>
  <c r="R39" i="11" s="1"/>
  <c r="V39" i="11" s="1"/>
  <c r="AJ79" i="21"/>
  <c r="AL82" i="21"/>
  <c r="K29" i="10" l="1"/>
  <c r="O29" i="10" s="1"/>
  <c r="O35" i="10" s="1"/>
  <c r="O39" i="10" s="1"/>
  <c r="G35" i="10"/>
  <c r="G39" i="10" s="1"/>
  <c r="AD92" i="21"/>
  <c r="AJ92" i="21"/>
  <c r="J15" i="6"/>
  <c r="AL92" i="21" l="1"/>
  <c r="K35" i="10"/>
  <c r="K39" i="10"/>
  <c r="AL69" i="23" l="1"/>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3" i="19"/>
  <c r="AJ93" i="19" s="1"/>
  <c r="AL93" i="19" s="1"/>
  <c r="AD105" i="19"/>
  <c r="AJ105" i="19" s="1"/>
  <c r="AL105" i="19" s="1"/>
  <c r="AD96" i="19"/>
  <c r="AD90" i="19"/>
  <c r="AJ90" i="19" s="1"/>
  <c r="AL90" i="19" s="1"/>
  <c r="AD88" i="19"/>
  <c r="AD97" i="19"/>
  <c r="AJ97" i="19" s="1"/>
  <c r="AL97" i="19" s="1"/>
  <c r="AD102" i="19"/>
  <c r="AD89" i="19"/>
  <c r="J25" i="2" s="1"/>
  <c r="AD94" i="19"/>
  <c r="AJ94" i="19" s="1"/>
  <c r="AL94" i="19" s="1"/>
  <c r="AJ100" i="19"/>
  <c r="AL100" i="19" s="1"/>
  <c r="AD82" i="19"/>
  <c r="AJ101" i="19"/>
  <c r="AL101" i="19" s="1"/>
  <c r="AD95" i="19"/>
  <c r="AJ95" i="19" s="1"/>
  <c r="AL95" i="19" s="1"/>
  <c r="AJ114" i="19"/>
  <c r="AL114" i="19" s="1"/>
  <c r="AD92" i="19"/>
  <c r="AB34" i="2"/>
  <c r="AB20" i="2"/>
  <c r="V48" i="2"/>
  <c r="Z137" i="18"/>
  <c r="R137" i="18"/>
  <c r="L137" i="18"/>
  <c r="J137" i="18"/>
  <c r="H137" i="18"/>
  <c r="F137" i="18"/>
  <c r="AJ102" i="19" l="1"/>
  <c r="AL102" i="19" s="1"/>
  <c r="J38" i="2"/>
  <c r="AJ89" i="19"/>
  <c r="AL89" i="19" s="1"/>
  <c r="AJ96" i="19"/>
  <c r="AL96" i="19" s="1"/>
  <c r="J32" i="2"/>
  <c r="AJ92" i="19"/>
  <c r="AL92" i="19" s="1"/>
  <c r="AD98" i="19"/>
  <c r="C107" i="16"/>
  <c r="AL94" i="23"/>
  <c r="AN94" i="23" s="1"/>
  <c r="AJ82" i="19"/>
  <c r="AL82" i="19" s="1"/>
  <c r="AL63" i="23"/>
  <c r="AN63" i="23" s="1"/>
  <c r="AL80" i="19"/>
  <c r="AJ113" i="19"/>
  <c r="AL113" i="19" s="1"/>
  <c r="AD116" i="19"/>
  <c r="AJ88" i="19"/>
  <c r="AL88" i="19" s="1"/>
  <c r="AL84" i="23"/>
  <c r="AN84" i="23" s="1"/>
  <c r="AL71" i="23"/>
  <c r="AN71" i="23" s="1"/>
  <c r="AN96" i="23"/>
  <c r="P34" i="2"/>
  <c r="H34" i="2"/>
  <c r="H42" i="2" s="1"/>
  <c r="AJ116" i="19" l="1"/>
  <c r="AL116" i="19" s="1"/>
  <c r="P42" i="2"/>
  <c r="AL79" i="23"/>
  <c r="AJ98" i="19"/>
  <c r="AD107" i="19"/>
  <c r="AN79" i="23" l="1"/>
  <c r="AL86" i="23"/>
  <c r="N37" i="5"/>
  <c r="AJ107" i="19"/>
  <c r="AL107" i="19" s="1"/>
  <c r="AL98" i="19"/>
  <c r="AG67" i="25"/>
  <c r="AG70" i="25" l="1"/>
  <c r="AL70" i="25" s="1"/>
  <c r="AL67" i="25"/>
  <c r="AJ67" i="25"/>
  <c r="AJ70" i="25" l="1"/>
  <c r="AG80" i="25"/>
  <c r="AL80" i="25" l="1"/>
  <c r="AJ80" i="25"/>
  <c r="C102" i="30" l="1"/>
  <c r="C156" i="30" l="1"/>
  <c r="E43" i="7"/>
  <c r="E34" i="7"/>
  <c r="G102" i="42" l="1"/>
  <c r="G210" i="42"/>
  <c r="G257" i="42"/>
  <c r="G205" i="42"/>
  <c r="E37" i="7"/>
  <c r="E47" i="7"/>
  <c r="G260" i="42" l="1"/>
  <c r="AD34" i="2"/>
  <c r="AD42" i="2" s="1"/>
  <c r="AE137" i="16"/>
  <c r="AE140"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41" i="2"/>
  <c r="R33" i="2"/>
  <c r="R32" i="2"/>
  <c r="R31" i="2"/>
  <c r="R29" i="2"/>
  <c r="R26" i="2"/>
  <c r="R24" i="2"/>
  <c r="R19" i="2"/>
  <c r="X48" i="2" l="1"/>
  <c r="R49" i="2"/>
  <c r="R51" i="2" s="1"/>
  <c r="R25" i="2"/>
  <c r="R34" i="2" s="1"/>
  <c r="R42" i="2" s="1"/>
  <c r="AB136" i="16" l="1"/>
  <c r="AN86" i="23" l="1"/>
  <c r="AH136" i="16"/>
  <c r="N50" i="3" l="1"/>
  <c r="N49" i="2"/>
  <c r="N49" i="3" s="1"/>
  <c r="T49" i="3" s="1"/>
  <c r="N40" i="2"/>
  <c r="N37" i="2"/>
  <c r="N38" i="3" s="1"/>
  <c r="N20" i="3"/>
  <c r="N18" i="2"/>
  <c r="N18" i="3"/>
  <c r="N16" i="3"/>
  <c r="N15" i="3"/>
  <c r="N19" i="3" l="1"/>
  <c r="T19" i="3" s="1"/>
  <c r="G24" i="8" s="1"/>
  <c r="K24" i="8" s="1"/>
  <c r="N20" i="2"/>
  <c r="X40" i="2"/>
  <c r="AI40" i="2" s="1"/>
  <c r="N41" i="3"/>
  <c r="T41" i="3" s="1"/>
  <c r="N51" i="3"/>
  <c r="N42" i="2"/>
  <c r="N51" i="2"/>
  <c r="N21" i="3" l="1"/>
  <c r="AD19" i="3"/>
  <c r="AF19" i="3" s="1"/>
  <c r="N43" i="3"/>
  <c r="AG40" i="2"/>
  <c r="G40" i="8"/>
  <c r="K40" i="8" s="1"/>
  <c r="AD49" i="3"/>
  <c r="G32" i="8"/>
  <c r="K32" i="8" s="1"/>
  <c r="AD41" i="3"/>
  <c r="AF41" i="3" s="1"/>
  <c r="N45" i="2"/>
  <c r="N55" i="2" s="1"/>
  <c r="N46" i="3" l="1"/>
  <c r="N55" i="3" s="1"/>
  <c r="Y51" i="3"/>
  <c r="AF49" i="3"/>
  <c r="J49" i="2" l="1"/>
  <c r="X49" i="2" s="1"/>
  <c r="AB137" i="16" l="1"/>
  <c r="J51" i="2"/>
  <c r="V41" i="2" l="1"/>
  <c r="J30" i="2"/>
  <c r="J26" i="2"/>
  <c r="J37" i="2" l="1"/>
  <c r="J31" i="2"/>
  <c r="J29" i="2"/>
  <c r="J28" i="2"/>
  <c r="J33" i="2"/>
  <c r="J24" i="2"/>
  <c r="J41" i="2"/>
  <c r="X41" i="2" s="1"/>
  <c r="AI41" i="2" s="1"/>
  <c r="J34" i="2" l="1"/>
  <c r="AG41" i="2"/>
  <c r="J36" i="2"/>
  <c r="J19"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T50" i="3" s="1"/>
  <c r="AG36" i="2" l="1"/>
  <c r="AI36" i="2"/>
  <c r="AG32" i="2"/>
  <c r="AI32" i="2"/>
  <c r="AG31" i="2"/>
  <c r="AI31" i="2"/>
  <c r="AG30" i="2"/>
  <c r="AI30" i="2"/>
  <c r="AG29" i="2"/>
  <c r="AI29" i="2"/>
  <c r="AG28" i="2"/>
  <c r="AI28" i="2"/>
  <c r="AG33" i="2"/>
  <c r="AD16" i="3"/>
  <c r="AF16" i="3" s="1"/>
  <c r="G21" i="8"/>
  <c r="K21" i="8" s="1"/>
  <c r="F51" i="3"/>
  <c r="AD50" i="3"/>
  <c r="AD51" i="3" s="1"/>
  <c r="AF51" i="3" s="1"/>
  <c r="T25" i="3"/>
  <c r="AD18" i="3"/>
  <c r="AF18" i="3" s="1"/>
  <c r="G23" i="8"/>
  <c r="K23" i="8" s="1"/>
  <c r="AG37" i="2"/>
  <c r="AD20" i="3"/>
  <c r="AF20" i="3" s="1"/>
  <c r="G25" i="8"/>
  <c r="K25" i="8" s="1"/>
  <c r="F17" i="3"/>
  <c r="T17" i="3" s="1"/>
  <c r="AD37" i="3"/>
  <c r="AF37" i="3" s="1"/>
  <c r="G30" i="8"/>
  <c r="K30" i="8" s="1"/>
  <c r="F51" i="2"/>
  <c r="X24" i="2"/>
  <c r="AI24" i="2" s="1"/>
  <c r="AG19" i="2"/>
  <c r="X50" i="2"/>
  <c r="AG49" i="2"/>
  <c r="AG38" i="2"/>
  <c r="X25" i="2"/>
  <c r="AI25" i="2" s="1"/>
  <c r="AG17" i="2"/>
  <c r="X16" i="2"/>
  <c r="AI16" i="2" s="1"/>
  <c r="X51" i="2" l="1"/>
  <c r="AI50" i="2"/>
  <c r="AI49" i="2"/>
  <c r="AD25" i="3"/>
  <c r="AF25" i="3" s="1"/>
  <c r="G22" i="8"/>
  <c r="K22" i="8" s="1"/>
  <c r="AD17" i="3"/>
  <c r="AF17" i="3" s="1"/>
  <c r="G41" i="8"/>
  <c r="K41" i="8" s="1"/>
  <c r="T51" i="3"/>
  <c r="AG24" i="2"/>
  <c r="AG50" i="2"/>
  <c r="AG25" i="2"/>
  <c r="AG16" i="2"/>
  <c r="K42" i="8" l="1"/>
  <c r="G42" i="8"/>
  <c r="AF50" i="3"/>
  <c r="AE130" i="16"/>
  <c r="J25" i="6" l="1"/>
  <c r="S24" i="6"/>
  <c r="U24" i="6" s="1"/>
  <c r="J24" i="6"/>
  <c r="L23" i="6"/>
  <c r="S23" i="6" s="1"/>
  <c r="U23" i="6" s="1"/>
  <c r="J23" i="6"/>
  <c r="J19" i="6"/>
  <c r="H15" i="6"/>
  <c r="L14" i="6"/>
  <c r="H14" i="6"/>
  <c r="P14" i="6" s="1"/>
  <c r="S26" i="6" l="1"/>
  <c r="U26" i="6" s="1"/>
  <c r="J26" i="6"/>
  <c r="J29" i="6" s="1"/>
  <c r="J39" i="6" s="1"/>
  <c r="L26" i="6"/>
  <c r="AG48" i="2" l="1"/>
  <c r="AB128" i="16"/>
  <c r="AA12" i="3"/>
  <c r="AG51" i="2" l="1"/>
  <c r="AI51" i="2" s="1"/>
  <c r="C121" i="16"/>
  <c r="C130" i="16" s="1"/>
  <c r="AH128" i="16"/>
  <c r="AJ128" i="16" s="1"/>
  <c r="F14" i="2" l="1"/>
  <c r="F15" i="3" l="1"/>
  <c r="F20" i="2"/>
  <c r="F21" i="3" l="1"/>
  <c r="T15" i="3"/>
  <c r="C133" i="16"/>
  <c r="G20" i="8" l="1"/>
  <c r="K20" i="8" s="1"/>
  <c r="T21" i="3"/>
  <c r="G26" i="8" l="1"/>
  <c r="K26" i="8"/>
  <c r="L45" i="43" l="1"/>
  <c r="L37" i="29"/>
  <c r="AA17" i="29"/>
  <c r="AA28" i="29" s="1"/>
  <c r="AA37" i="29" s="1"/>
  <c r="AB42" i="2" l="1"/>
  <c r="AB45" i="2" s="1"/>
  <c r="AG16" i="29"/>
  <c r="AI16" i="29" s="1"/>
  <c r="H18" i="6"/>
  <c r="L18" i="6" s="1"/>
  <c r="H19" i="6" l="1"/>
  <c r="H29" i="6" s="1"/>
  <c r="H39" i="6" s="1"/>
  <c r="AG17" i="29"/>
  <c r="AI17" i="29" s="1"/>
  <c r="L19" i="6" l="1"/>
  <c r="L29" i="6" s="1"/>
  <c r="AG28" i="29"/>
  <c r="AI28" i="29" s="1"/>
  <c r="L39" i="6" l="1"/>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6" i="16"/>
  <c r="AI17" i="18"/>
  <c r="AK17" i="18" s="1"/>
  <c r="AE21" i="17"/>
  <c r="AE26" i="17" s="1"/>
  <c r="AF26" i="18"/>
  <c r="AD14" i="2" s="1"/>
  <c r="AA15" i="3" l="1"/>
  <c r="AF53" i="18"/>
  <c r="AF96" i="18" s="1"/>
  <c r="AF119" i="18" s="1"/>
  <c r="AD16" i="15"/>
  <c r="AD21" i="15" s="1"/>
  <c r="AH21" i="15" s="1"/>
  <c r="AE30" i="17"/>
  <c r="AE58" i="17" s="1"/>
  <c r="AE107" i="17" s="1"/>
  <c r="AF137" i="18" l="1"/>
  <c r="AI137" i="18" s="1"/>
  <c r="AK137" i="18" s="1"/>
  <c r="K109" i="30"/>
  <c r="AH16" i="15"/>
  <c r="AJ16" i="15" s="1"/>
  <c r="AJ21" i="15"/>
  <c r="AD25" i="15"/>
  <c r="AE30" i="16"/>
  <c r="AE58" i="16" s="1"/>
  <c r="AI26" i="18"/>
  <c r="AD20" i="2"/>
  <c r="AD15" i="3"/>
  <c r="AA21" i="3"/>
  <c r="AA46" i="3" s="1"/>
  <c r="AA55" i="3" s="1"/>
  <c r="AE133" i="17"/>
  <c r="AD56" i="15" l="1"/>
  <c r="AE107" i="16"/>
  <c r="AF139" i="18"/>
  <c r="AF15" i="3"/>
  <c r="AD21" i="3"/>
  <c r="AI53" i="18"/>
  <c r="AK26" i="18"/>
  <c r="AE143" i="17"/>
  <c r="AD45" i="2"/>
  <c r="AD38" i="28" l="1"/>
  <c r="AE133" i="16"/>
  <c r="AD55" i="2"/>
  <c r="AI96" i="18"/>
  <c r="AK96" i="18" s="1"/>
  <c r="AK53" i="18"/>
  <c r="AF21" i="3"/>
  <c r="AE144" i="16" l="1"/>
  <c r="Z25" i="43" l="1"/>
  <c r="Z32" i="43"/>
  <c r="Z30" i="43"/>
  <c r="N43" i="43"/>
  <c r="N45" i="43" s="1"/>
  <c r="Z37" i="43" l="1"/>
  <c r="AB37" i="15"/>
  <c r="F26" i="2" l="1"/>
  <c r="X26" i="2" s="1"/>
  <c r="X34" i="2" s="1"/>
  <c r="G34" i="9"/>
  <c r="AI102" i="18"/>
  <c r="AK102" i="18" s="1"/>
  <c r="I34" i="9" l="1"/>
  <c r="K34" i="9"/>
  <c r="K43" i="9" s="1"/>
  <c r="K47" i="9" s="1"/>
  <c r="G43" i="9"/>
  <c r="G47" i="9" s="1"/>
  <c r="W121" i="16"/>
  <c r="W130" i="16" s="1"/>
  <c r="W133" i="16" s="1"/>
  <c r="AI34" i="2"/>
  <c r="X42" i="2"/>
  <c r="X110" i="18"/>
  <c r="X116" i="18" s="1"/>
  <c r="F34" i="2"/>
  <c r="F42" i="2" s="1"/>
  <c r="F45" i="2" s="1"/>
  <c r="F27" i="3"/>
  <c r="AI119" i="18"/>
  <c r="AK119" i="18" s="1"/>
  <c r="AI26" i="2"/>
  <c r="AG26" i="2"/>
  <c r="AG34" i="2" s="1"/>
  <c r="AG42" i="2" s="1"/>
  <c r="G29" i="7"/>
  <c r="K29" i="7" s="1"/>
  <c r="AI110" i="18"/>
  <c r="K34" i="7" l="1"/>
  <c r="K37" i="7" s="1"/>
  <c r="F55" i="2"/>
  <c r="AI42" i="2"/>
  <c r="W121" i="17"/>
  <c r="F35" i="3"/>
  <c r="T27" i="3"/>
  <c r="AK110" i="18"/>
  <c r="AI116" i="18"/>
  <c r="AK116" i="18" s="1"/>
  <c r="G34" i="7"/>
  <c r="W130" i="17" l="1"/>
  <c r="W133" i="17" s="1"/>
  <c r="W143" i="17" s="1"/>
  <c r="F43" i="3"/>
  <c r="F46" i="3" s="1"/>
  <c r="F55" i="3" s="1"/>
  <c r="V50" i="2"/>
  <c r="AD27" i="3"/>
  <c r="T35" i="3"/>
  <c r="T43" i="3" s="1"/>
  <c r="G37" i="7"/>
  <c r="M138" i="16" l="1"/>
  <c r="AB138" i="16" s="1"/>
  <c r="U140" i="16"/>
  <c r="Q140" i="16"/>
  <c r="Q144" i="16" s="1"/>
  <c r="S140" i="16"/>
  <c r="V51" i="2"/>
  <c r="G29" i="8"/>
  <c r="K29" i="8" s="1"/>
  <c r="T46" i="3"/>
  <c r="T55" i="3" s="1"/>
  <c r="AF27" i="3"/>
  <c r="AD35" i="3"/>
  <c r="AD43" i="3" s="1"/>
  <c r="AF43" i="3" s="1"/>
  <c r="G34" i="8" l="1"/>
  <c r="K34" i="8"/>
  <c r="K46" i="8" s="1"/>
  <c r="AD46" i="3"/>
  <c r="AF46" i="3" s="1"/>
  <c r="AF35" i="3"/>
  <c r="AD55" i="3" l="1"/>
  <c r="AF55" i="3" s="1"/>
  <c r="G46" i="8"/>
  <c r="G37" i="8"/>
  <c r="K37" i="8"/>
  <c r="D26" i="18" l="1"/>
  <c r="K93" i="30" l="1"/>
  <c r="E100" i="30"/>
  <c r="D53" i="18"/>
  <c r="D96" i="18" s="1"/>
  <c r="D119" i="18" s="1"/>
  <c r="D137" i="18" s="1"/>
  <c r="N21" i="5" l="1"/>
  <c r="N32" i="5" l="1"/>
  <c r="E23" i="23"/>
  <c r="N42" i="5" l="1"/>
  <c r="E33" i="23"/>
  <c r="E65" i="23" s="1"/>
  <c r="E89" i="23" s="1"/>
  <c r="E101" i="23" s="1"/>
  <c r="AB116" i="19" l="1"/>
  <c r="AB120" i="19" s="1"/>
  <c r="AB122" i="19" s="1"/>
  <c r="N26" i="18" l="1"/>
  <c r="D14" i="2" s="1"/>
  <c r="V14" i="2" s="1"/>
  <c r="N36" i="18" l="1"/>
  <c r="D15" i="2" s="1"/>
  <c r="N53" i="18" l="1"/>
  <c r="N96" i="18" s="1"/>
  <c r="N110" i="18" l="1"/>
  <c r="N116" i="18" s="1"/>
  <c r="N119" i="18" l="1"/>
  <c r="N137" i="18" l="1"/>
  <c r="V20" i="15" l="1"/>
  <c r="V18" i="15"/>
  <c r="V16" i="15"/>
  <c r="V17" i="15"/>
  <c r="V19" i="15"/>
  <c r="T26" i="18"/>
  <c r="V21" i="15" l="1"/>
  <c r="T53" i="18"/>
  <c r="T96" i="18" s="1"/>
  <c r="T119" i="18" s="1"/>
  <c r="T137" i="18" s="1"/>
  <c r="S30" i="17"/>
  <c r="S58" i="17" s="1"/>
  <c r="S107" i="17" l="1"/>
  <c r="S133" i="17" s="1"/>
  <c r="S143" i="17" s="1"/>
  <c r="S30" i="16"/>
  <c r="S58" i="16" l="1"/>
  <c r="U61" i="23" l="1"/>
  <c r="U42" i="25"/>
  <c r="U46" i="25" s="1"/>
  <c r="U70" i="25" s="1"/>
  <c r="U80" i="25" s="1"/>
  <c r="S103" i="16" l="1"/>
  <c r="S107" i="16" s="1"/>
  <c r="S133" i="16" s="1"/>
  <c r="S144" i="16" s="1"/>
  <c r="U65" i="23"/>
  <c r="U89" i="23" s="1"/>
  <c r="U101" i="23" s="1"/>
  <c r="D38" i="3" l="1"/>
  <c r="D34" i="3"/>
  <c r="R34" i="3" s="1"/>
  <c r="AB43" i="17"/>
  <c r="AH43" i="17" s="1"/>
  <c r="V30" i="2"/>
  <c r="V16" i="2"/>
  <c r="V31" i="2"/>
  <c r="AB53" i="17"/>
  <c r="AH53" i="17" s="1"/>
  <c r="AJ53" i="17" s="1"/>
  <c r="AB136" i="17"/>
  <c r="AH136" i="17" s="1"/>
  <c r="AB101" i="17"/>
  <c r="AH101" i="17" s="1"/>
  <c r="AJ101" i="17" s="1"/>
  <c r="AB62" i="16"/>
  <c r="D33" i="3"/>
  <c r="R33" i="3" s="1"/>
  <c r="AB95" i="16"/>
  <c r="AH95" i="16" s="1"/>
  <c r="AJ95" i="16" s="1"/>
  <c r="AB112" i="16"/>
  <c r="AH112" i="16" s="1"/>
  <c r="AJ112" i="16" s="1"/>
  <c r="AB66" i="16"/>
  <c r="AH66" i="16" s="1"/>
  <c r="AJ66" i="16" s="1"/>
  <c r="AB37" i="16"/>
  <c r="AH37" i="16" s="1"/>
  <c r="AJ37" i="16" s="1"/>
  <c r="AB62" i="17"/>
  <c r="AH62" i="17" s="1"/>
  <c r="AJ62" i="17" s="1"/>
  <c r="AB94" i="17"/>
  <c r="AH94" i="17" s="1"/>
  <c r="AJ94" i="17" s="1"/>
  <c r="AB83" i="17"/>
  <c r="AH83" i="17" s="1"/>
  <c r="AJ83" i="17" s="1"/>
  <c r="AB44" i="16"/>
  <c r="AH44" i="16" s="1"/>
  <c r="AJ44" i="16" s="1"/>
  <c r="AB113" i="16"/>
  <c r="AH113" i="16" s="1"/>
  <c r="AJ113" i="16" s="1"/>
  <c r="AB52" i="17"/>
  <c r="AH52" i="17" s="1"/>
  <c r="AJ52" i="17" s="1"/>
  <c r="AB98" i="17"/>
  <c r="AH98" i="17" s="1"/>
  <c r="AJ98" i="17" s="1"/>
  <c r="AB67" i="16"/>
  <c r="AH67" i="16" s="1"/>
  <c r="AJ67" i="16" s="1"/>
  <c r="AB123" i="16"/>
  <c r="AH123" i="16" s="1"/>
  <c r="AJ123" i="16" s="1"/>
  <c r="D37" i="3"/>
  <c r="AB34" i="16"/>
  <c r="AH34" i="16" s="1"/>
  <c r="AJ34" i="16" s="1"/>
  <c r="AB45" i="16"/>
  <c r="AH45" i="16" s="1"/>
  <c r="AJ45" i="16" s="1"/>
  <c r="AB67" i="17"/>
  <c r="AH67" i="17" s="1"/>
  <c r="AJ67" i="17" s="1"/>
  <c r="AB34" i="17"/>
  <c r="AH34" i="17" s="1"/>
  <c r="AJ34" i="17" s="1"/>
  <c r="AB99" i="16"/>
  <c r="AH99" i="16" s="1"/>
  <c r="AJ99" i="16" s="1"/>
  <c r="AB77" i="17"/>
  <c r="AH77" i="17" s="1"/>
  <c r="AJ77" i="17" s="1"/>
  <c r="V29" i="2"/>
  <c r="AB82" i="17"/>
  <c r="AH82" i="17" s="1"/>
  <c r="AJ82" i="17" s="1"/>
  <c r="AB46" i="16"/>
  <c r="AH46" i="16" s="1"/>
  <c r="AJ46" i="16" s="1"/>
  <c r="V25" i="2"/>
  <c r="AB88" i="16"/>
  <c r="AH88" i="16" s="1"/>
  <c r="AJ88" i="16" s="1"/>
  <c r="AB120" i="16"/>
  <c r="AH120" i="16" s="1"/>
  <c r="AJ120" i="16" s="1"/>
  <c r="AB83" i="16"/>
  <c r="AH83" i="16" s="1"/>
  <c r="AJ83" i="16" s="1"/>
  <c r="AB65" i="17"/>
  <c r="AH65" i="17" s="1"/>
  <c r="AJ65" i="17" s="1"/>
  <c r="AB54" i="17"/>
  <c r="AH54" i="17" s="1"/>
  <c r="AJ54" i="17" s="1"/>
  <c r="AB24" i="16"/>
  <c r="AH24" i="16" s="1"/>
  <c r="AJ24" i="16" s="1"/>
  <c r="AB23" i="17"/>
  <c r="AB92" i="16"/>
  <c r="AH92" i="16" s="1"/>
  <c r="AJ92" i="16" s="1"/>
  <c r="AB111" i="16"/>
  <c r="AB73" i="17"/>
  <c r="AH73" i="17" s="1"/>
  <c r="AJ73" i="17" s="1"/>
  <c r="AB70" i="17"/>
  <c r="AH70" i="17" s="1"/>
  <c r="AJ70" i="17" s="1"/>
  <c r="AB72" i="17"/>
  <c r="AH72" i="17" s="1"/>
  <c r="AJ72" i="17" s="1"/>
  <c r="AB119" i="16"/>
  <c r="AH119" i="16" s="1"/>
  <c r="AJ119" i="16" s="1"/>
  <c r="AB98" i="16"/>
  <c r="AH98" i="16" s="1"/>
  <c r="AJ98" i="16" s="1"/>
  <c r="AH24" i="17"/>
  <c r="AJ24" i="17" s="1"/>
  <c r="AB97" i="17"/>
  <c r="AH97" i="17" s="1"/>
  <c r="AJ97" i="17" s="1"/>
  <c r="AB75" i="16"/>
  <c r="AH75" i="16" s="1"/>
  <c r="AJ75" i="16" s="1"/>
  <c r="AB99" i="17"/>
  <c r="AH99" i="17" s="1"/>
  <c r="AJ99" i="17" s="1"/>
  <c r="AB123" i="17"/>
  <c r="AH123" i="17" s="1"/>
  <c r="AJ123" i="17" s="1"/>
  <c r="AB82" i="16"/>
  <c r="AH82" i="16" s="1"/>
  <c r="AJ82" i="16" s="1"/>
  <c r="AB88" i="17"/>
  <c r="AH88" i="17" s="1"/>
  <c r="AJ88" i="17" s="1"/>
  <c r="AB29" i="16"/>
  <c r="AH29" i="16" s="1"/>
  <c r="AJ29" i="16" s="1"/>
  <c r="AB68" i="16"/>
  <c r="AH68" i="16" s="1"/>
  <c r="AJ68" i="16" s="1"/>
  <c r="AB137" i="17"/>
  <c r="AH137" i="17" s="1"/>
  <c r="AJ137" i="17" s="1"/>
  <c r="AB43" i="16"/>
  <c r="AB125" i="17"/>
  <c r="AH125" i="17" s="1"/>
  <c r="AJ125" i="17" s="1"/>
  <c r="AB89" i="17"/>
  <c r="AH89" i="17" s="1"/>
  <c r="AJ89" i="17" s="1"/>
  <c r="AH66" i="17"/>
  <c r="AJ66" i="17" s="1"/>
  <c r="AB116" i="16"/>
  <c r="AH116" i="16" s="1"/>
  <c r="AJ116" i="16" s="1"/>
  <c r="AB73" i="16"/>
  <c r="AH73" i="16" s="1"/>
  <c r="AJ73" i="16" s="1"/>
  <c r="AB74" i="17"/>
  <c r="AH74" i="17" s="1"/>
  <c r="AJ74" i="17" s="1"/>
  <c r="AB91" i="16"/>
  <c r="AH91" i="16" s="1"/>
  <c r="AJ91" i="16" s="1"/>
  <c r="AB51" i="16"/>
  <c r="AH51" i="16" s="1"/>
  <c r="AJ51" i="16" s="1"/>
  <c r="AH22" i="16"/>
  <c r="AJ22" i="16" s="1"/>
  <c r="AB115" i="16"/>
  <c r="AH115" i="16" s="1"/>
  <c r="AJ115" i="16" s="1"/>
  <c r="AB100" i="17"/>
  <c r="AH100" i="17" s="1"/>
  <c r="AJ100" i="17" s="1"/>
  <c r="AB36" i="16"/>
  <c r="AH36" i="16" s="1"/>
  <c r="AJ36" i="16" s="1"/>
  <c r="AB86" i="16"/>
  <c r="AH86" i="16" s="1"/>
  <c r="AB65" i="16"/>
  <c r="AH65" i="16" s="1"/>
  <c r="AJ65" i="16" s="1"/>
  <c r="AH21" i="16"/>
  <c r="AJ21" i="16" s="1"/>
  <c r="AH22" i="17"/>
  <c r="AJ22" i="17" s="1"/>
  <c r="AH21" i="17"/>
  <c r="AJ21" i="17" s="1"/>
  <c r="AB44" i="17"/>
  <c r="AH44" i="17" s="1"/>
  <c r="AJ44" i="17" s="1"/>
  <c r="AB75" i="17"/>
  <c r="AH75" i="17" s="1"/>
  <c r="AJ75" i="17" s="1"/>
  <c r="AB37" i="17"/>
  <c r="AH37" i="17" s="1"/>
  <c r="AJ37" i="17" s="1"/>
  <c r="AB32" i="16"/>
  <c r="D50" i="3"/>
  <c r="R50" i="3" s="1"/>
  <c r="AB87" i="17"/>
  <c r="AH87" i="17" s="1"/>
  <c r="AJ87" i="17" s="1"/>
  <c r="AB47" i="17"/>
  <c r="AH47" i="17" s="1"/>
  <c r="AJ47" i="17" s="1"/>
  <c r="AB72" i="16"/>
  <c r="AH72" i="16" s="1"/>
  <c r="AJ72" i="16" s="1"/>
  <c r="AB112" i="17"/>
  <c r="AH112" i="17" s="1"/>
  <c r="AJ112" i="17" s="1"/>
  <c r="AB76" i="17"/>
  <c r="AH76" i="17" s="1"/>
  <c r="AJ76" i="17" s="1"/>
  <c r="AB118" i="17"/>
  <c r="AH118" i="17" s="1"/>
  <c r="AJ118" i="17" s="1"/>
  <c r="AB45" i="17"/>
  <c r="AH45" i="17" s="1"/>
  <c r="AJ45" i="17" s="1"/>
  <c r="AB51" i="17"/>
  <c r="AH51" i="17" s="1"/>
  <c r="AJ51" i="17" s="1"/>
  <c r="AB87" i="16"/>
  <c r="AH87" i="16" s="1"/>
  <c r="AJ87" i="16" s="1"/>
  <c r="AB52" i="16"/>
  <c r="AH52" i="16" s="1"/>
  <c r="AJ52" i="16" s="1"/>
  <c r="AB38" i="17"/>
  <c r="AH38" i="17" s="1"/>
  <c r="AJ38" i="17" s="1"/>
  <c r="AB38" i="16"/>
  <c r="AH38" i="16" s="1"/>
  <c r="AJ38" i="16" s="1"/>
  <c r="AB94" i="16"/>
  <c r="AH94" i="16" s="1"/>
  <c r="AJ94" i="16" s="1"/>
  <c r="AB53" i="16"/>
  <c r="AH53" i="16" s="1"/>
  <c r="AJ53" i="16" s="1"/>
  <c r="AB25" i="16"/>
  <c r="AH25" i="16" s="1"/>
  <c r="AJ25" i="16" s="1"/>
  <c r="AB105" i="17"/>
  <c r="AB54" i="16"/>
  <c r="AH54" i="16" s="1"/>
  <c r="AJ54" i="16" s="1"/>
  <c r="AB70" i="16"/>
  <c r="AH70" i="16" s="1"/>
  <c r="AJ70" i="16" s="1"/>
  <c r="AB111" i="17"/>
  <c r="AH111" i="17" s="1"/>
  <c r="AJ111" i="17" s="1"/>
  <c r="AH23" i="16"/>
  <c r="AJ23" i="16" s="1"/>
  <c r="AB25" i="17"/>
  <c r="AH25" i="17" s="1"/>
  <c r="AJ25" i="17" s="1"/>
  <c r="AB97" i="16"/>
  <c r="AH97" i="16" s="1"/>
  <c r="AJ97" i="16" s="1"/>
  <c r="AB29" i="17"/>
  <c r="AH29" i="17" s="1"/>
  <c r="AJ29" i="17" s="1"/>
  <c r="AB115" i="17"/>
  <c r="AH115" i="17" s="1"/>
  <c r="AJ115" i="17" s="1"/>
  <c r="AB63" i="17"/>
  <c r="AB119" i="17"/>
  <c r="AH119" i="17" s="1"/>
  <c r="AJ119" i="17" s="1"/>
  <c r="AB36" i="17"/>
  <c r="AH36" i="17" s="1"/>
  <c r="AJ36" i="17" s="1"/>
  <c r="AB117" i="16"/>
  <c r="AH117" i="16" s="1"/>
  <c r="AJ117" i="16" s="1"/>
  <c r="AB116" i="17"/>
  <c r="AH116" i="17" s="1"/>
  <c r="AJ116" i="17" s="1"/>
  <c r="AB92" i="17"/>
  <c r="AH92" i="17" s="1"/>
  <c r="AJ92" i="17" s="1"/>
  <c r="AB76" i="16"/>
  <c r="AH76" i="16" s="1"/>
  <c r="AJ76" i="16" s="1"/>
  <c r="AB105" i="16"/>
  <c r="AB91" i="17"/>
  <c r="AH91" i="17" s="1"/>
  <c r="AJ91" i="17" s="1"/>
  <c r="AB89" i="16"/>
  <c r="AH89" i="16" s="1"/>
  <c r="AJ89" i="16" s="1"/>
  <c r="AB125" i="16"/>
  <c r="AH125" i="16" s="1"/>
  <c r="AJ125" i="16" s="1"/>
  <c r="AB46" i="17"/>
  <c r="AH46" i="17" s="1"/>
  <c r="AJ46" i="17" s="1"/>
  <c r="AB33" i="17"/>
  <c r="AH33" i="17" s="1"/>
  <c r="AJ33" i="17" s="1"/>
  <c r="AB118" i="16"/>
  <c r="AH118" i="16" s="1"/>
  <c r="AJ118" i="16" s="1"/>
  <c r="AH100" i="16"/>
  <c r="AJ100" i="16" s="1"/>
  <c r="AB117" i="17"/>
  <c r="AH117" i="17" s="1"/>
  <c r="AJ117" i="17" s="1"/>
  <c r="V26" i="18"/>
  <c r="AB77" i="16"/>
  <c r="AH77" i="16" s="1"/>
  <c r="AJ77" i="16" s="1"/>
  <c r="AB47" i="16"/>
  <c r="AH47" i="16" s="1"/>
  <c r="AJ47" i="16" s="1"/>
  <c r="AB68" i="17"/>
  <c r="AH68" i="17" s="1"/>
  <c r="AJ68" i="17" s="1"/>
  <c r="AB120" i="17"/>
  <c r="AH120" i="17" s="1"/>
  <c r="AJ120" i="17" s="1"/>
  <c r="AB113" i="17"/>
  <c r="AH113" i="17" s="1"/>
  <c r="AJ113" i="17" s="1"/>
  <c r="AB101" i="16"/>
  <c r="AH101" i="16" s="1"/>
  <c r="AJ101" i="16" s="1"/>
  <c r="AB74" i="16"/>
  <c r="AH74" i="16" s="1"/>
  <c r="AJ74" i="16" s="1"/>
  <c r="AB86" i="17"/>
  <c r="AH86" i="17" s="1"/>
  <c r="AB95" i="17"/>
  <c r="AH95" i="17" s="1"/>
  <c r="AJ95" i="17" s="1"/>
  <c r="AB50" i="17"/>
  <c r="AH139" i="17" l="1"/>
  <c r="AJ139" i="17" s="1"/>
  <c r="AB56" i="17"/>
  <c r="AH23" i="17"/>
  <c r="AJ23" i="17" s="1"/>
  <c r="AB26" i="17"/>
  <c r="V53" i="18"/>
  <c r="V96" i="18" s="1"/>
  <c r="D30" i="3"/>
  <c r="R30" i="3" s="1"/>
  <c r="V33" i="2"/>
  <c r="D26" i="3"/>
  <c r="R26" i="3" s="1"/>
  <c r="D17" i="3"/>
  <c r="R17" i="3" s="1"/>
  <c r="U103" i="17"/>
  <c r="U30" i="16"/>
  <c r="D32" i="3"/>
  <c r="R32" i="3" s="1"/>
  <c r="D31" i="3"/>
  <c r="R31" i="3" s="1"/>
  <c r="U139" i="17"/>
  <c r="V36" i="2"/>
  <c r="AH50" i="17"/>
  <c r="AH56" i="17" s="1"/>
  <c r="D18" i="3"/>
  <c r="R18" i="3" s="1"/>
  <c r="V17" i="2"/>
  <c r="AB103" i="17"/>
  <c r="AH63" i="17"/>
  <c r="D51" i="2"/>
  <c r="U41" i="17"/>
  <c r="AH43" i="16"/>
  <c r="AB48" i="16"/>
  <c r="AH121" i="17"/>
  <c r="U30" i="17"/>
  <c r="AH62" i="16"/>
  <c r="V28" i="2"/>
  <c r="D29" i="3"/>
  <c r="R29" i="3" s="1"/>
  <c r="AH105" i="16"/>
  <c r="AB121" i="17"/>
  <c r="AH105" i="17"/>
  <c r="AJ105" i="17" s="1"/>
  <c r="V24" i="2"/>
  <c r="U41" i="16"/>
  <c r="AB121" i="16"/>
  <c r="AH111" i="16"/>
  <c r="V38" i="2"/>
  <c r="D39" i="3"/>
  <c r="R39" i="3" s="1"/>
  <c r="AH32" i="16"/>
  <c r="D25" i="3"/>
  <c r="D19" i="3"/>
  <c r="R19" i="3" s="1"/>
  <c r="AB50" i="16"/>
  <c r="AB56" i="16" s="1"/>
  <c r="AJ43" i="17"/>
  <c r="AH48" i="17"/>
  <c r="AJ48" i="17" s="1"/>
  <c r="AB48" i="17"/>
  <c r="U121" i="17"/>
  <c r="U130" i="17" s="1"/>
  <c r="D49" i="3"/>
  <c r="AB32" i="17"/>
  <c r="AJ136" i="17"/>
  <c r="V19" i="2"/>
  <c r="D20" i="3"/>
  <c r="R20" i="3" s="1"/>
  <c r="R37" i="3"/>
  <c r="U48" i="16"/>
  <c r="V26" i="2"/>
  <c r="D27" i="3"/>
  <c r="R27" i="3" s="1"/>
  <c r="U103" i="16"/>
  <c r="D16" i="3"/>
  <c r="R16" i="3" s="1"/>
  <c r="AB139" i="17"/>
  <c r="V32" i="2"/>
  <c r="U48" i="17"/>
  <c r="V119" i="18" l="1"/>
  <c r="V137" i="18" s="1"/>
  <c r="X119" i="18"/>
  <c r="X137" i="18" s="1"/>
  <c r="M140" i="16"/>
  <c r="K140" i="16"/>
  <c r="E140" i="16"/>
  <c r="E144" i="16" s="1"/>
  <c r="C140" i="16"/>
  <c r="C144" i="16" s="1"/>
  <c r="Y140" i="16"/>
  <c r="Y144" i="16" s="1"/>
  <c r="AH26" i="16"/>
  <c r="U58" i="16"/>
  <c r="U107" i="16" s="1"/>
  <c r="U133" i="16" s="1"/>
  <c r="U144" i="16" s="1"/>
  <c r="AH32" i="17"/>
  <c r="AB41" i="17"/>
  <c r="V34" i="2"/>
  <c r="AJ62" i="16"/>
  <c r="D51" i="3"/>
  <c r="R49" i="3"/>
  <c r="R51" i="3" s="1"/>
  <c r="AJ32" i="16"/>
  <c r="AJ105" i="16"/>
  <c r="AJ43" i="16"/>
  <c r="AH48" i="16"/>
  <c r="AJ48" i="16" s="1"/>
  <c r="AJ63" i="17"/>
  <c r="AH103" i="17"/>
  <c r="AJ103" i="17" s="1"/>
  <c r="AJ50" i="17"/>
  <c r="AJ56" i="17"/>
  <c r="AH26" i="17"/>
  <c r="AJ111" i="16"/>
  <c r="AH121" i="16"/>
  <c r="AJ121" i="16" s="1"/>
  <c r="U58" i="17"/>
  <c r="D20" i="2"/>
  <c r="D15" i="3"/>
  <c r="AH50" i="16"/>
  <c r="AH56" i="16" s="1"/>
  <c r="D35" i="3"/>
  <c r="D43" i="3" s="1"/>
  <c r="R25" i="3"/>
  <c r="R35" i="3" s="1"/>
  <c r="AJ121" i="17"/>
  <c r="O140" i="16" l="1"/>
  <c r="D45" i="2"/>
  <c r="D55" i="2" s="1"/>
  <c r="I140" i="16"/>
  <c r="I144" i="16" s="1"/>
  <c r="G140" i="16"/>
  <c r="G144" i="16" s="1"/>
  <c r="W140" i="16"/>
  <c r="W144" i="16" s="1"/>
  <c r="AJ26" i="16"/>
  <c r="AJ50" i="16"/>
  <c r="AJ26" i="17"/>
  <c r="AH41" i="17"/>
  <c r="AJ41" i="17" s="1"/>
  <c r="AJ32" i="17"/>
  <c r="D21" i="3"/>
  <c r="D46" i="3" s="1"/>
  <c r="D55" i="3" s="1"/>
  <c r="U107" i="17"/>
  <c r="U133" i="17" s="1"/>
  <c r="U143" i="17" s="1"/>
  <c r="AH138" i="16" l="1"/>
  <c r="AJ138" i="16" s="1"/>
  <c r="AB140" i="16"/>
  <c r="K107" i="30"/>
  <c r="AH137" i="16"/>
  <c r="AJ56" i="16"/>
  <c r="AJ137" i="16" l="1"/>
  <c r="AH140" i="16"/>
  <c r="AJ140" i="16" s="1"/>
  <c r="U23" i="26" l="1"/>
  <c r="U37" i="26" s="1"/>
  <c r="U49" i="26" s="1"/>
  <c r="B32" i="5"/>
  <c r="B42" i="5" s="1"/>
  <c r="AH28" i="16" l="1"/>
  <c r="O30" i="17"/>
  <c r="O58" i="17" s="1"/>
  <c r="N26" i="22"/>
  <c r="N51" i="22" s="1"/>
  <c r="N62" i="22" s="1"/>
  <c r="N74" i="22" s="1"/>
  <c r="AH30" i="16" l="1"/>
  <c r="AJ30" i="16" s="1"/>
  <c r="AJ28" i="16"/>
  <c r="O107" i="17"/>
  <c r="O133" i="17" s="1"/>
  <c r="O143" i="17" s="1"/>
  <c r="O30" i="16"/>
  <c r="AB30" i="16" s="1"/>
  <c r="L15" i="3"/>
  <c r="AB28" i="17"/>
  <c r="O58" i="16" l="1"/>
  <c r="L21" i="3"/>
  <c r="AH28" i="17"/>
  <c r="AJ28" i="17" s="1"/>
  <c r="R37" i="43" l="1"/>
  <c r="R43" i="43" s="1"/>
  <c r="H17" i="32" l="1"/>
  <c r="C39" i="13" l="1"/>
  <c r="E40" i="13" l="1"/>
  <c r="N45" i="5" l="1"/>
  <c r="F17" i="32" l="1"/>
  <c r="Y35" i="3" l="1"/>
  <c r="K46" i="30" l="1"/>
  <c r="K95" i="30"/>
  <c r="K38" i="31" l="1"/>
  <c r="O22" i="24" l="1"/>
  <c r="O32" i="24" s="1"/>
  <c r="O64" i="24" s="1"/>
  <c r="O88" i="24" s="1"/>
  <c r="O100" i="24" s="1"/>
  <c r="V29" i="15" l="1"/>
  <c r="V37" i="15" s="1"/>
  <c r="P37" i="15"/>
  <c r="P56" i="15" s="1"/>
  <c r="AF23" i="23"/>
  <c r="AB41" i="16" l="1"/>
  <c r="M41" i="16"/>
  <c r="M58" i="16" s="1"/>
  <c r="M107" i="16" s="1"/>
  <c r="R29" i="15"/>
  <c r="AL20" i="23"/>
  <c r="AN20" i="23" s="1"/>
  <c r="AH33" i="16" l="1"/>
  <c r="AB58" i="16"/>
  <c r="X29" i="15"/>
  <c r="R37" i="15"/>
  <c r="R56" i="15" s="1"/>
  <c r="AL23" i="23"/>
  <c r="AN23" i="23" s="1"/>
  <c r="R15" i="2"/>
  <c r="AF33" i="23"/>
  <c r="V15" i="2"/>
  <c r="AH41" i="16" l="1"/>
  <c r="AJ41" i="16" s="1"/>
  <c r="AJ33" i="16"/>
  <c r="AH29" i="15"/>
  <c r="AJ29" i="15" s="1"/>
  <c r="X37" i="15"/>
  <c r="AL33" i="23"/>
  <c r="X15" i="2"/>
  <c r="AH58" i="16" l="1"/>
  <c r="AJ58" i="16" s="1"/>
  <c r="AH37" i="15"/>
  <c r="AJ37" i="15" s="1"/>
  <c r="AG15" i="2"/>
  <c r="AI15" i="2"/>
  <c r="AN33" i="23"/>
  <c r="G65" i="34" l="1"/>
  <c r="AB21" i="15" l="1"/>
  <c r="AB25" i="15" s="1"/>
  <c r="R19" i="35"/>
  <c r="V19" i="35" s="1"/>
  <c r="H43" i="35"/>
  <c r="Q42" i="25"/>
  <c r="Q61" i="23"/>
  <c r="Q46" i="25" l="1"/>
  <c r="Q70" i="25" s="1"/>
  <c r="Q80" i="25" s="1"/>
  <c r="K39" i="31"/>
  <c r="AF37" i="23"/>
  <c r="AL37" i="23" s="1"/>
  <c r="AN37" i="23" s="1"/>
  <c r="Q65" i="23"/>
  <c r="Q89" i="23" s="1"/>
  <c r="Q101" i="23" s="1"/>
  <c r="AL61" i="23" l="1"/>
  <c r="AN61" i="23" s="1"/>
  <c r="AB63" i="16"/>
  <c r="O103" i="16"/>
  <c r="O107" i="16" s="1"/>
  <c r="O133" i="16" s="1"/>
  <c r="O144" i="16" s="1"/>
  <c r="V18" i="2"/>
  <c r="P20" i="2"/>
  <c r="P45" i="2" s="1"/>
  <c r="P55" i="2" s="1"/>
  <c r="AF61" i="23"/>
  <c r="AF65" i="23" l="1"/>
  <c r="AF89" i="23" s="1"/>
  <c r="AF101" i="23" s="1"/>
  <c r="AL65" i="23"/>
  <c r="AL89" i="23" s="1"/>
  <c r="AN89" i="23" s="1"/>
  <c r="R18" i="2"/>
  <c r="X18" i="2" s="1"/>
  <c r="AH63" i="16"/>
  <c r="AB103" i="16"/>
  <c r="AB107" i="16" s="1"/>
  <c r="AL101" i="23" l="1"/>
  <c r="AN101" i="23" s="1"/>
  <c r="AN65" i="23"/>
  <c r="R20" i="2"/>
  <c r="R45" i="2" s="1"/>
  <c r="R55" i="2" s="1"/>
  <c r="AH103" i="16"/>
  <c r="AJ103" i="16" s="1"/>
  <c r="AJ63" i="16"/>
  <c r="AI18" i="2"/>
  <c r="AG18" i="2"/>
  <c r="R23" i="35" l="1"/>
  <c r="V23" i="35" s="1"/>
  <c r="AH107" i="16"/>
  <c r="AJ107" i="16" s="1"/>
  <c r="P19" i="27" l="1"/>
  <c r="P32" i="27" s="1"/>
  <c r="P44" i="27" s="1"/>
  <c r="F21" i="5"/>
  <c r="F32" i="5" s="1"/>
  <c r="F42" i="5" s="1"/>
  <c r="J18" i="5" l="1"/>
  <c r="J21" i="5" s="1"/>
  <c r="J32" i="5" s="1"/>
  <c r="J42" i="5" s="1"/>
  <c r="P45" i="43"/>
  <c r="R45" i="43" l="1"/>
  <c r="Z43" i="43"/>
  <c r="Z45" i="43" s="1"/>
  <c r="T37" i="43"/>
  <c r="T43" i="43" s="1"/>
  <c r="T45" i="43" l="1"/>
  <c r="V45" i="43" l="1"/>
  <c r="Z37" i="20"/>
  <c r="Z84" i="20" s="1"/>
  <c r="Z108" i="20" s="1"/>
  <c r="Z118" i="20" s="1"/>
  <c r="R15" i="3"/>
  <c r="R21" i="3" s="1"/>
  <c r="AB27" i="17"/>
  <c r="X45" i="43" l="1"/>
  <c r="H21" i="3"/>
  <c r="H46" i="3" s="1"/>
  <c r="H55" i="3" s="1"/>
  <c r="H20" i="2"/>
  <c r="H45" i="2" s="1"/>
  <c r="H55" i="2" s="1"/>
  <c r="AH27" i="17"/>
  <c r="AB30" i="17"/>
  <c r="Y30" i="17"/>
  <c r="Y58" i="17" s="1"/>
  <c r="Z37" i="19"/>
  <c r="Z84" i="19" s="1"/>
  <c r="Z110" i="19" s="1"/>
  <c r="Z120" i="19" s="1"/>
  <c r="AH30" i="17" l="1"/>
  <c r="AJ30" i="17" s="1"/>
  <c r="AJ27" i="17"/>
  <c r="V20" i="2"/>
  <c r="AB58" i="17"/>
  <c r="Y107" i="17"/>
  <c r="Y133" i="17" s="1"/>
  <c r="Y143" i="17" s="1"/>
  <c r="AB107" i="17" l="1"/>
  <c r="AH58" i="17"/>
  <c r="AJ58" i="17" l="1"/>
  <c r="AH107" i="17"/>
  <c r="AJ107" i="17" s="1"/>
  <c r="AD46" i="27" l="1"/>
  <c r="AG120" i="20" l="1"/>
  <c r="AG122" i="19"/>
  <c r="Z47" i="37"/>
  <c r="B47" i="37"/>
  <c r="D12" i="37" s="1"/>
  <c r="AG102" i="24"/>
  <c r="AB45" i="15"/>
  <c r="AG94" i="21"/>
  <c r="D47" i="37" l="1"/>
  <c r="F12" i="37" s="1"/>
  <c r="I210" i="42"/>
  <c r="I102" i="42"/>
  <c r="I200" i="42"/>
  <c r="K205" i="42"/>
  <c r="K11" i="42"/>
  <c r="M14" i="42"/>
  <c r="K102" i="42"/>
  <c r="K210" i="42"/>
  <c r="K186" i="42"/>
  <c r="AC12" i="18"/>
  <c r="AC139" i="18" s="1"/>
  <c r="D139" i="18"/>
  <c r="F12" i="18" s="1"/>
  <c r="I257" i="42"/>
  <c r="I186" i="42"/>
  <c r="K257" i="42"/>
  <c r="I205" i="42"/>
  <c r="I11" i="42"/>
  <c r="G49" i="9" l="1"/>
  <c r="K49" i="9" s="1"/>
  <c r="K50" i="9" s="1"/>
  <c r="AI139" i="18"/>
  <c r="AK139" i="18" s="1"/>
  <c r="E50" i="7"/>
  <c r="F47" i="37"/>
  <c r="H12" i="37" s="1"/>
  <c r="M200" i="42"/>
  <c r="AI12" i="18"/>
  <c r="AK12" i="18" s="1"/>
  <c r="AD13" i="20"/>
  <c r="AJ13" i="20" s="1"/>
  <c r="D120" i="20"/>
  <c r="F13" i="20" s="1"/>
  <c r="J57" i="3"/>
  <c r="J59" i="3" s="1"/>
  <c r="G41" i="11"/>
  <c r="D13" i="19"/>
  <c r="J57" i="2" s="1"/>
  <c r="D94" i="21"/>
  <c r="F13" i="21" s="1"/>
  <c r="AD13" i="21"/>
  <c r="R41" i="11"/>
  <c r="K260" i="42"/>
  <c r="I260" i="42"/>
  <c r="E50" i="9"/>
  <c r="F57" i="3"/>
  <c r="F59" i="2"/>
  <c r="C49" i="7"/>
  <c r="C48" i="8"/>
  <c r="T41" i="11" l="1"/>
  <c r="V41" i="11"/>
  <c r="V42" i="11" s="1"/>
  <c r="I41" i="11"/>
  <c r="K41" i="11"/>
  <c r="K42" i="11" s="1"/>
  <c r="AJ13" i="21"/>
  <c r="AL13" i="21" s="1"/>
  <c r="G50" i="9"/>
  <c r="I49" i="9"/>
  <c r="E49" i="8"/>
  <c r="H47" i="37"/>
  <c r="J12" i="37" s="1"/>
  <c r="F94" i="21"/>
  <c r="H13" i="21" s="1"/>
  <c r="F139" i="18"/>
  <c r="H12" i="18" s="1"/>
  <c r="AD94" i="21"/>
  <c r="G42" i="11"/>
  <c r="AD120" i="20"/>
  <c r="G41" i="10"/>
  <c r="K41" i="10" s="1"/>
  <c r="R42" i="11"/>
  <c r="AD13" i="19"/>
  <c r="D122" i="19"/>
  <c r="F13" i="19" s="1"/>
  <c r="F59" i="3"/>
  <c r="AL13" i="20"/>
  <c r="AJ120" i="20"/>
  <c r="AL120" i="20" s="1"/>
  <c r="M41" i="10" l="1"/>
  <c r="O41" i="10"/>
  <c r="O42" i="10" s="1"/>
  <c r="AJ94" i="21"/>
  <c r="AL94" i="21" s="1"/>
  <c r="J47" i="37"/>
  <c r="L12" i="37" s="1"/>
  <c r="H94" i="21"/>
  <c r="J13" i="21" s="1"/>
  <c r="F120" i="20"/>
  <c r="H13" i="20" s="1"/>
  <c r="G42" i="10"/>
  <c r="AL13" i="19"/>
  <c r="AJ13" i="19"/>
  <c r="K42" i="10"/>
  <c r="L47" i="37" l="1"/>
  <c r="J94" i="21"/>
  <c r="H139" i="18"/>
  <c r="J12" i="18" s="1"/>
  <c r="L13" i="21" l="1"/>
  <c r="L94" i="21" s="1"/>
  <c r="N13" i="21" s="1"/>
  <c r="H120" i="20"/>
  <c r="J13" i="20" s="1"/>
  <c r="K34" i="31"/>
  <c r="N47" i="37" l="1"/>
  <c r="P47" i="37" s="1"/>
  <c r="N94" i="21"/>
  <c r="J139" i="18"/>
  <c r="L12" i="18" s="1"/>
  <c r="K40" i="30"/>
  <c r="R47" i="37" l="1"/>
  <c r="P94" i="21"/>
  <c r="L13" i="20"/>
  <c r="L120" i="20" l="1"/>
  <c r="N13" i="20" s="1"/>
  <c r="H57" i="3" s="1"/>
  <c r="T47" i="37"/>
  <c r="R94" i="21"/>
  <c r="L139" i="18"/>
  <c r="N12" i="18" s="1"/>
  <c r="D57" i="2" s="1"/>
  <c r="G42" i="31"/>
  <c r="G45" i="31" s="1"/>
  <c r="V47" i="37" l="1"/>
  <c r="T94" i="21"/>
  <c r="K96" i="30"/>
  <c r="X47" i="37" l="1"/>
  <c r="V94" i="21"/>
  <c r="N139" i="18"/>
  <c r="K151" i="30"/>
  <c r="X94" i="21" l="1"/>
  <c r="N120" i="20"/>
  <c r="K60" i="30"/>
  <c r="Z94" i="21" l="1"/>
  <c r="P139" i="18"/>
  <c r="K40" i="31"/>
  <c r="R139" i="18" l="1"/>
  <c r="P120" i="20"/>
  <c r="P122" i="19" l="1"/>
  <c r="R30" i="35"/>
  <c r="V30" i="35" s="1"/>
  <c r="T139" i="18" l="1"/>
  <c r="R120" i="20"/>
  <c r="I30" i="45"/>
  <c r="G30" i="45"/>
  <c r="R122" i="19" l="1"/>
  <c r="Y43" i="3"/>
  <c r="Y21" i="3"/>
  <c r="V139" i="18" l="1"/>
  <c r="T120" i="20"/>
  <c r="N59" i="2"/>
  <c r="B77" i="22"/>
  <c r="C16" i="17"/>
  <c r="AB16" i="17" s="1"/>
  <c r="AA12" i="22"/>
  <c r="Y46" i="3"/>
  <c r="Y55" i="3" s="1"/>
  <c r="AA77" i="22" l="1"/>
  <c r="G38" i="12"/>
  <c r="K38" i="12" s="1"/>
  <c r="D12" i="22"/>
  <c r="T122" i="19"/>
  <c r="C145" i="17"/>
  <c r="E16" i="17" s="1"/>
  <c r="N57" i="3"/>
  <c r="T57" i="3" l="1"/>
  <c r="T59" i="3" s="1"/>
  <c r="N59" i="3"/>
  <c r="K39" i="12"/>
  <c r="I38" i="12"/>
  <c r="E145" i="17"/>
  <c r="D77" i="22"/>
  <c r="X139" i="18"/>
  <c r="V120" i="20"/>
  <c r="Y59" i="3"/>
  <c r="G39" i="12"/>
  <c r="G48" i="8" l="1"/>
  <c r="F12" i="22"/>
  <c r="G16" i="17"/>
  <c r="G145" i="17" s="1"/>
  <c r="V122" i="19"/>
  <c r="O145" i="17"/>
  <c r="K48" i="8" l="1"/>
  <c r="K49" i="8" s="1"/>
  <c r="I48" i="8"/>
  <c r="I16" i="17"/>
  <c r="I145" i="17" s="1"/>
  <c r="K16" i="17" s="1"/>
  <c r="G49" i="8"/>
  <c r="F77" i="22"/>
  <c r="Z139" i="18"/>
  <c r="X120" i="20"/>
  <c r="Q145" i="17"/>
  <c r="H12" i="22" l="1"/>
  <c r="Z120" i="20"/>
  <c r="H59" i="3"/>
  <c r="D57" i="3"/>
  <c r="D59" i="3" s="1"/>
  <c r="D59" i="2"/>
  <c r="X122" i="19"/>
  <c r="S145" i="17"/>
  <c r="G100" i="30"/>
  <c r="K97" i="30"/>
  <c r="H77" i="22" l="1"/>
  <c r="J12" i="22" s="1"/>
  <c r="Z122" i="19"/>
  <c r="U145" i="17"/>
  <c r="N77" i="22"/>
  <c r="W145" i="17" l="1"/>
  <c r="Y145" i="17" l="1"/>
  <c r="P77" i="22"/>
  <c r="E41" i="44" l="1"/>
  <c r="E57" i="44" l="1"/>
  <c r="E61" i="44" s="1"/>
  <c r="R77" i="22"/>
  <c r="K117" i="30"/>
  <c r="C57" i="44"/>
  <c r="C61" i="44" l="1"/>
  <c r="I33" i="44"/>
  <c r="I57" i="44" l="1"/>
  <c r="T77" i="22"/>
  <c r="K45" i="30"/>
  <c r="G57" i="44"/>
  <c r="R15" i="35" l="1"/>
  <c r="V15" i="35" s="1"/>
  <c r="V77" i="22" l="1"/>
  <c r="L29" i="32" l="1"/>
  <c r="X77" i="22" l="1"/>
  <c r="R24" i="35"/>
  <c r="R41" i="35" l="1"/>
  <c r="R22" i="35"/>
  <c r="R21" i="35"/>
  <c r="R36" i="35"/>
  <c r="V36" i="35" s="1"/>
  <c r="K149" i="30"/>
  <c r="E22" i="45" l="1"/>
  <c r="C26" i="45" l="1"/>
  <c r="C30" i="45" s="1"/>
  <c r="E23" i="45"/>
  <c r="D26" i="45"/>
  <c r="D30" i="45" s="1"/>
  <c r="E26" i="45" l="1"/>
  <c r="E30" i="45" l="1"/>
  <c r="I65" i="34"/>
  <c r="Q65" i="34"/>
  <c r="R20" i="35"/>
  <c r="V20" i="35" s="1"/>
  <c r="L43" i="35"/>
  <c r="K108" i="30"/>
  <c r="S65" i="34"/>
  <c r="K110" i="30"/>
  <c r="I112" i="30"/>
  <c r="I59" i="44" l="1"/>
  <c r="G61" i="44"/>
  <c r="I61" i="44" l="1"/>
  <c r="E154" i="30"/>
  <c r="T43" i="35"/>
  <c r="I154" i="30"/>
  <c r="E24" i="30"/>
  <c r="J45" i="32"/>
  <c r="R18" i="35"/>
  <c r="V18" i="35" s="1"/>
  <c r="E90" i="30"/>
  <c r="E102" i="30" s="1"/>
  <c r="H45" i="32"/>
  <c r="H48" i="32" s="1"/>
  <c r="K65" i="34"/>
  <c r="I42" i="31"/>
  <c r="G90" i="30"/>
  <c r="G102" i="30" s="1"/>
  <c r="I100" i="30"/>
  <c r="G24" i="30"/>
  <c r="F43" i="35"/>
  <c r="I24" i="30"/>
  <c r="F45" i="32"/>
  <c r="F48" i="32" s="1"/>
  <c r="G154" i="30"/>
  <c r="E42" i="31"/>
  <c r="E45" i="31" s="1"/>
  <c r="N43" i="35"/>
  <c r="R25" i="35"/>
  <c r="V25" i="35" s="1"/>
  <c r="M154" i="42"/>
  <c r="M139" i="42"/>
  <c r="AB16" i="26"/>
  <c r="D44" i="5" s="1"/>
  <c r="D45" i="5" s="1"/>
  <c r="C51" i="26"/>
  <c r="M147" i="42"/>
  <c r="K29" i="30"/>
  <c r="C25" i="8"/>
  <c r="I25" i="8" s="1"/>
  <c r="M152" i="42"/>
  <c r="K120" i="30"/>
  <c r="E82" i="25"/>
  <c r="Q39" i="14"/>
  <c r="AD14" i="25"/>
  <c r="AD82" i="25" s="1"/>
  <c r="K20" i="31"/>
  <c r="M181" i="42"/>
  <c r="C34" i="10"/>
  <c r="M34" i="10" s="1"/>
  <c r="K53" i="30"/>
  <c r="R26" i="35"/>
  <c r="V26" i="35" s="1"/>
  <c r="J43" i="35"/>
  <c r="L44" i="32"/>
  <c r="K23" i="30"/>
  <c r="K69" i="30"/>
  <c r="C30" i="10"/>
  <c r="M30" i="10" s="1"/>
  <c r="K21" i="31"/>
  <c r="V41" i="35"/>
  <c r="K148" i="30"/>
  <c r="M120" i="42"/>
  <c r="M183" i="42"/>
  <c r="R40" i="35"/>
  <c r="V40" i="35" s="1"/>
  <c r="M254" i="42"/>
  <c r="M223" i="42"/>
  <c r="K84" i="30"/>
  <c r="K65" i="30"/>
  <c r="M253" i="42"/>
  <c r="M167" i="42"/>
  <c r="M233" i="42"/>
  <c r="M129" i="42"/>
  <c r="M94" i="42"/>
  <c r="M169" i="42"/>
  <c r="O257" i="42"/>
  <c r="M213" i="42"/>
  <c r="M117" i="42"/>
  <c r="K17" i="30"/>
  <c r="K132" i="30"/>
  <c r="M160" i="42"/>
  <c r="M249" i="42"/>
  <c r="M157" i="42"/>
  <c r="R39" i="35"/>
  <c r="V39" i="35" s="1"/>
  <c r="D43" i="35"/>
  <c r="K127" i="30"/>
  <c r="K82" i="30"/>
  <c r="C23" i="13"/>
  <c r="M23" i="13" s="1"/>
  <c r="K18" i="30"/>
  <c r="M184" i="42"/>
  <c r="K19" i="31"/>
  <c r="M146" i="42"/>
  <c r="M116" i="42"/>
  <c r="K128" i="30"/>
  <c r="C24" i="13"/>
  <c r="M24" i="13" s="1"/>
  <c r="L30" i="32"/>
  <c r="M41" i="34"/>
  <c r="M109" i="42"/>
  <c r="P43" i="35"/>
  <c r="K129" i="30"/>
  <c r="C31" i="10"/>
  <c r="M31" i="10" s="1"/>
  <c r="L42" i="32"/>
  <c r="M165" i="42"/>
  <c r="K86" i="30"/>
  <c r="M136" i="42"/>
  <c r="K43" i="30"/>
  <c r="K145" i="30"/>
  <c r="L34" i="32"/>
  <c r="M256" i="42"/>
  <c r="M128" i="42"/>
  <c r="M112" i="42"/>
  <c r="L15" i="32"/>
  <c r="L17" i="32" s="1"/>
  <c r="J17" i="32"/>
  <c r="M131" i="42"/>
  <c r="K36" i="30"/>
  <c r="M123" i="42"/>
  <c r="M143" i="42"/>
  <c r="K54" i="30"/>
  <c r="C21" i="13"/>
  <c r="M21" i="13" s="1"/>
  <c r="K22" i="30"/>
  <c r="K32" i="30"/>
  <c r="K47" i="30"/>
  <c r="L43" i="32"/>
  <c r="M204" i="42"/>
  <c r="M144" i="42"/>
  <c r="R37" i="35"/>
  <c r="V37" i="35" s="1"/>
  <c r="K138" i="30"/>
  <c r="M177" i="42"/>
  <c r="L37" i="32"/>
  <c r="L36" i="32"/>
  <c r="K52" i="30"/>
  <c r="L39" i="32"/>
  <c r="M158" i="42"/>
  <c r="K119" i="30"/>
  <c r="M182" i="42"/>
  <c r="L38" i="32"/>
  <c r="M137" i="42"/>
  <c r="K153" i="30"/>
  <c r="C22" i="8"/>
  <c r="I22" i="8" s="1"/>
  <c r="C22" i="10"/>
  <c r="M22" i="10" s="1"/>
  <c r="M130" i="42"/>
  <c r="M84" i="42"/>
  <c r="M161" i="42"/>
  <c r="K122" i="30"/>
  <c r="M134" i="42"/>
  <c r="M242" i="42"/>
  <c r="M232" i="42"/>
  <c r="M20" i="34"/>
  <c r="L32" i="32"/>
  <c r="K55" i="30"/>
  <c r="M114" i="42"/>
  <c r="M83" i="42"/>
  <c r="R32" i="35"/>
  <c r="V32" i="35" s="1"/>
  <c r="C32" i="13"/>
  <c r="M32" i="13" s="1"/>
  <c r="O11" i="42"/>
  <c r="M11" i="42"/>
  <c r="E112" i="30"/>
  <c r="K105" i="30"/>
  <c r="M75" i="42"/>
  <c r="M138" i="42"/>
  <c r="K41" i="30"/>
  <c r="M156" i="42"/>
  <c r="M185" i="42"/>
  <c r="M76" i="42"/>
  <c r="K89" i="30"/>
  <c r="M246" i="42"/>
  <c r="M124" i="42"/>
  <c r="K33" i="30"/>
  <c r="M218" i="42"/>
  <c r="M239" i="42"/>
  <c r="M101" i="42"/>
  <c r="K31" i="30"/>
  <c r="K21" i="30"/>
  <c r="K152" i="30"/>
  <c r="V22" i="35"/>
  <c r="C24" i="8"/>
  <c r="I24" i="8" s="1"/>
  <c r="C23" i="8"/>
  <c r="I23" i="8" s="1"/>
  <c r="M27" i="14"/>
  <c r="K71" i="30"/>
  <c r="M166" i="42"/>
  <c r="M172" i="42"/>
  <c r="M224" i="42"/>
  <c r="B38" i="28"/>
  <c r="AA13" i="28"/>
  <c r="D41" i="6" s="1"/>
  <c r="C24" i="10"/>
  <c r="M24" i="10" s="1"/>
  <c r="C25" i="10"/>
  <c r="M25" i="10" s="1"/>
  <c r="M150" i="42"/>
  <c r="R35" i="35"/>
  <c r="V35" i="35" s="1"/>
  <c r="K80" i="30"/>
  <c r="K134" i="30"/>
  <c r="M215" i="42"/>
  <c r="M15" i="42"/>
  <c r="R38" i="35"/>
  <c r="V38" i="35" s="1"/>
  <c r="M153" i="42"/>
  <c r="M63" i="34"/>
  <c r="M162" i="42"/>
  <c r="K63" i="30"/>
  <c r="L31" i="32"/>
  <c r="K26" i="13"/>
  <c r="O26" i="13" s="1"/>
  <c r="C26" i="13"/>
  <c r="M122" i="42"/>
  <c r="C35" i="11"/>
  <c r="C29" i="10"/>
  <c r="M29" i="10" s="1"/>
  <c r="M140" i="42"/>
  <c r="M243" i="42"/>
  <c r="K36" i="31"/>
  <c r="AB54" i="15"/>
  <c r="AB56" i="15" s="1"/>
  <c r="K30" i="30"/>
  <c r="C32" i="7"/>
  <c r="I32" i="7" s="1"/>
  <c r="C32" i="8"/>
  <c r="I32" i="8" s="1"/>
  <c r="K37" i="31"/>
  <c r="L35" i="32"/>
  <c r="M77" i="42"/>
  <c r="K106" i="30"/>
  <c r="M180" i="42"/>
  <c r="C29" i="8"/>
  <c r="I29" i="8" s="1"/>
  <c r="B46" i="27"/>
  <c r="AA14" i="27"/>
  <c r="K20" i="30"/>
  <c r="K143" i="30"/>
  <c r="K136" i="30"/>
  <c r="K79" i="30"/>
  <c r="M148" i="42"/>
  <c r="C30" i="13"/>
  <c r="M30" i="13" s="1"/>
  <c r="C33" i="14"/>
  <c r="K23" i="31"/>
  <c r="C20" i="13"/>
  <c r="M20" i="13" s="1"/>
  <c r="C27" i="14"/>
  <c r="C25" i="13"/>
  <c r="M25" i="13" s="1"/>
  <c r="C40" i="7"/>
  <c r="I40" i="7" s="1"/>
  <c r="K58" i="30"/>
  <c r="M108" i="42"/>
  <c r="M209" i="42"/>
  <c r="V21" i="35"/>
  <c r="K133" i="30"/>
  <c r="M179" i="42"/>
  <c r="K77" i="30"/>
  <c r="M203" i="42"/>
  <c r="O205" i="42"/>
  <c r="M133" i="42"/>
  <c r="C31" i="13"/>
  <c r="M31" i="13" s="1"/>
  <c r="K37" i="30"/>
  <c r="K146" i="30"/>
  <c r="M78" i="42"/>
  <c r="M86" i="42"/>
  <c r="M228" i="42"/>
  <c r="M159" i="42"/>
  <c r="C22" i="13"/>
  <c r="M22" i="13" s="1"/>
  <c r="K66" i="30"/>
  <c r="R28" i="35"/>
  <c r="V28" i="35" s="1"/>
  <c r="K35" i="30"/>
  <c r="M222" i="42"/>
  <c r="N35" i="11"/>
  <c r="C33" i="8"/>
  <c r="I33" i="8" s="1"/>
  <c r="C33" i="10"/>
  <c r="M33" i="10" s="1"/>
  <c r="M216" i="42"/>
  <c r="K68" i="30"/>
  <c r="M142" i="42"/>
  <c r="M107" i="42"/>
  <c r="M113" i="42"/>
  <c r="K144" i="30"/>
  <c r="M118" i="42"/>
  <c r="M235" i="42"/>
  <c r="K73" i="30"/>
  <c r="K81" i="30"/>
  <c r="L40" i="32"/>
  <c r="AD77" i="22"/>
  <c r="AG12" i="22"/>
  <c r="AI12" i="22" s="1"/>
  <c r="AA57" i="3"/>
  <c r="AE16" i="17"/>
  <c r="M171" i="42"/>
  <c r="K98" i="30"/>
  <c r="AI103" i="23"/>
  <c r="AG82" i="25"/>
  <c r="M255" i="42"/>
  <c r="M70" i="42"/>
  <c r="M115" i="42"/>
  <c r="P41" i="6"/>
  <c r="P42" i="6" s="1"/>
  <c r="AD38" i="29"/>
  <c r="M176" i="42"/>
  <c r="K72" i="30"/>
  <c r="AE51" i="26"/>
  <c r="P44" i="5"/>
  <c r="P45" i="5" s="1"/>
  <c r="M121" i="42"/>
  <c r="M173" i="42"/>
  <c r="M236" i="42"/>
  <c r="M149" i="42"/>
  <c r="M85" i="42"/>
  <c r="C23" i="10"/>
  <c r="M23" i="10" s="1"/>
  <c r="K130" i="30"/>
  <c r="K16" i="30"/>
  <c r="M170" i="42"/>
  <c r="K51" i="30"/>
  <c r="K150" i="30"/>
  <c r="C21" i="8"/>
  <c r="I21" i="8" s="1"/>
  <c r="M106" i="42"/>
  <c r="C26" i="12"/>
  <c r="R17" i="35"/>
  <c r="V17" i="35" s="1"/>
  <c r="N26" i="11"/>
  <c r="K56" i="30"/>
  <c r="M95" i="42"/>
  <c r="R34" i="35"/>
  <c r="V34" i="35" s="1"/>
  <c r="M145" i="42"/>
  <c r="M91" i="42"/>
  <c r="K49" i="30"/>
  <c r="M238" i="42"/>
  <c r="M178" i="42"/>
  <c r="K42" i="30"/>
  <c r="K87" i="30"/>
  <c r="M220" i="42"/>
  <c r="E102" i="24"/>
  <c r="G39" i="14"/>
  <c r="K39" i="14" s="1"/>
  <c r="E15" i="23"/>
  <c r="R57" i="2" s="1"/>
  <c r="AD102" i="24"/>
  <c r="M132" i="42"/>
  <c r="M250" i="42"/>
  <c r="M79" i="42"/>
  <c r="B38" i="29"/>
  <c r="AA13" i="29"/>
  <c r="AG13" i="29" s="1"/>
  <c r="AI13" i="29" s="1"/>
  <c r="M135" i="42"/>
  <c r="C20" i="10"/>
  <c r="M20" i="10" s="1"/>
  <c r="C26" i="11"/>
  <c r="K44" i="30"/>
  <c r="K57" i="30"/>
  <c r="M80" i="42"/>
  <c r="M119" i="42"/>
  <c r="V24" i="35"/>
  <c r="C32" i="12"/>
  <c r="K19" i="30"/>
  <c r="K22" i="31"/>
  <c r="M251" i="42"/>
  <c r="N34" i="6"/>
  <c r="N39" i="6" s="1"/>
  <c r="M110" i="42"/>
  <c r="M96" i="42"/>
  <c r="M219" i="42"/>
  <c r="K78" i="30"/>
  <c r="K121" i="30"/>
  <c r="M164" i="42"/>
  <c r="M99" i="42"/>
  <c r="M45" i="34"/>
  <c r="M163" i="42"/>
  <c r="K25" i="31"/>
  <c r="M97" i="42"/>
  <c r="M240" i="42"/>
  <c r="K38" i="30"/>
  <c r="C20" i="8"/>
  <c r="I20" i="8" s="1"/>
  <c r="K124" i="30"/>
  <c r="K24" i="31"/>
  <c r="M155" i="42"/>
  <c r="M62" i="42"/>
  <c r="K125" i="30"/>
  <c r="L41" i="32"/>
  <c r="M93" i="42"/>
  <c r="M245" i="42"/>
  <c r="M125" i="42"/>
  <c r="L33" i="32"/>
  <c r="M234" i="42"/>
  <c r="M241" i="42"/>
  <c r="T22" i="11"/>
  <c r="C31" i="8"/>
  <c r="I31" i="8" s="1"/>
  <c r="G112" i="30"/>
  <c r="K70" i="30"/>
  <c r="M89" i="42"/>
  <c r="O102" i="42" s="1"/>
  <c r="R31" i="35"/>
  <c r="V31" i="35" s="1"/>
  <c r="K41" i="31"/>
  <c r="O210" i="42"/>
  <c r="M208" i="42"/>
  <c r="L23" i="32"/>
  <c r="K139" i="30"/>
  <c r="M141" i="42"/>
  <c r="I90" i="30"/>
  <c r="K28" i="30"/>
  <c r="K142" i="30"/>
  <c r="K118" i="30"/>
  <c r="K83" i="30"/>
  <c r="C21" i="10"/>
  <c r="M21" i="10" s="1"/>
  <c r="M248" i="42"/>
  <c r="C30" i="8"/>
  <c r="I30" i="8" s="1"/>
  <c r="K126" i="30"/>
  <c r="M33" i="14"/>
  <c r="M252" i="42"/>
  <c r="L22" i="32"/>
  <c r="M247" i="42"/>
  <c r="K75" i="30"/>
  <c r="M105" i="42"/>
  <c r="O186" i="42"/>
  <c r="K76" i="30"/>
  <c r="K35" i="31"/>
  <c r="M229" i="42"/>
  <c r="M244" i="42"/>
  <c r="AB51" i="2"/>
  <c r="AB55" i="2" s="1"/>
  <c r="K99" i="30"/>
  <c r="K48" i="30"/>
  <c r="M82" i="42"/>
  <c r="M168" i="42"/>
  <c r="K141" i="30"/>
  <c r="K123" i="30"/>
  <c r="K26" i="31"/>
  <c r="M151" i="42"/>
  <c r="H44" i="5" l="1"/>
  <c r="H45" i="5" s="1"/>
  <c r="AA46" i="27"/>
  <c r="AG46" i="27" s="1"/>
  <c r="AI46" i="27" s="1"/>
  <c r="S39" i="14"/>
  <c r="U39" i="14"/>
  <c r="U40" i="14" s="1"/>
  <c r="G40" i="14"/>
  <c r="I39" i="14"/>
  <c r="K27" i="13"/>
  <c r="K37" i="13" s="1"/>
  <c r="M26" i="13"/>
  <c r="M27" i="13" s="1"/>
  <c r="D13" i="28"/>
  <c r="D13" i="29"/>
  <c r="D14" i="27"/>
  <c r="E16" i="26"/>
  <c r="G14" i="25"/>
  <c r="G82" i="25" s="1"/>
  <c r="G14" i="24"/>
  <c r="G102" i="24" s="1"/>
  <c r="L25" i="32"/>
  <c r="K100" i="30"/>
  <c r="AA38" i="28"/>
  <c r="AG38" i="28" s="1"/>
  <c r="AI38" i="28" s="1"/>
  <c r="K112" i="30"/>
  <c r="G156" i="30"/>
  <c r="M210" i="42"/>
  <c r="M205" i="42"/>
  <c r="S33" i="14"/>
  <c r="AG77" i="22"/>
  <c r="AI77" i="22" s="1"/>
  <c r="K28" i="31"/>
  <c r="AJ14" i="24"/>
  <c r="AJ102" i="24" s="1"/>
  <c r="AL102" i="24" s="1"/>
  <c r="AA59" i="3"/>
  <c r="I35" i="11"/>
  <c r="C23" i="7"/>
  <c r="I23" i="7" s="1"/>
  <c r="C33" i="13"/>
  <c r="I32" i="12"/>
  <c r="AG13" i="28"/>
  <c r="AI13" i="28" s="1"/>
  <c r="AF15" i="23"/>
  <c r="AF103" i="23" s="1"/>
  <c r="AN103" i="23" s="1"/>
  <c r="M65" i="34"/>
  <c r="K24" i="30"/>
  <c r="I102" i="30"/>
  <c r="I156" i="30" s="1"/>
  <c r="K42" i="31"/>
  <c r="AG14" i="27"/>
  <c r="AI14" i="27" s="1"/>
  <c r="I26" i="12"/>
  <c r="C37" i="14"/>
  <c r="C40" i="14" s="1"/>
  <c r="I45" i="31"/>
  <c r="N39" i="11"/>
  <c r="N42" i="11" s="1"/>
  <c r="C22" i="7"/>
  <c r="I22" i="7" s="1"/>
  <c r="C39" i="11"/>
  <c r="C42" i="11" s="1"/>
  <c r="AB51" i="26"/>
  <c r="AH51" i="26" s="1"/>
  <c r="AJ51" i="26" s="1"/>
  <c r="K40" i="14"/>
  <c r="J48" i="32"/>
  <c r="AJ14" i="25"/>
  <c r="AL14" i="25" s="1"/>
  <c r="G39" i="13"/>
  <c r="G49" i="7" s="1"/>
  <c r="E103" i="23"/>
  <c r="M33" i="13"/>
  <c r="I33" i="14"/>
  <c r="V43" i="35"/>
  <c r="I27" i="14"/>
  <c r="T35" i="11"/>
  <c r="O260" i="42"/>
  <c r="E156" i="30"/>
  <c r="Y51" i="26"/>
  <c r="G41" i="7"/>
  <c r="K41" i="7" s="1"/>
  <c r="K43" i="7" s="1"/>
  <c r="K47" i="7" s="1"/>
  <c r="T26" i="11"/>
  <c r="I26" i="11"/>
  <c r="M37" i="14"/>
  <c r="M40" i="14" s="1"/>
  <c r="C36" i="12"/>
  <c r="C39" i="12" s="1"/>
  <c r="AL82" i="25"/>
  <c r="R43" i="35"/>
  <c r="L45" i="32"/>
  <c r="K154" i="30"/>
  <c r="H41" i="6"/>
  <c r="H42" i="6" s="1"/>
  <c r="AA38" i="29"/>
  <c r="AG38" i="29" s="1"/>
  <c r="AI38" i="29" s="1"/>
  <c r="X46" i="27"/>
  <c r="AH16" i="26"/>
  <c r="AJ16" i="26" s="1"/>
  <c r="S27" i="14"/>
  <c r="O27" i="13"/>
  <c r="O37" i="13" s="1"/>
  <c r="AD57" i="2"/>
  <c r="AD59" i="2" s="1"/>
  <c r="X57" i="2"/>
  <c r="AE16" i="16"/>
  <c r="AE146" i="16" s="1"/>
  <c r="C16" i="16"/>
  <c r="AB16" i="16" s="1"/>
  <c r="I26" i="8"/>
  <c r="K90" i="30"/>
  <c r="M257" i="42"/>
  <c r="M35" i="10"/>
  <c r="I34" i="8"/>
  <c r="C27" i="13"/>
  <c r="C21" i="7"/>
  <c r="I21" i="7" s="1"/>
  <c r="C30" i="7"/>
  <c r="I30" i="7" s="1"/>
  <c r="C34" i="8"/>
  <c r="C43" i="9"/>
  <c r="C31" i="9"/>
  <c r="C29" i="7"/>
  <c r="I29" i="7" s="1"/>
  <c r="C33" i="7"/>
  <c r="I33" i="7" s="1"/>
  <c r="M186" i="42"/>
  <c r="M102" i="42"/>
  <c r="M26" i="10"/>
  <c r="C26" i="10"/>
  <c r="C25" i="7"/>
  <c r="I25" i="7" s="1"/>
  <c r="C35" i="10"/>
  <c r="C24" i="7"/>
  <c r="I24" i="7" s="1"/>
  <c r="C31" i="7"/>
  <c r="I31" i="7" s="1"/>
  <c r="C26" i="8"/>
  <c r="C20" i="7"/>
  <c r="I20" i="7" s="1"/>
  <c r="AD57" i="3"/>
  <c r="AD59" i="3" s="1"/>
  <c r="I43" i="9"/>
  <c r="C42" i="7"/>
  <c r="I42" i="7" s="1"/>
  <c r="C41" i="8"/>
  <c r="I41" i="8" s="1"/>
  <c r="C41" i="7"/>
  <c r="I31" i="9"/>
  <c r="C40" i="8"/>
  <c r="I40" i="8" s="1"/>
  <c r="AE145" i="17"/>
  <c r="AH16" i="17"/>
  <c r="AJ16" i="17" s="1"/>
  <c r="Q40" i="14"/>
  <c r="D42" i="6"/>
  <c r="L44" i="5" l="1"/>
  <c r="L45" i="5" s="1"/>
  <c r="I49" i="7"/>
  <c r="K49" i="7"/>
  <c r="AB59" i="2"/>
  <c r="I14" i="25"/>
  <c r="I82" i="25" s="1"/>
  <c r="I14" i="24"/>
  <c r="I102" i="24" s="1"/>
  <c r="I41" i="7"/>
  <c r="I43" i="7" s="1"/>
  <c r="E51" i="26"/>
  <c r="D46" i="27"/>
  <c r="D38" i="29"/>
  <c r="D38" i="28"/>
  <c r="G15" i="23"/>
  <c r="K102" i="30"/>
  <c r="K156" i="30" s="1"/>
  <c r="S37" i="14"/>
  <c r="S40" i="14" s="1"/>
  <c r="AL14" i="24"/>
  <c r="AF59" i="3"/>
  <c r="I39" i="11"/>
  <c r="I42" i="11" s="1"/>
  <c r="C37" i="13"/>
  <c r="C40" i="13" s="1"/>
  <c r="K45" i="31"/>
  <c r="AJ82" i="25"/>
  <c r="I36" i="12"/>
  <c r="I39" i="12" s="1"/>
  <c r="AL15" i="23"/>
  <c r="AN15" i="23" s="1"/>
  <c r="G40" i="13"/>
  <c r="K39" i="13"/>
  <c r="L48" i="32"/>
  <c r="M37" i="13"/>
  <c r="I37" i="14"/>
  <c r="I40" i="14" s="1"/>
  <c r="T39" i="11"/>
  <c r="T42" i="11" s="1"/>
  <c r="G43" i="7"/>
  <c r="G47" i="7" s="1"/>
  <c r="I47" i="9"/>
  <c r="I50" i="9" s="1"/>
  <c r="L41" i="6"/>
  <c r="S41" i="6" s="1"/>
  <c r="I37" i="8"/>
  <c r="C37" i="8"/>
  <c r="C42" i="8"/>
  <c r="C46" i="8" s="1"/>
  <c r="C49" i="8" s="1"/>
  <c r="C47" i="9"/>
  <c r="C50" i="9" s="1"/>
  <c r="AH16" i="16"/>
  <c r="AJ16" i="16" s="1"/>
  <c r="R59" i="2"/>
  <c r="AI57" i="2"/>
  <c r="AG57" i="2"/>
  <c r="I42" i="8"/>
  <c r="I46" i="8" s="1"/>
  <c r="I49" i="8" s="1"/>
  <c r="C146" i="16"/>
  <c r="M260" i="42"/>
  <c r="I34" i="7"/>
  <c r="M39" i="10"/>
  <c r="M42" i="10" s="1"/>
  <c r="I26" i="7"/>
  <c r="C34" i="7"/>
  <c r="AF57" i="3"/>
  <c r="C39" i="10"/>
  <c r="C42" i="10" s="1"/>
  <c r="C26" i="7"/>
  <c r="C43" i="7"/>
  <c r="S44" i="5" l="1"/>
  <c r="U44" i="5" s="1"/>
  <c r="K50" i="7"/>
  <c r="K40" i="13"/>
  <c r="O39" i="13"/>
  <c r="O40" i="13" s="1"/>
  <c r="I47" i="7"/>
  <c r="I50" i="7" s="1"/>
  <c r="K14" i="25"/>
  <c r="K82" i="25" s="1"/>
  <c r="K14" i="24"/>
  <c r="K102" i="24" s="1"/>
  <c r="F13" i="29"/>
  <c r="F13" i="28"/>
  <c r="F14" i="27"/>
  <c r="G16" i="26"/>
  <c r="E16" i="16"/>
  <c r="E146" i="16" s="1"/>
  <c r="G103" i="23"/>
  <c r="AL103" i="23"/>
  <c r="M40" i="13"/>
  <c r="L42" i="6"/>
  <c r="G50" i="7"/>
  <c r="I37" i="7"/>
  <c r="C47" i="7"/>
  <c r="C50" i="7" s="1"/>
  <c r="C37" i="7"/>
  <c r="U41" i="6"/>
  <c r="S42" i="6"/>
  <c r="U42" i="6" s="1"/>
  <c r="AJ22" i="15"/>
  <c r="V22" i="15"/>
  <c r="V25" i="15" s="1"/>
  <c r="V56" i="15" s="1"/>
  <c r="F37" i="19"/>
  <c r="F84" i="19" s="1"/>
  <c r="F110" i="19" s="1"/>
  <c r="F120" i="19" s="1"/>
  <c r="F122" i="19" s="1"/>
  <c r="H13" i="19" s="1"/>
  <c r="AD17" i="19"/>
  <c r="AD37" i="19" s="1"/>
  <c r="AD84" i="19" s="1"/>
  <c r="AD110" i="19" s="1"/>
  <c r="AD120" i="19" s="1"/>
  <c r="S45" i="5" l="1"/>
  <c r="U45" i="5" s="1"/>
  <c r="M14" i="25"/>
  <c r="M82" i="25" s="1"/>
  <c r="F38" i="29"/>
  <c r="F38" i="28"/>
  <c r="F46" i="27"/>
  <c r="G51" i="26"/>
  <c r="I15" i="23"/>
  <c r="G16" i="16" s="1"/>
  <c r="H122" i="19"/>
  <c r="J13" i="19" s="1"/>
  <c r="AJ120" i="19"/>
  <c r="AL120" i="19" s="1"/>
  <c r="AD122" i="19"/>
  <c r="AJ122" i="19" s="1"/>
  <c r="AL122" i="19" s="1"/>
  <c r="AJ17" i="19"/>
  <c r="J14" i="2"/>
  <c r="H25" i="15"/>
  <c r="H56" i="15" s="1"/>
  <c r="J22" i="15"/>
  <c r="O14" i="25" l="1"/>
  <c r="O82" i="25" s="1"/>
  <c r="Q82" i="25" s="1"/>
  <c r="S82" i="25" s="1"/>
  <c r="U82" i="25" s="1"/>
  <c r="W82" i="25" s="1"/>
  <c r="Y82" i="25" s="1"/>
  <c r="AA82" i="25" s="1"/>
  <c r="AJ37" i="19"/>
  <c r="AL37" i="19" s="1"/>
  <c r="AL17" i="19"/>
  <c r="H13" i="29"/>
  <c r="H13" i="28"/>
  <c r="H14" i="27"/>
  <c r="I16" i="26"/>
  <c r="J122" i="19"/>
  <c r="L13" i="19" s="1"/>
  <c r="G146" i="16"/>
  <c r="I103" i="23"/>
  <c r="X22" i="15"/>
  <c r="J25" i="15"/>
  <c r="J56" i="15" s="1"/>
  <c r="X14" i="2"/>
  <c r="J20" i="2"/>
  <c r="J45" i="2" s="1"/>
  <c r="J55" i="2" s="1"/>
  <c r="J59" i="2" s="1"/>
  <c r="AJ84" i="19" l="1"/>
  <c r="AL84" i="19" s="1"/>
  <c r="L122" i="19"/>
  <c r="N13" i="19" s="1"/>
  <c r="H57" i="2" s="1"/>
  <c r="H59" i="2" s="1"/>
  <c r="H38" i="28"/>
  <c r="H38" i="29"/>
  <c r="I51" i="26"/>
  <c r="H46" i="27"/>
  <c r="K15" i="23"/>
  <c r="I16" i="16" s="1"/>
  <c r="I146" i="16" s="1"/>
  <c r="AG14" i="2"/>
  <c r="AG20" i="2" s="1"/>
  <c r="AI14" i="2"/>
  <c r="X20" i="2"/>
  <c r="X25" i="15"/>
  <c r="AH22" i="15"/>
  <c r="AJ110" i="19" l="1"/>
  <c r="AL110" i="19" s="1"/>
  <c r="N122" i="19"/>
  <c r="J13" i="29"/>
  <c r="J13" i="28"/>
  <c r="J14" i="27"/>
  <c r="K16" i="26"/>
  <c r="K103" i="23"/>
  <c r="X56" i="15"/>
  <c r="AH56" i="15" s="1"/>
  <c r="AJ56" i="15" s="1"/>
  <c r="AH25" i="15"/>
  <c r="AJ25" i="15" s="1"/>
  <c r="AI20" i="2"/>
  <c r="X45" i="2"/>
  <c r="K51" i="26" l="1"/>
  <c r="J46" i="27"/>
  <c r="J38" i="28"/>
  <c r="J38" i="29"/>
  <c r="M15" i="23"/>
  <c r="AG45" i="2"/>
  <c r="AG55" i="2" s="1"/>
  <c r="AG59" i="2" s="1"/>
  <c r="AI45" i="2"/>
  <c r="X55" i="2"/>
  <c r="L13" i="29" l="1"/>
  <c r="L13" i="28"/>
  <c r="L14" i="27"/>
  <c r="M16" i="26"/>
  <c r="M103" i="23"/>
  <c r="K16" i="16"/>
  <c r="AI55" i="2"/>
  <c r="X59" i="2"/>
  <c r="AI59" i="2" s="1"/>
  <c r="N42" i="6"/>
  <c r="Q102" i="24"/>
  <c r="S102" i="24"/>
  <c r="U102" i="24"/>
  <c r="W102" i="24"/>
  <c r="Y102" i="24"/>
  <c r="AA102" i="24"/>
  <c r="M14" i="24"/>
  <c r="M102" i="24" s="1"/>
  <c r="O14" i="24" s="1"/>
  <c r="O102" i="24" s="1"/>
  <c r="M51" i="26" l="1"/>
  <c r="O51" i="26" s="1"/>
  <c r="Q51" i="26" s="1"/>
  <c r="S51" i="26" s="1"/>
  <c r="U51" i="26" s="1"/>
  <c r="W51" i="26" s="1"/>
  <c r="B44" i="5"/>
  <c r="L46" i="27"/>
  <c r="N46" i="27" s="1"/>
  <c r="P46" i="27" s="1"/>
  <c r="R46" i="27" s="1"/>
  <c r="T46" i="27" s="1"/>
  <c r="V46" i="27" s="1"/>
  <c r="F44" i="5"/>
  <c r="F45" i="5" s="1"/>
  <c r="L38" i="28"/>
  <c r="N38" i="28" s="1"/>
  <c r="P38" i="28" s="1"/>
  <c r="R38" i="28" s="1"/>
  <c r="T38" i="28" s="1"/>
  <c r="V38" i="28" s="1"/>
  <c r="X38" i="28" s="1"/>
  <c r="B41" i="6"/>
  <c r="L38" i="29"/>
  <c r="N38" i="29" s="1"/>
  <c r="P38" i="29" s="1"/>
  <c r="R38" i="29" s="1"/>
  <c r="T38" i="29" s="1"/>
  <c r="V38" i="29" s="1"/>
  <c r="X38" i="29" s="1"/>
  <c r="F41" i="6"/>
  <c r="F42" i="6" s="1"/>
  <c r="Q103" i="23"/>
  <c r="S103" i="23" s="1"/>
  <c r="U103" i="23" s="1"/>
  <c r="W103" i="23" s="1"/>
  <c r="Y103" i="23" s="1"/>
  <c r="AA103" i="23" s="1"/>
  <c r="O15" i="23"/>
  <c r="O146" i="16"/>
  <c r="Q146" i="16"/>
  <c r="S146" i="16"/>
  <c r="U146" i="16"/>
  <c r="W146" i="16"/>
  <c r="Y146" i="16"/>
  <c r="J59" i="22"/>
  <c r="J62" i="22" s="1"/>
  <c r="J74" i="22" s="1"/>
  <c r="J77" i="22" s="1"/>
  <c r="L12" i="22" s="1"/>
  <c r="L57" i="2" s="1"/>
  <c r="L57" i="3" s="1"/>
  <c r="R57" i="3" s="1"/>
  <c r="V37" i="2"/>
  <c r="K124" i="17"/>
  <c r="K124" i="16"/>
  <c r="K127" i="16"/>
  <c r="L41" i="3"/>
  <c r="R41" i="3" s="1"/>
  <c r="K127" i="17"/>
  <c r="M124" i="17"/>
  <c r="M127" i="17"/>
  <c r="J41" i="6" l="1"/>
  <c r="J42" i="6" s="1"/>
  <c r="AB127" i="17"/>
  <c r="AH127" i="17" s="1"/>
  <c r="AJ127" i="17" s="1"/>
  <c r="B42" i="6"/>
  <c r="O103" i="23"/>
  <c r="P57" i="2"/>
  <c r="P59" i="2" s="1"/>
  <c r="B45" i="5"/>
  <c r="J44" i="5"/>
  <c r="J45" i="5" s="1"/>
  <c r="K130" i="17"/>
  <c r="K133" i="17" s="1"/>
  <c r="K143" i="17" s="1"/>
  <c r="K145" i="17" s="1"/>
  <c r="M16" i="17" s="1"/>
  <c r="V40" i="2"/>
  <c r="V42" i="2" s="1"/>
  <c r="V45" i="2" s="1"/>
  <c r="V55" i="2" s="1"/>
  <c r="M124" i="16"/>
  <c r="AB124" i="16" s="1"/>
  <c r="AH124" i="16" s="1"/>
  <c r="AJ124" i="16" s="1"/>
  <c r="L38" i="3"/>
  <c r="L43" i="3" s="1"/>
  <c r="L46" i="3" s="1"/>
  <c r="L55" i="3" s="1"/>
  <c r="L59" i="3" s="1"/>
  <c r="M130" i="17"/>
  <c r="M133" i="17" s="1"/>
  <c r="M143" i="17" s="1"/>
  <c r="AB124" i="17"/>
  <c r="M16" i="16"/>
  <c r="M127" i="16"/>
  <c r="AB127" i="16" s="1"/>
  <c r="AH127" i="16" s="1"/>
  <c r="AJ127" i="16" s="1"/>
  <c r="L59" i="22"/>
  <c r="L62" i="22" s="1"/>
  <c r="L74" i="22" s="1"/>
  <c r="L77" i="22" s="1"/>
  <c r="L42" i="2"/>
  <c r="L45" i="2" s="1"/>
  <c r="L55" i="2" s="1"/>
  <c r="L59" i="2" s="1"/>
  <c r="K130" i="16"/>
  <c r="K133" i="16" s="1"/>
  <c r="K144" i="16" s="1"/>
  <c r="K146" i="16" s="1"/>
  <c r="V57" i="2" l="1"/>
  <c r="V59" i="2" s="1"/>
  <c r="M145" i="17"/>
  <c r="R38" i="3"/>
  <c r="R43" i="3" s="1"/>
  <c r="R46" i="3" s="1"/>
  <c r="R55" i="3" s="1"/>
  <c r="R59" i="3" s="1"/>
  <c r="AB130" i="17"/>
  <c r="AB133" i="17" s="1"/>
  <c r="AH124" i="17"/>
  <c r="M130" i="16"/>
  <c r="M133" i="16" s="1"/>
  <c r="M144" i="16" s="1"/>
  <c r="M146" i="16" s="1"/>
  <c r="AB130" i="16"/>
  <c r="AH130" i="16" l="1"/>
  <c r="AJ130" i="16" s="1"/>
  <c r="AB133" i="16"/>
  <c r="AH130" i="17"/>
  <c r="AJ130" i="17" s="1"/>
  <c r="AJ124" i="17"/>
  <c r="AH133" i="17"/>
  <c r="AJ133" i="17" s="1"/>
  <c r="AB143" i="17"/>
  <c r="AH133" i="16" l="1"/>
  <c r="AJ133" i="16" s="1"/>
  <c r="AB144" i="16"/>
  <c r="AB145" i="17"/>
  <c r="AH145" i="17" s="1"/>
  <c r="AJ145" i="17" s="1"/>
  <c r="AH143" i="17"/>
  <c r="AJ143" i="17" s="1"/>
  <c r="AH144" i="16" l="1"/>
  <c r="AJ144" i="16" s="1"/>
  <c r="AB146" i="16"/>
  <c r="AH146" i="16" s="1"/>
  <c r="AJ146" i="16" s="1"/>
</calcChain>
</file>

<file path=xl/sharedStrings.xml><?xml version="1.0" encoding="utf-8"?>
<sst xmlns="http://schemas.openxmlformats.org/spreadsheetml/2006/main" count="4134" uniqueCount="1588">
  <si>
    <t>STATE OF NEW YORK</t>
  </si>
  <si>
    <t>GOVERNMENTAL FUNDS</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</si>
  <si>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</si>
  <si>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</si>
  <si>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</si>
  <si>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</si>
  <si>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</si>
  <si>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</si>
  <si>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</si>
  <si>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</si>
  <si>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</si>
  <si>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</si>
  <si>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</si>
  <si>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</si>
  <si>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</si>
  <si>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</si>
  <si>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</si>
  <si>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</si>
  <si>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</si>
  <si>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</si>
  <si>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</si>
  <si>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</si>
  <si>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</si>
  <si>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</si>
  <si>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</si>
  <si>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</si>
  <si>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</si>
  <si>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</si>
  <si>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</si>
  <si>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</si>
  <si>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</si>
  <si>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</si>
  <si>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</si>
  <si>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</si>
  <si>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</si>
  <si>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</si>
  <si>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</si>
  <si>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</si>
  <si>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</si>
  <si>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</si>
  <si>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</si>
  <si>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</si>
  <si>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</si>
  <si>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</si>
  <si>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</si>
  <si>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</si>
  <si>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</si>
  <si>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</si>
  <si>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</si>
  <si>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</si>
  <si>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</si>
  <si>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</si>
  <si>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</si>
  <si>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</si>
  <si>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</si>
  <si>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</si>
  <si>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</si>
  <si>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</si>
  <si>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</si>
  <si>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</si>
  <si>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</si>
  <si>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</si>
  <si>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</si>
  <si>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</si>
  <si>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</si>
  <si>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</si>
  <si>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</si>
  <si>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</si>
  <si>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</si>
  <si>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</si>
  <si>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</si>
  <si>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</si>
  <si>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</si>
  <si>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</si>
  <si>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</si>
  <si>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</si>
  <si>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</si>
  <si>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</si>
  <si>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</si>
  <si>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</si>
  <si>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</si>
  <si>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</si>
  <si>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</si>
  <si>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</si>
  <si>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</si>
  <si>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</si>
  <si>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</si>
  <si>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</si>
  <si>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</si>
  <si>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</si>
  <si>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</si>
  <si>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</si>
  <si>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</si>
  <si>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</si>
  <si>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</si>
  <si>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</si>
  <si>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</si>
  <si>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</si>
  <si>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</si>
  <si>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</si>
  <si>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</si>
  <si>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</si>
  <si>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</si>
  <si>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</si>
  <si>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</si>
  <si>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</si>
  <si>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</si>
  <si>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</si>
  <si>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</si>
  <si>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</si>
  <si>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</si>
  <si>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</si>
  <si>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</si>
  <si>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</si>
  <si>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</si>
  <si>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</si>
  <si>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</si>
  <si>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</si>
  <si>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</si>
  <si>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</si>
  <si>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</si>
  <si>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</si>
  <si>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</si>
  <si>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</si>
  <si>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</si>
  <si>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</si>
  <si>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</si>
  <si>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</si>
  <si>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</si>
  <si>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</si>
  <si>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</si>
  <si>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</si>
  <si>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</si>
  <si>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</si>
  <si>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</si>
  <si>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</si>
  <si>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</si>
  <si>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</si>
  <si>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</si>
  <si>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</si>
  <si>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</si>
  <si>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</si>
  <si>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</si>
  <si>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</si>
  <si>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</si>
  <si>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</si>
  <si>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</si>
  <si>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</si>
  <si>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</si>
  <si>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</si>
  <si>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</si>
  <si>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</si>
  <si>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</si>
  <si>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</si>
  <si>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</si>
  <si>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</si>
  <si>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</si>
  <si>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</si>
  <si>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</si>
  <si>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</si>
  <si>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</si>
  <si>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</si>
  <si>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</si>
  <si>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</si>
  <si>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</si>
  <si>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</si>
  <si>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</si>
  <si>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</si>
  <si>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</si>
  <si>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</si>
  <si>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</si>
  <si>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</si>
  <si>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</si>
  <si>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</si>
  <si>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</si>
  <si>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</si>
  <si>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</si>
  <si>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</si>
  <si>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</si>
  <si>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</si>
  <si>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</si>
  <si>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</si>
  <si>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</si>
  <si>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</si>
  <si>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</si>
  <si>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</si>
  <si>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</si>
  <si>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</si>
  <si>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</si>
  <si>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</si>
  <si>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</si>
  <si>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</si>
  <si>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</si>
  <si>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</si>
  <si>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</si>
  <si>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</si>
  <si>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</si>
  <si>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</si>
  <si>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</si>
  <si>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</si>
  <si>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</si>
  <si>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</si>
  <si>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</si>
  <si>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</si>
  <si>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</si>
  <si>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</si>
  <si>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</si>
  <si>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</si>
  <si>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</si>
  <si>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</si>
  <si>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</si>
  <si>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</si>
  <si>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</si>
  <si>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</si>
  <si>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</si>
  <si>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</si>
  <si>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</si>
  <si>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</si>
  <si>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</si>
  <si>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</si>
  <si>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</si>
  <si>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</si>
  <si>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</si>
  <si>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</si>
  <si>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</si>
  <si>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</si>
  <si>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</si>
  <si>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</si>
  <si>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</si>
  <si>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</si>
  <si>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</si>
  <si>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</si>
  <si>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</si>
  <si>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</si>
  <si>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</si>
  <si>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</si>
  <si>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</si>
  <si>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</si>
  <si>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</si>
  <si>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</si>
  <si>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</si>
  <si>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</si>
  <si>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</si>
  <si>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</si>
  <si>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</si>
  <si>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</si>
  <si>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</si>
  <si>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</si>
  <si>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</si>
  <si>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</si>
  <si>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</si>
  <si>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</si>
  <si>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</si>
  <si>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</si>
  <si>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</si>
  <si>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</si>
  <si>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</si>
  <si>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</si>
  <si>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</si>
  <si>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</si>
  <si>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</si>
  <si>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</si>
  <si>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</si>
  <si>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</si>
  <si>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</si>
  <si>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</si>
  <si>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</si>
  <si>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</si>
  <si>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</si>
  <si>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</si>
  <si>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</si>
  <si>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</si>
  <si>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</si>
  <si>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</si>
  <si>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</si>
  <si>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</si>
  <si>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</si>
  <si>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</si>
  <si>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</si>
  <si>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</si>
  <si>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</si>
  <si>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</si>
  <si>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</si>
  <si>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</si>
  <si>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</si>
  <si>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</si>
  <si>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</si>
  <si>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</si>
  <si>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</si>
  <si>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</si>
  <si>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</si>
  <si>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</si>
  <si>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</si>
  <si>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</si>
  <si>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</si>
  <si>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</si>
  <si>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</si>
  <si>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</si>
  <si>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</si>
  <si>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</si>
  <si>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</si>
  <si>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25900-25949-Unemployment Insurance Administration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</si>
  <si>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</si>
  <si>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</si>
  <si>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</si>
  <si>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</si>
  <si>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</si>
  <si>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</si>
  <si>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</si>
  <si>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</si>
  <si>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</si>
  <si>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</si>
  <si>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</si>
  <si>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</si>
  <si>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</si>
  <si>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</si>
  <si>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</si>
  <si>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</si>
  <si>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</si>
  <si>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</si>
  <si>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</si>
  <si>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</si>
  <si>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</si>
  <si>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</si>
  <si>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</si>
  <si>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</si>
  <si>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</si>
  <si>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</si>
  <si>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</si>
  <si>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</si>
  <si>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</si>
  <si>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</si>
  <si>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</si>
  <si>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</si>
  <si>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</si>
  <si>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</si>
  <si>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</si>
  <si>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</si>
  <si>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</si>
  <si>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</si>
  <si>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</si>
  <si>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</si>
  <si>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</si>
  <si>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</si>
  <si>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</si>
  <si>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</si>
  <si>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</si>
  <si>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</si>
  <si>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</si>
  <si>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</si>
  <si>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</si>
  <si>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</si>
  <si>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</si>
  <si>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</si>
  <si>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</si>
  <si>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</si>
  <si>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</si>
  <si>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</si>
  <si>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</si>
  <si>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</si>
  <si>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</si>
  <si>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</si>
  <si>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</si>
  <si>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</si>
  <si>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</si>
  <si>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</si>
  <si>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</si>
  <si>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</si>
  <si>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</si>
  <si>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</si>
  <si>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</si>
  <si>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</si>
  <si>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</si>
  <si>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</si>
  <si>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</si>
  <si>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</si>
  <si>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</si>
  <si>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</si>
  <si>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</si>
  <si>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</si>
  <si>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</si>
  <si>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</si>
  <si>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</si>
  <si>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</si>
  <si>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</si>
  <si>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</si>
  <si>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</si>
  <si>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</si>
  <si>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</si>
  <si>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</si>
  <si>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</si>
  <si>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</si>
  <si>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</si>
  <si>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</si>
  <si>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</si>
  <si>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</si>
  <si>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</si>
  <si>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</si>
  <si>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</si>
  <si>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</si>
  <si>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</si>
  <si>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</si>
  <si>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</si>
  <si>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</si>
  <si>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</si>
  <si>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</si>
  <si>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</si>
  <si>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</si>
  <si>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</si>
  <si>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</si>
  <si>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</si>
  <si>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</si>
  <si>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</si>
  <si>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</si>
  <si>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</si>
  <si>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</si>
  <si>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</si>
  <si>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</si>
  <si>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</si>
  <si>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</si>
  <si>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</si>
  <si>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</si>
  <si>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</si>
  <si>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</si>
  <si>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</si>
  <si>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</si>
  <si>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</si>
  <si>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</si>
  <si>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</si>
  <si>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</si>
  <si>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</si>
  <si>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</si>
  <si>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</si>
  <si>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</si>
  <si>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</si>
  <si>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</si>
  <si>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</si>
  <si>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</si>
  <si>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</si>
  <si>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</si>
  <si>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</si>
  <si>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</si>
  <si>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</si>
  <si>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</si>
  <si>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</si>
  <si>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</si>
  <si>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</si>
  <si>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</si>
  <si>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</si>
  <si>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</si>
  <si>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</si>
  <si>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</si>
  <si>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</si>
  <si>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</si>
  <si>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</si>
  <si>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</si>
  <si>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</si>
  <si>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</si>
  <si>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</si>
  <si>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</si>
  <si>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</si>
  <si>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</si>
  <si>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</si>
  <si>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</si>
  <si>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</si>
  <si>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</si>
  <si>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</si>
  <si>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</si>
  <si>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</si>
  <si>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</si>
  <si>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</si>
  <si>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</si>
  <si>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</si>
  <si>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</si>
  <si>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</si>
  <si>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</si>
  <si>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</si>
  <si>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</si>
  <si>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</si>
  <si>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</si>
  <si>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</si>
  <si>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</si>
  <si>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</si>
  <si>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</si>
  <si>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</si>
  <si>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</si>
  <si>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</si>
  <si>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</si>
  <si>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</si>
  <si>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</si>
  <si>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</si>
  <si>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</si>
  <si>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</si>
  <si>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</si>
  <si>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</si>
  <si>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</si>
  <si>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</si>
  <si>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</si>
  <si>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</si>
  <si>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</si>
  <si>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</si>
  <si>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</si>
  <si>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</si>
  <si>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</si>
  <si>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</si>
  <si>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</si>
  <si>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</si>
  <si>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</si>
  <si>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</si>
  <si>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</si>
  <si>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</si>
  <si>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</si>
  <si>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</si>
  <si>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</si>
  <si>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</si>
  <si>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</si>
  <si>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</si>
  <si>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</si>
  <si>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</si>
  <si>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</si>
  <si>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</si>
  <si>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</si>
  <si>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</si>
  <si>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</si>
  <si>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</si>
  <si>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</si>
  <si>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</si>
  <si>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</si>
  <si>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</si>
  <si>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</si>
  <si>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</si>
  <si>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</si>
  <si>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</si>
  <si>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</si>
  <si>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</si>
  <si>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</si>
  <si>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</si>
  <si>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</si>
  <si>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</si>
  <si>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</si>
  <si>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</si>
  <si>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</si>
  <si>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</si>
  <si>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</si>
  <si>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</si>
  <si>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</si>
  <si>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</si>
  <si>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</si>
  <si>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</si>
  <si>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</si>
  <si>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</si>
  <si>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</si>
  <si>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</si>
  <si>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</si>
  <si>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</si>
  <si>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</si>
  <si>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</si>
  <si>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</si>
  <si>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</si>
  <si>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</si>
  <si>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</si>
  <si>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</si>
  <si>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</si>
  <si>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</si>
  <si>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COBLESKILL</t>
  </si>
  <si>
    <t>STATE PARK INFRASTRUCTURE</t>
  </si>
  <si>
    <t>HAZARDOUS WASTE CLEAN UP</t>
  </si>
  <si>
    <t>YOUTH FACILITIES IMPROVEMENT</t>
  </si>
  <si>
    <t>HOUSING ASSISTANCE</t>
  </si>
  <si>
    <t>HOUSING PROG FD-HSG TR FD CORP</t>
  </si>
  <si>
    <t>HOUSING PROG FD AFFORD HSG CORP</t>
  </si>
  <si>
    <t>HOUSING PROG FD-DEPT OF SOCIAL SERVICES</t>
  </si>
  <si>
    <t xml:space="preserve">HIGHWAY FAC PURPOSE </t>
  </si>
  <si>
    <t>NY RACING ACCOUNT</t>
  </si>
  <si>
    <t>OMH-COMMUNITY FACILITIES</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</si>
  <si>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</si>
  <si>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</si>
  <si>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</si>
  <si>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</si>
  <si>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</si>
  <si>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</si>
  <si>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</si>
  <si>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</si>
  <si>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</si>
  <si>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</si>
  <si>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LOCAL GOVERNMENT RECORDS MGMT</t>
  </si>
  <si>
    <t>CHILD HEALTH INSURANCE</t>
  </si>
  <si>
    <t>EPIC PREMIUM ACCOUNT</t>
  </si>
  <si>
    <t>LOTTERY-EDUCATION</t>
  </si>
  <si>
    <t>VLT EDUCATION</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</si>
  <si>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</si>
  <si>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</si>
  <si>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</si>
  <si>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</si>
  <si>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</si>
  <si>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</si>
  <si>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</si>
  <si>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</si>
  <si>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</si>
  <si>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</si>
  <si>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</si>
  <si>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</si>
  <si>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</si>
  <si>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</si>
  <si>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</si>
  <si>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</si>
  <si>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</si>
  <si>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</si>
  <si>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</si>
  <si>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</si>
  <si>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</si>
  <si>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</si>
  <si>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</si>
  <si>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</si>
  <si>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</si>
  <si>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</si>
  <si>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</si>
  <si>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</si>
  <si>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</si>
  <si>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</si>
  <si>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</si>
  <si>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</si>
  <si>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</si>
  <si>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</si>
  <si>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</si>
  <si>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</si>
  <si>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</si>
  <si>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</si>
  <si>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</si>
  <si>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</si>
  <si>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</si>
  <si>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</si>
  <si>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</si>
  <si>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</si>
  <si>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</si>
  <si>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</si>
  <si>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</si>
  <si>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</si>
  <si>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</si>
  <si>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</si>
  <si>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</si>
  <si>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</si>
  <si>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</si>
  <si>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</si>
  <si>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</si>
  <si>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</si>
  <si>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</si>
  <si>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</si>
  <si>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</si>
  <si>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</si>
  <si>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</si>
  <si>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</si>
  <si>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</si>
  <si>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</si>
  <si>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</si>
  <si>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</si>
  <si>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</si>
  <si>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</si>
  <si>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</si>
  <si>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</si>
  <si>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</si>
  <si>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</si>
  <si>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</si>
  <si>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</si>
  <si>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</si>
  <si>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</si>
  <si>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</si>
  <si>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</si>
  <si>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</si>
  <si>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</si>
  <si>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SERVICES-PRINTING</t>
  </si>
  <si>
    <t>CENTRALIZED SERVICES-REAL PROPERTY-LABOR</t>
  </si>
  <si>
    <t>CENTRALIZED SERVICES-PERSONAL PROPERTY</t>
  </si>
  <si>
    <t>CENTRALIZED SERVICES-CONSTRUCTION SERVICES</t>
  </si>
  <si>
    <t>CENTRALIZED SERVICES-PASNY</t>
  </si>
  <si>
    <t>CENTRALIZED SERVICES-INSURANCE</t>
  </si>
  <si>
    <t>CENTRALIZED SERVICES-SECURITY CARD ACCESS</t>
  </si>
  <si>
    <t>CENTRALIZED SERVICES-IMMICS</t>
  </si>
  <si>
    <t>DOWNSTATE WAREHOUSE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</si>
  <si>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</si>
  <si>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</si>
  <si>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</si>
  <si>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</si>
  <si>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</si>
  <si>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</si>
  <si>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</si>
  <si>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</si>
  <si>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</si>
  <si>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</si>
  <si>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</si>
  <si>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</si>
  <si>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</si>
  <si>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</si>
  <si>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</si>
  <si>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</si>
  <si>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</si>
  <si>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</si>
  <si>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</si>
  <si>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</si>
  <si>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</si>
  <si>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</si>
  <si>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</si>
  <si>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</si>
  <si>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</si>
  <si>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</si>
  <si>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</si>
  <si>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</si>
  <si>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</si>
  <si>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</si>
  <si>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</si>
  <si>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</si>
  <si>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</si>
  <si>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</si>
  <si>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</si>
  <si>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</si>
  <si>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</si>
  <si>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</si>
  <si>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</si>
  <si>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</si>
  <si>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</si>
  <si>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</si>
  <si>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</si>
  <si>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</si>
  <si>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</si>
  <si>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</si>
  <si>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</si>
  <si>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</si>
  <si>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</si>
  <si>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</si>
  <si>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</si>
  <si>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</si>
  <si>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</si>
  <si>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</si>
  <si>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</si>
  <si>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</si>
  <si>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</si>
  <si>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</si>
  <si>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</si>
  <si>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</si>
  <si>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</si>
  <si>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</si>
  <si>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</si>
  <si>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</si>
  <si>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</si>
  <si>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</si>
  <si>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</si>
  <si>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</si>
  <si>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</si>
  <si>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</si>
  <si>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</si>
  <si>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</si>
  <si>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</si>
  <si>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</si>
  <si>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</si>
  <si>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</si>
  <si>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</si>
  <si>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</si>
  <si>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</si>
  <si>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</si>
  <si>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</si>
  <si>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</si>
  <si>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</si>
  <si>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</si>
  <si>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</si>
  <si>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</si>
  <si>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</si>
  <si>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</si>
  <si>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</si>
  <si>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</si>
  <si>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</si>
  <si>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</si>
  <si>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</si>
  <si>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</si>
  <si>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</si>
  <si>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</si>
  <si>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</si>
  <si>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</si>
  <si>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</si>
  <si>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</si>
  <si>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</si>
  <si>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</si>
  <si>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</si>
  <si>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</si>
  <si>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</si>
  <si>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</si>
  <si>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</si>
  <si>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</si>
  <si>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</si>
  <si>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</si>
  <si>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</si>
  <si>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</si>
  <si>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</si>
  <si>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</si>
  <si>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</si>
  <si>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</si>
  <si>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</si>
  <si>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</si>
  <si>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</si>
  <si>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</si>
  <si>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</si>
  <si>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</si>
  <si>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</si>
  <si>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</si>
  <si>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</si>
  <si>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</si>
  <si>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</si>
  <si>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</si>
  <si>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</si>
  <si>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</si>
  <si>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</si>
  <si>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</si>
  <si>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</si>
  <si>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</si>
  <si>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</si>
  <si>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</si>
  <si>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</si>
  <si>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</si>
  <si>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</si>
  <si>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</si>
  <si>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</si>
  <si>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</si>
  <si>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</si>
  <si>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</si>
  <si>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</si>
  <si>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</si>
  <si>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</si>
  <si>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</si>
  <si>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</si>
  <si>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</si>
  <si>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</si>
  <si>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</si>
  <si>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</si>
  <si>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</si>
  <si>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</si>
  <si>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</si>
  <si>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</si>
  <si>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</si>
  <si>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</si>
  <si>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</si>
  <si>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</si>
  <si>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</si>
  <si>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</si>
  <si>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</si>
  <si>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</si>
  <si>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</si>
  <si>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</si>
  <si>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</si>
  <si>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</si>
  <si>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</si>
  <si>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</si>
  <si>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</si>
  <si>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</si>
  <si>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</si>
  <si>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</si>
  <si>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</si>
  <si>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</si>
  <si>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</si>
  <si>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</si>
  <si>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</si>
  <si>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</si>
  <si>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</si>
  <si>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</si>
  <si>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</si>
  <si>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</si>
  <si>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</si>
  <si>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</si>
  <si>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</si>
  <si>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</si>
  <si>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</si>
  <si>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</si>
  <si>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</si>
  <si>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</si>
  <si>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</si>
  <si>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</si>
  <si>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</si>
  <si>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</si>
  <si>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</si>
  <si>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</si>
  <si>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</si>
  <si>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</si>
  <si>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</si>
  <si>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</si>
  <si>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</si>
  <si>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</si>
  <si>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</si>
  <si>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</si>
  <si>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</si>
  <si>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</si>
  <si>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</si>
  <si>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</si>
  <si>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</si>
  <si>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</si>
  <si>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</si>
  <si>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</si>
  <si>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</si>
  <si>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</si>
  <si>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</si>
  <si>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</si>
  <si>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</si>
  <si>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</si>
  <si>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</si>
  <si>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</si>
  <si>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</si>
  <si>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</si>
  <si>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</si>
  <si>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</si>
  <si>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</si>
  <si>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</si>
  <si>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</si>
  <si>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</si>
  <si>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</si>
  <si>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</si>
  <si>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</si>
  <si>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</si>
  <si>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</si>
  <si>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</si>
  <si>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</si>
  <si>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</si>
  <si>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</si>
  <si>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</si>
  <si>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</si>
  <si>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</si>
  <si>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</si>
  <si>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</si>
  <si>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</si>
  <si>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</si>
  <si>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</si>
  <si>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</si>
  <si>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</si>
  <si>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</si>
  <si>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</si>
  <si>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</si>
  <si>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</si>
  <si>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</si>
  <si>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</si>
  <si>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</si>
  <si>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</si>
  <si>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</si>
  <si>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</si>
  <si>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</si>
  <si>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</si>
  <si>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</si>
  <si>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</si>
  <si>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</si>
  <si>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</si>
  <si>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</si>
  <si>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</si>
  <si>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</si>
  <si>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</si>
  <si>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</si>
  <si>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</si>
  <si>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</si>
  <si>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</si>
  <si>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</si>
  <si>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</si>
  <si>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</si>
  <si>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</si>
  <si>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</si>
  <si>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</si>
  <si>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</si>
  <si>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</si>
  <si>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</si>
  <si>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</si>
  <si>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</si>
  <si>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</si>
  <si>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</si>
  <si>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</si>
  <si>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</si>
  <si>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</si>
  <si>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</si>
  <si>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</si>
  <si>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</si>
  <si>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</si>
  <si>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</si>
  <si>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</si>
  <si>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</si>
  <si>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</si>
  <si>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</si>
  <si>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</si>
  <si>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</si>
  <si>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</si>
  <si>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</si>
  <si>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</si>
  <si>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</si>
  <si>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</si>
  <si>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</si>
  <si>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</si>
  <si>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</si>
  <si>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</si>
  <si>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</si>
  <si>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</si>
  <si>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</si>
  <si>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</si>
  <si>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</si>
  <si>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</si>
  <si>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</si>
  <si>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</si>
  <si>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</si>
  <si>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</si>
  <si>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</si>
  <si>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</si>
  <si>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</si>
  <si>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</si>
  <si>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</si>
  <si>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</si>
  <si>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</si>
  <si>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</si>
  <si>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</si>
  <si>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</si>
  <si>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</si>
  <si>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</si>
  <si>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</si>
  <si>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</si>
  <si>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</si>
  <si>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</si>
  <si>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</si>
  <si>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</si>
  <si>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</si>
  <si>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</si>
  <si>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</si>
  <si>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</si>
  <si>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</si>
  <si>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</si>
  <si>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</si>
  <si>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</si>
  <si>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</si>
  <si>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</si>
  <si>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</si>
  <si>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</si>
  <si>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</si>
  <si>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</si>
  <si>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</si>
  <si>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</si>
  <si>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</si>
  <si>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</si>
  <si>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</si>
  <si>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</si>
  <si>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</si>
  <si>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</si>
  <si>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</si>
  <si>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</si>
  <si>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</si>
  <si>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</si>
  <si>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</si>
  <si>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</si>
  <si>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</si>
  <si>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</si>
  <si>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</si>
  <si>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</si>
  <si>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</si>
  <si>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</si>
  <si>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</si>
  <si>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</si>
  <si>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</si>
  <si>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</si>
  <si>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</si>
  <si>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</si>
  <si>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</si>
  <si>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</si>
  <si>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</si>
  <si>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</si>
  <si>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</si>
  <si>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</si>
  <si>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</si>
  <si>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</si>
  <si>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</si>
  <si>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</si>
  <si>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</si>
  <si>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</si>
  <si>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</si>
  <si>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</si>
  <si>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</si>
  <si>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</si>
  <si>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</si>
  <si>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</si>
  <si>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</si>
  <si>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</si>
  <si>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</si>
  <si>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</si>
  <si>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GOVERNMENTAL FUNDS-STATE OPERATING (*)</t>
  </si>
  <si>
    <t xml:space="preserve">STATEMENT OF RECEIPTS AND DISBURSEMENTS   </t>
  </si>
  <si>
    <t xml:space="preserve">STATEMENT OF RECEIPTS AND DISBURSEMENTS BY ACCOUNT       </t>
  </si>
  <si>
    <t xml:space="preserve">SPECIAL REVENUE FUNDS - COMBINED  </t>
  </si>
  <si>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</si>
  <si>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</si>
  <si>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</si>
  <si>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</si>
  <si>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</si>
  <si>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</si>
  <si>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</si>
  <si>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</si>
  <si>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</si>
  <si>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</si>
  <si>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</si>
  <si>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</si>
  <si>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</si>
  <si>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</si>
  <si>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</si>
  <si>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</si>
  <si>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</si>
  <si>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</si>
  <si>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</si>
  <si>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</si>
  <si>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</si>
  <si>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</si>
  <si>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</si>
  <si>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</si>
  <si>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</si>
  <si>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</si>
  <si>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</si>
  <si>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</si>
  <si>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</si>
  <si>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</si>
  <si>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</si>
  <si>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</si>
  <si>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</si>
  <si>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</si>
  <si>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</si>
  <si>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</si>
  <si>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</si>
  <si>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</si>
  <si>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</si>
  <si>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</si>
  <si>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</si>
  <si>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</si>
  <si>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</si>
  <si>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</si>
  <si>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</si>
  <si>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</si>
  <si>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</si>
  <si>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</si>
  <si>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</si>
  <si>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</si>
  <si>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</si>
  <si>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</si>
  <si>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</si>
  <si>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</si>
  <si>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</si>
  <si>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</si>
  <si>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</si>
  <si>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</si>
  <si>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</si>
  <si>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</si>
  <si>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</si>
  <si>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</si>
  <si>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</si>
  <si>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</si>
  <si>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</si>
  <si>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</si>
  <si>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</si>
  <si>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</si>
  <si>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</si>
  <si>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</si>
  <si>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</si>
  <si>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</si>
  <si>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</si>
  <si>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</si>
  <si>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</si>
  <si>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</si>
  <si>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</si>
  <si>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</si>
  <si>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</si>
  <si>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</si>
  <si>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</si>
  <si>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</si>
  <si>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</si>
  <si>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</si>
  <si>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</si>
  <si>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</si>
  <si>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</si>
  <si>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</si>
  <si>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</si>
  <si>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</si>
  <si>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</si>
  <si>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</si>
  <si>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</si>
  <si>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</si>
  <si>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</si>
  <si>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</si>
  <si>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</si>
  <si>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</si>
  <si>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</si>
  <si>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</si>
  <si>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</si>
  <si>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</si>
  <si>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</si>
  <si>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</si>
  <si>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</si>
  <si>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</si>
  <si>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</si>
  <si>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</si>
  <si>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</si>
  <si>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</si>
  <si>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</si>
  <si>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</si>
  <si>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</si>
  <si>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</si>
  <si>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</si>
  <si>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</si>
  <si>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</si>
  <si>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</si>
  <si>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</si>
  <si>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</si>
  <si>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</si>
  <si>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</si>
  <si>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</si>
  <si>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</si>
  <si>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</si>
  <si>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</si>
  <si>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</si>
  <si>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</si>
  <si>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</si>
  <si>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</si>
  <si>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</si>
  <si>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</si>
  <si>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</si>
  <si>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</si>
  <si>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</si>
  <si>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</si>
  <si>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</si>
  <si>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</si>
  <si>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</si>
  <si>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</si>
  <si>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</si>
  <si>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</si>
  <si>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</si>
  <si>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</si>
  <si>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</si>
  <si>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</si>
  <si>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</si>
  <si>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</si>
  <si>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</si>
  <si>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</si>
  <si>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</si>
  <si>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</si>
  <si>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</si>
  <si>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</si>
  <si>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</si>
  <si>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</si>
  <si>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</si>
  <si>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</si>
  <si>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</si>
  <si>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</si>
  <si>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</si>
  <si>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</si>
  <si>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</si>
  <si>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</si>
  <si>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</si>
  <si>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</si>
  <si>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</si>
  <si>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</si>
  <si>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</si>
  <si>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</si>
  <si>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</si>
  <si>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</si>
  <si>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</si>
  <si>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</si>
  <si>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</si>
  <si>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</si>
  <si>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</si>
  <si>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</si>
  <si>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</si>
  <si>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</si>
  <si>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</si>
  <si>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</si>
  <si>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</si>
  <si>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</si>
  <si>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</si>
  <si>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</si>
  <si>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</si>
  <si>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</si>
  <si>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</si>
  <si>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</si>
  <si>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</si>
  <si>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</si>
  <si>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</si>
  <si>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</si>
  <si>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</si>
  <si>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</si>
  <si>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</si>
  <si>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</si>
  <si>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</si>
  <si>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</si>
  <si>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</si>
  <si>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</si>
  <si>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</si>
  <si>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</si>
  <si>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</si>
  <si>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</si>
  <si>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</si>
  <si>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</si>
  <si>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</si>
  <si>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</si>
  <si>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</si>
  <si>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</si>
  <si>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</si>
  <si>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</si>
  <si>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</si>
  <si>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</si>
  <si>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</si>
  <si>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</si>
  <si>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</si>
  <si>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</si>
  <si>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</si>
  <si>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</si>
  <si>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</si>
  <si>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</si>
  <si>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</si>
  <si>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</si>
  <si>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</si>
  <si>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</si>
  <si>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</si>
  <si>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</si>
  <si>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</si>
  <si>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</si>
  <si>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</si>
  <si>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</si>
  <si>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</si>
  <si>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</si>
  <si>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</si>
  <si>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</si>
  <si>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</si>
  <si>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</si>
  <si>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</si>
  <si>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</si>
  <si>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</si>
  <si>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</si>
  <si>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</si>
  <si>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</si>
  <si>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</si>
  <si>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</si>
  <si>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</si>
  <si>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</si>
  <si>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</si>
  <si>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</si>
  <si>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</si>
  <si>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</si>
  <si>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</si>
  <si>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</si>
  <si>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</si>
  <si>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</si>
  <si>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</si>
  <si>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</si>
  <si>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</si>
  <si>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</si>
  <si>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</si>
  <si>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</si>
  <si>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</si>
  <si>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</si>
  <si>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</si>
  <si>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</si>
  <si>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</si>
  <si>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</si>
  <si>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</si>
  <si>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</si>
  <si>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</si>
  <si>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</si>
  <si>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</si>
  <si>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</si>
  <si>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</si>
  <si>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</si>
  <si>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</si>
  <si>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</si>
  <si>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</si>
  <si>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</si>
  <si>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</si>
  <si>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</si>
  <si>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</si>
  <si>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</si>
  <si>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</si>
  <si>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</si>
  <si>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</si>
  <si>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</si>
  <si>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</si>
  <si>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</si>
  <si>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</si>
  <si>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</si>
  <si>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 xml:space="preserve">      Health Care / Hospital Initiatives </t>
  </si>
  <si>
    <t>RURAL HEALTH CARE ACCESS &amp; NETWORK DEVELOPMENT</t>
  </si>
  <si>
    <t xml:space="preserve">  70093, 70095, 70300-70301-MTA State Assistance   </t>
  </si>
  <si>
    <t xml:space="preserve">  70050-70149-Sole Custody Investment (*)  </t>
  </si>
  <si>
    <t>(*) Includes Public Asset Fund resources:</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</si>
  <si>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</si>
  <si>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</si>
  <si>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</si>
  <si>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</si>
  <si>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</si>
  <si>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</si>
  <si>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</si>
  <si>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</si>
  <si>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Mass Transportation Financial Assistance</t>
  </si>
  <si>
    <t>State Fair Receipts</t>
  </si>
  <si>
    <t>State University Income Fund</t>
  </si>
  <si>
    <t>Also included in Special Revenue funds are transfers to the General Fund from the following:</t>
  </si>
  <si>
    <t>SUNY Income Fund</t>
  </si>
  <si>
    <t>DEBT ISSUED</t>
  </si>
  <si>
    <t xml:space="preserve">                        TOTAL GOVERNMENTAL FUNDS                                              YEAR OVER YEAR</t>
  </si>
  <si>
    <t xml:space="preserve">                                                                                                                                                             TOTAL STATE OPERATING FUNDS                                                </t>
  </si>
  <si>
    <t>GOVT. SPONSORED AGENCIES</t>
  </si>
  <si>
    <t xml:space="preserve">     CSRA Inc (eMedNY) General Fund</t>
  </si>
  <si>
    <t xml:space="preserve">     Financing Agreements</t>
  </si>
  <si>
    <r>
      <t>Debt Service Funds</t>
    </r>
    <r>
      <rPr>
        <b/>
        <sz val="9"/>
        <rFont val="Arial"/>
        <family val="2"/>
      </rPr>
      <t xml:space="preserve"> </t>
    </r>
    <r>
      <rPr>
        <sz val="9"/>
        <rFont val="Arial"/>
        <family val="2"/>
      </rPr>
      <t>“Transfers To Other Funds” includes transfers to the General Fund from the following:</t>
    </r>
  </si>
  <si>
    <r>
      <t>Special Revenue Funds</t>
    </r>
    <r>
      <rPr>
        <b/>
        <sz val="9"/>
        <rFont val="Arial"/>
        <family val="2"/>
      </rPr>
      <t xml:space="preserve"> </t>
    </r>
    <r>
      <rPr>
        <sz val="9"/>
        <rFont val="Arial"/>
        <family val="2"/>
      </rPr>
      <t xml:space="preserve"> “Transfers To Other Funds” includes transfers to Mental Health Services</t>
    </r>
    <r>
      <rPr>
        <b/>
        <sz val="9"/>
        <rFont val="Arial"/>
        <family val="2"/>
      </rPr>
      <t xml:space="preserve"> </t>
    </r>
  </si>
  <si>
    <r>
      <t>General Fund</t>
    </r>
    <r>
      <rPr>
        <sz val="9"/>
        <rFont val="Arial"/>
        <family val="2"/>
      </rPr>
      <t xml:space="preserve">  “Transfers to Other Funds” are as follows:</t>
    </r>
  </si>
  <si>
    <t>FISCAL YEAR 2021-2022</t>
  </si>
  <si>
    <t xml:space="preserve">FISCAL YEAR 2021-2022   </t>
  </si>
  <si>
    <t>2021</t>
  </si>
  <si>
    <t>APRIL 1, 2021</t>
  </si>
  <si>
    <t>2021-2022</t>
  </si>
  <si>
    <t>BEHAVIORAL HEALTH PARITY COMPLIANCE FUND</t>
  </si>
  <si>
    <t>CIVIL SERVICE ADMINISTRATION ACCOUNT</t>
  </si>
  <si>
    <t>Temporary Loans are authorized pursuant to Subdivision 5 of Section 4 of the State Finance Law and Chapter 59, Part JJJ, Section 1, of the Laws of 2021-22.</t>
  </si>
  <si>
    <t>D21RVE- MARITIME</t>
  </si>
  <si>
    <t>D36RVE- CENTRAL ADMIN</t>
  </si>
  <si>
    <t>RESIDENCE HALL CAMPUS LET BOND PROCEEDS</t>
  </si>
  <si>
    <t>REHAB/REPAIR ALBANY</t>
  </si>
  <si>
    <t>D01RVE- ALBANY</t>
  </si>
  <si>
    <t>REHAB/REPAIR BINGHAMTON</t>
  </si>
  <si>
    <t>D07RVE-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</si>
  <si>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</si>
  <si>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</si>
  <si>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</si>
  <si>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</si>
  <si>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</si>
  <si>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</si>
  <si>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</si>
  <si>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</si>
  <si>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</si>
  <si>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</si>
  <si>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</si>
  <si>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</si>
  <si>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</si>
  <si>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</si>
  <si>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</si>
  <si>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</si>
  <si>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</si>
  <si>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</si>
  <si>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</si>
  <si>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</si>
  <si>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</si>
  <si>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</si>
  <si>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</si>
  <si>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</si>
  <si>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</si>
  <si>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</si>
  <si>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</si>
  <si>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</si>
  <si>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</si>
  <si>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</si>
  <si>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</si>
  <si>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</si>
  <si>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</si>
  <si>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</si>
  <si>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</si>
  <si>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</si>
  <si>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</si>
  <si>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</si>
  <si>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MARITIME</t>
  </si>
  <si>
    <t>D24RVE- COBLESKILL</t>
  </si>
  <si>
    <t>REHAB/REPAIR DELHI</t>
  </si>
  <si>
    <t>D25RVE- DELHI</t>
  </si>
  <si>
    <t>REHAB/REPAIR FARMINGDALE</t>
  </si>
  <si>
    <t>D26RVE- FARMINGDALE</t>
  </si>
  <si>
    <t>REHAB/REPAIR MORRISVILLE</t>
  </si>
  <si>
    <t>D27RVE- MORRISVILLE</t>
  </si>
  <si>
    <t>CW/CA IMPLEMENTATION DEC</t>
  </si>
  <si>
    <t>CW/CA IMPLEMENTATION STATE</t>
  </si>
  <si>
    <t>CW/CA IMPLEMENTATION ERDA</t>
  </si>
  <si>
    <t>CW/CA IMPLEMENTATION EFC</t>
  </si>
  <si>
    <t>HOUSING PROG FD-HFA</t>
  </si>
  <si>
    <t>OPWDD-STATE FACILITIES PRE 12/99</t>
  </si>
  <si>
    <t>DSAS-COMMUINTY FACILITIES</t>
  </si>
  <si>
    <t>OPWDD-COMMUNITY FACILITIES</t>
  </si>
  <si>
    <t>DASNY - OMH ADMIN</t>
  </si>
  <si>
    <t>CORR. FACILITIES CAPITAL CLOSURE</t>
  </si>
  <si>
    <t>ENVIR FAC CORP ADM ACCT</t>
  </si>
  <si>
    <t>OIL SPILL COMPENSATION</t>
  </si>
  <si>
    <t>LICENSE FEE SURCHARGES</t>
  </si>
  <si>
    <t>CENTRALIZED SERVICES-FLEET MGMT</t>
  </si>
  <si>
    <t>CENTRALIZED SERVICES-DATA PROCESSING</t>
  </si>
  <si>
    <t>CENTRALIZED SERVICES-DONATED FOODS</t>
  </si>
  <si>
    <t>CENTRALIZED SERVICES-ADMIN SUPPORT</t>
  </si>
  <si>
    <t>CENTRALIZED SERVICES-COP'S</t>
  </si>
  <si>
    <t>CENTRALIZED SERVICES-FOOD SERVICES</t>
  </si>
  <si>
    <t>CENTRALIZED SERVICES-HOMER FOLKS</t>
  </si>
  <si>
    <t>BUILDING ADMINISTRATION</t>
  </si>
  <si>
    <t>LEASE SPACE INITIATIVE</t>
  </si>
  <si>
    <t xml:space="preserve">  Personal Income Tax     </t>
  </si>
  <si>
    <t xml:space="preserve">  22022-College Savings Account</t>
  </si>
  <si>
    <t xml:space="preserve">(*) Includes amounts appropriated in SFY 2021-22, as well as prior year appropriations that were reappropriated. </t>
  </si>
  <si>
    <t>EXHIBIT A</t>
  </si>
  <si>
    <t>Nursing Home Receivership Account</t>
  </si>
  <si>
    <t>3.</t>
  </si>
  <si>
    <t>to the Private Purpose Trust Funds.  As a result of this change, the beginning balance of the Special Revenue</t>
  </si>
  <si>
    <t xml:space="preserve">Pursuant to FY 2022 Enacted Budget Legislation (Chapter 50), IFR/CUTRA (City University Tuition </t>
  </si>
  <si>
    <t xml:space="preserve">Reimbursement Account) Fund and CUNY Senior College Operating Fund have both been reclassified from </t>
  </si>
  <si>
    <t xml:space="preserve">Special Revenue State Funds and Agency Funds, respectively, to Enterprise Funds.  As a result of this change, </t>
  </si>
  <si>
    <t>(3)</t>
  </si>
  <si>
    <t>the beginning cash balances in the Special Revenue State Funds and the Agency Funds have been reduced by</t>
  </si>
  <si>
    <t>State Funds has been reduced by an additional $25.7m and Private Purpose Trust Funds increased by $25.7m.</t>
  </si>
  <si>
    <t>$171.8m and $10.6m, respectively, and the Enterprise Funds have been increased by $182.4m.</t>
  </si>
  <si>
    <t xml:space="preserve">Additionally, the College Savings Account within the Miscellaneous State Special Revenue Funds was reclassified </t>
  </si>
  <si>
    <t xml:space="preserve"> 23250-23449-CUNY Senior College Program</t>
  </si>
  <si>
    <t>(*)    Source: 2021-22 Enacted Financial Plan dated May 25, 2021.</t>
  </si>
  <si>
    <t>Recruitment Incentive</t>
  </si>
  <si>
    <t>Spinal Cord Injury Account</t>
  </si>
  <si>
    <t xml:space="preserve">  25950, 25952-25999-Unemployment Insurance Occupational Training </t>
  </si>
  <si>
    <t xml:space="preserve">  25300-25899, 25951-Federal Miscellaneous Operating Grants</t>
  </si>
  <si>
    <t>June 30, 2021</t>
  </si>
  <si>
    <t>Dedicated Highway &amp; Bridge Trust Fund</t>
  </si>
  <si>
    <t xml:space="preserve">Environmental Protection Fund </t>
  </si>
  <si>
    <t>Charter School Stimulus</t>
  </si>
  <si>
    <t>Dedicated Mass Transportation (Non MTA)</t>
  </si>
  <si>
    <t>Business Services Center</t>
  </si>
  <si>
    <t>Dedicated Infrastructure Investment Fund</t>
  </si>
  <si>
    <t>Fingerprint Identification Technology Account</t>
  </si>
  <si>
    <t xml:space="preserve">Administration Adjudication Account </t>
  </si>
  <si>
    <t>HESC Insurance Premium Account</t>
  </si>
  <si>
    <t>Workers' Compensation Board</t>
  </si>
  <si>
    <t>Statewide Public Safety Communications</t>
  </si>
  <si>
    <t>System and Technology Account</t>
  </si>
  <si>
    <t>Professional Medical Conduct Account</t>
  </si>
  <si>
    <t>Public Service Account</t>
  </si>
  <si>
    <t xml:space="preserve">Encon Special Revenue </t>
  </si>
  <si>
    <t>Clean Air</t>
  </si>
  <si>
    <t>Federal Health and Human Services Fund</t>
  </si>
  <si>
    <t xml:space="preserve">Unemployment Insurance Administration </t>
  </si>
  <si>
    <t>Miscellaneous State Special Revenue Fund</t>
  </si>
  <si>
    <t>Centralized Tech Services</t>
  </si>
  <si>
    <t>Dedicated Mass Transportation - Railroad Account</t>
  </si>
  <si>
    <t>Federal USDA/Food and Nutrition</t>
  </si>
  <si>
    <t>Dedicated Mass Transportation - Transit Authority Account</t>
  </si>
  <si>
    <t>(*)      Debt Service does not include interest paid on Revenue Anticipation Notes (General Purpose), Series 2020A and 2020B that were reimbursed from the Coronavirus Relief Fund within the Special Revenue</t>
  </si>
  <si>
    <t xml:space="preserve">          Federal Funds.</t>
  </si>
  <si>
    <r>
      <t xml:space="preserve">TAX </t>
    </r>
    <r>
      <rPr>
        <b/>
        <vertAlign val="superscript"/>
        <sz val="12.5"/>
        <rFont val="Arial"/>
        <family val="2"/>
      </rPr>
      <t>(*)</t>
    </r>
  </si>
  <si>
    <t>July 31, 2021</t>
  </si>
  <si>
    <t xml:space="preserve">  24800-24849-NYS Cannabis Revenue</t>
  </si>
  <si>
    <t>1st Quarter</t>
  </si>
  <si>
    <t>APRIL - JUNE</t>
  </si>
  <si>
    <t>Health Care Reform Act Resources Fund</t>
  </si>
  <si>
    <r>
      <t xml:space="preserve">SERVICES </t>
    </r>
    <r>
      <rPr>
        <b/>
        <vertAlign val="superscript"/>
        <sz val="12.5"/>
        <rFont val="Arial"/>
        <family val="2"/>
      </rPr>
      <t>(*)</t>
    </r>
  </si>
  <si>
    <t>August 31, 2021</t>
  </si>
  <si>
    <t>Building Administration Account</t>
  </si>
  <si>
    <t>Health Insurance Revolving Fund</t>
  </si>
  <si>
    <t xml:space="preserve">  Plan (**)</t>
  </si>
  <si>
    <t xml:space="preserve">(***)  Includes transfers to the Department of Health Income Fund and the State University Income Fund representing payments </t>
  </si>
  <si>
    <r>
      <t xml:space="preserve">(***)  </t>
    </r>
    <r>
      <rPr>
        <u/>
        <sz val="12"/>
        <rFont val="Arial"/>
        <family val="2"/>
      </rPr>
      <t>State Operating Funds</t>
    </r>
    <r>
      <rPr>
        <sz val="12"/>
        <rFont val="Arial"/>
        <family val="2"/>
      </rPr>
      <t xml:space="preserve"> are comprised of the General Fund, State Special Revenue Funds supported</t>
    </r>
  </si>
  <si>
    <t xml:space="preserve">                                     STATE OPERATING FUNDS (***)</t>
  </si>
  <si>
    <t>(****) Eliminations between Special Revenue - State and Federal Funds are not included.</t>
  </si>
  <si>
    <t>(****)</t>
  </si>
  <si>
    <t xml:space="preserve">  Transfers from Other Funds (***)</t>
  </si>
  <si>
    <t xml:space="preserve">  Transfers to Other Funds (***)</t>
  </si>
  <si>
    <t xml:space="preserve">(***)  Actual reported transfer amounts include eliminations between Special Revenue - State and Federal Funds. </t>
  </si>
  <si>
    <t>(**)   Source: 2021-22 First Quarter Update dated September 15, 2021.</t>
  </si>
  <si>
    <t>September 30, 2021</t>
  </si>
  <si>
    <t>SEP. 2021</t>
  </si>
  <si>
    <t>6 MOS. ENDED</t>
  </si>
  <si>
    <t>SEP. 30, 2021</t>
  </si>
  <si>
    <t>SEP. 2020</t>
  </si>
  <si>
    <t>SEP. 30, 2020</t>
  </si>
  <si>
    <t>SEPTEMBER 2021</t>
  </si>
  <si>
    <t xml:space="preserve">FOR SIX MONTHS ENDED SEPTEMBER 30, 2021    </t>
  </si>
  <si>
    <t>Fund Balances (Deficits) at September 30, 2021</t>
  </si>
  <si>
    <t>6 Months Ended September 30</t>
  </si>
  <si>
    <t>FOR THE MONTH OF SEPTEMBER 2021</t>
  </si>
  <si>
    <t>SEPTEMBER 1, 2021</t>
  </si>
  <si>
    <t>SEPTEMBER 30, 2021</t>
  </si>
  <si>
    <t>6 MONTHS ENDED</t>
  </si>
  <si>
    <t xml:space="preserve">FOR THE SIX MONTHS ENDED SEPTEMBER 30, 2021     </t>
  </si>
  <si>
    <t>6 MONTHS ENDED SEPTEMBER 30</t>
  </si>
  <si>
    <t>SEPTEMBER 2020</t>
  </si>
  <si>
    <t>6 Months Ended</t>
  </si>
  <si>
    <t>September</t>
  </si>
  <si>
    <t>6 Months Ended September 30, 2021 (**)</t>
  </si>
  <si>
    <t xml:space="preserve">As of September 30, 2021, $9,548,969.66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</si>
  <si>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the current fiscal quarter.  As of September 30, 2021 - pursuant to a certification of the Budget Director - </t>
  </si>
  <si>
    <t>payment obligations were met out of these reserves and future payment amounts were scheduled</t>
  </si>
  <si>
    <t>for transfer at the commencement of the succeeding month.</t>
  </si>
  <si>
    <t xml:space="preserve">operated health, mental hygiene and State University facilities to Debt Service funds ($3.4m), and  </t>
  </si>
  <si>
    <t xml:space="preserve">the State University Income Fund ($202.9m). </t>
  </si>
  <si>
    <t xml:space="preserve">Fund and Department of Health Income Fund ($544.4m) representing the federal share of Medicaid </t>
  </si>
  <si>
    <t xml:space="preserve">payments for patients residing in State-operated Health and Mental Hygiene facilities, SUNY Captial </t>
  </si>
  <si>
    <t>Projects Fund ($1.7m) and All Other Capital Projects ($27.6m).</t>
  </si>
  <si>
    <t>Unemployment Insurance, Interest &amp; Penalty</t>
  </si>
  <si>
    <t xml:space="preserve">of Health ($61.8m). </t>
  </si>
  <si>
    <r>
      <t>Capital Projects Funds</t>
    </r>
    <r>
      <rPr>
        <b/>
        <sz val="9"/>
        <rFont val="Arial"/>
        <family val="2"/>
      </rPr>
      <t xml:space="preserve"> </t>
    </r>
    <r>
      <rPr>
        <sz val="9"/>
        <rFont val="Arial"/>
        <family val="2"/>
      </rPr>
      <t xml:space="preserve">“Transfers To Other Funds” includes transfers to the General Fund ($228.6m) and </t>
    </r>
  </si>
  <si>
    <t xml:space="preserve"> the General Debt Service Fund - Lease Purchase ($40.7m).</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</si>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</sst>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 numFmtId="201" formatCode="0.000000"/>
    <numFmt numFmtId="202" formatCode="_(* #,##0.000_);_(* \(#,##0.000\);_(* &quot;-&quot;?_);_(@_)"/>
    <numFmt numFmtId="203" formatCode="_(* #,##0.00000000000000000000000000000000000000000000000000000_);_(* \(#,##0.00000000000000000000000000000000000000000000000000000\);_(* &quot;-&quot;?_);_(@_)"/>
    <numFmt numFmtId="204" formatCode="_(* #,##0.0000000000000000000000000000000000000000000000000000_);_(* \(#,##0.0000000000000000000000000000000000000000000000000000\);_(* &quot;-&quot;?_);_(@_)"/>
  </numFmts>
  <fonts count="206">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4"/>
      <color theme="1"/>
      <name val="Arial"/>
      <family val="2"/>
    </font>
    <font>
      <b/>
      <vertAlign val="superscript"/>
      <sz val="12.5"/>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6" fillId="46" borderId="0" applyNumberFormat="0" applyBorder="0" applyAlignment="0" applyProtection="0"/>
    <xf numFmtId="0" fontId="116" fillId="46" borderId="0" applyNumberFormat="0" applyBorder="0" applyAlignment="0" applyProtection="0"/>
    <xf numFmtId="0" fontId="30" fillId="6" borderId="4" applyNumberFormat="0" applyAlignment="0" applyProtection="0"/>
    <xf numFmtId="0" fontId="117" fillId="47" borderId="58" applyNumberFormat="0" applyAlignment="0" applyProtection="0"/>
    <xf numFmtId="0" fontId="117"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25" fillId="2" borderId="0" applyNumberFormat="0" applyBorder="0" applyAlignment="0" applyProtection="0"/>
    <xf numFmtId="0" fontId="119" fillId="49" borderId="0" applyNumberFormat="0" applyBorder="0" applyAlignment="0" applyProtection="0"/>
    <xf numFmtId="0" fontId="119" fillId="49" borderId="0" applyNumberFormat="0" applyBorder="0" applyAlignment="0" applyProtection="0"/>
    <xf numFmtId="0" fontId="22" fillId="0" borderId="1" applyNumberFormat="0" applyFill="0" applyAlignment="0" applyProtection="0"/>
    <xf numFmtId="0" fontId="120" fillId="0" borderId="60" applyNumberFormat="0" applyFill="0" applyAlignment="0" applyProtection="0"/>
    <xf numFmtId="0" fontId="120" fillId="0" borderId="60" applyNumberFormat="0" applyFill="0" applyAlignment="0" applyProtection="0"/>
    <xf numFmtId="0" fontId="23" fillId="0" borderId="2"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4" fillId="0" borderId="3"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4"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28" fillId="5" borderId="4" applyNumberFormat="0" applyAlignment="0" applyProtection="0"/>
    <xf numFmtId="0" fontId="123" fillId="50" borderId="58" applyNumberFormat="0" applyAlignment="0" applyProtection="0"/>
    <xf numFmtId="0" fontId="123" fillId="50" borderId="58" applyNumberFormat="0" applyAlignment="0" applyProtection="0"/>
    <xf numFmtId="0" fontId="31" fillId="0" borderId="6" applyNumberFormat="0" applyFill="0" applyAlignment="0" applyProtection="0"/>
    <xf numFmtId="0" fontId="124" fillId="0" borderId="63" applyNumberFormat="0" applyFill="0" applyAlignment="0" applyProtection="0"/>
    <xf numFmtId="0" fontId="124" fillId="0" borderId="63" applyNumberFormat="0" applyFill="0" applyAlignment="0" applyProtection="0"/>
    <xf numFmtId="0" fontId="27" fillId="4" borderId="0" applyNumberFormat="0" applyBorder="0" applyAlignment="0" applyProtection="0"/>
    <xf numFmtId="0" fontId="125" fillId="51" borderId="0" applyNumberFormat="0" applyBorder="0" applyAlignment="0" applyProtection="0"/>
    <xf numFmtId="0" fontId="125" fillId="51" borderId="0" applyNumberFormat="0" applyBorder="0" applyAlignment="0" applyProtection="0"/>
    <xf numFmtId="0" fontId="20" fillId="0" borderId="0"/>
    <xf numFmtId="0" fontId="29" fillId="6" borderId="5" applyNumberFormat="0" applyAlignment="0" applyProtection="0"/>
    <xf numFmtId="0" fontId="126" fillId="47" borderId="64" applyNumberFormat="0" applyAlignment="0" applyProtection="0"/>
    <xf numFmtId="0" fontId="126" fillId="47" borderId="64" applyNumberFormat="0" applyAlignment="0" applyProtection="0"/>
    <xf numFmtId="0" fontId="21"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6" fillId="0" borderId="0" applyNumberFormat="0" applyFill="0" applyBorder="0" applyAlignment="0" applyProtection="0">
      <alignment vertical="top"/>
      <protection locked="0"/>
    </xf>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8"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0" fillId="0" borderId="0"/>
    <xf numFmtId="0" fontId="17" fillId="0" borderId="0"/>
    <xf numFmtId="0" fontId="17" fillId="0" borderId="0"/>
    <xf numFmtId="0" fontId="17" fillId="0" borderId="0"/>
    <xf numFmtId="0" fontId="97" fillId="0" borderId="0"/>
    <xf numFmtId="0" fontId="149"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49" fillId="0" borderId="0"/>
    <xf numFmtId="0" fontId="149" fillId="0" borderId="0"/>
    <xf numFmtId="0" fontId="17" fillId="0" borderId="0"/>
    <xf numFmtId="0" fontId="37" fillId="0" borderId="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8"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1"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3"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3" fillId="0" borderId="0"/>
    <xf numFmtId="0" fontId="105" fillId="33" borderId="83"/>
    <xf numFmtId="0" fontId="173" fillId="0" borderId="0"/>
    <xf numFmtId="0" fontId="13" fillId="0" borderId="0"/>
    <xf numFmtId="0" fontId="173" fillId="0" borderId="0"/>
    <xf numFmtId="0" fontId="173" fillId="0" borderId="0"/>
    <xf numFmtId="0" fontId="12" fillId="0" borderId="0"/>
    <xf numFmtId="0" fontId="174" fillId="0" borderId="0"/>
    <xf numFmtId="43" fontId="175" fillId="0" borderId="0" applyFont="0" applyFill="0" applyBorder="0" applyAlignment="0" applyProtection="0"/>
    <xf numFmtId="0" fontId="174" fillId="0" borderId="0"/>
    <xf numFmtId="43" fontId="174" fillId="0" borderId="0" applyFont="0" applyFill="0" applyBorder="0" applyAlignment="0" applyProtection="0"/>
    <xf numFmtId="0" fontId="174" fillId="0" borderId="0"/>
    <xf numFmtId="0" fontId="12" fillId="0" borderId="0"/>
    <xf numFmtId="0" fontId="174" fillId="0" borderId="0"/>
    <xf numFmtId="43" fontId="174" fillId="0" borderId="0" applyFont="0" applyFill="0" applyBorder="0" applyAlignment="0" applyProtection="0"/>
    <xf numFmtId="0" fontId="176" fillId="0" borderId="0"/>
    <xf numFmtId="0" fontId="174" fillId="0" borderId="0"/>
    <xf numFmtId="0" fontId="174" fillId="0" borderId="0"/>
    <xf numFmtId="0" fontId="174" fillId="0" borderId="0"/>
    <xf numFmtId="0" fontId="12" fillId="0" borderId="0"/>
    <xf numFmtId="0" fontId="174" fillId="0" borderId="0"/>
    <xf numFmtId="0" fontId="176" fillId="0" borderId="0"/>
    <xf numFmtId="0" fontId="173" fillId="0" borderId="0"/>
    <xf numFmtId="0" fontId="173" fillId="0" borderId="0"/>
    <xf numFmtId="0" fontId="11" fillId="0" borderId="0"/>
    <xf numFmtId="0" fontId="173" fillId="0" borderId="0"/>
    <xf numFmtId="0" fontId="173" fillId="0" borderId="0"/>
    <xf numFmtId="0" fontId="11" fillId="0" borderId="0"/>
    <xf numFmtId="0" fontId="11" fillId="0" borderId="0"/>
    <xf numFmtId="0" fontId="42" fillId="0" borderId="0"/>
    <xf numFmtId="0" fontId="10" fillId="0" borderId="0"/>
    <xf numFmtId="0" fontId="174" fillId="0" borderId="0"/>
    <xf numFmtId="0" fontId="174" fillId="0" borderId="0"/>
    <xf numFmtId="0" fontId="174" fillId="0" borderId="0"/>
    <xf numFmtId="0" fontId="177" fillId="0" borderId="0"/>
    <xf numFmtId="0" fontId="177" fillId="0" borderId="0"/>
    <xf numFmtId="0" fontId="9" fillId="0" borderId="0"/>
    <xf numFmtId="0" fontId="9" fillId="0" borderId="0"/>
    <xf numFmtId="43" fontId="42" fillId="0" borderId="0" applyFont="0" applyFill="0" applyBorder="0" applyAlignment="0" applyProtection="0"/>
    <xf numFmtId="0" fontId="9" fillId="0" borderId="0"/>
    <xf numFmtId="0" fontId="177" fillId="0" borderId="0"/>
    <xf numFmtId="0" fontId="177" fillId="0" borderId="0"/>
    <xf numFmtId="0" fontId="8" fillId="0" borderId="0"/>
    <xf numFmtId="0" fontId="8" fillId="0" borderId="0"/>
    <xf numFmtId="0" fontId="8" fillId="0" borderId="0"/>
    <xf numFmtId="0" fontId="177" fillId="0" borderId="0"/>
    <xf numFmtId="0" fontId="174" fillId="0" borderId="0"/>
    <xf numFmtId="0" fontId="7" fillId="0" borderId="0"/>
    <xf numFmtId="0" fontId="174" fillId="0" borderId="0"/>
    <xf numFmtId="0" fontId="174" fillId="0" borderId="0"/>
    <xf numFmtId="0" fontId="174" fillId="0" borderId="0"/>
    <xf numFmtId="0" fontId="7" fillId="0" borderId="0"/>
    <xf numFmtId="0" fontId="174" fillId="0" borderId="0"/>
    <xf numFmtId="0" fontId="174" fillId="0" borderId="0"/>
    <xf numFmtId="164" fontId="178"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7" fillId="47" borderId="88" applyNumberFormat="0" applyAlignment="0" applyProtection="0"/>
    <xf numFmtId="0" fontId="117" fillId="47" borderId="88" applyNumberFormat="0" applyAlignment="0" applyProtection="0"/>
    <xf numFmtId="0" fontId="123" fillId="50" borderId="88" applyNumberFormat="0" applyAlignment="0" applyProtection="0"/>
    <xf numFmtId="0" fontId="123" fillId="50" borderId="88" applyNumberFormat="0" applyAlignment="0" applyProtection="0"/>
    <xf numFmtId="0" fontId="7" fillId="0" borderId="0"/>
    <xf numFmtId="0" fontId="174" fillId="0" borderId="0"/>
    <xf numFmtId="0" fontId="126" fillId="47" borderId="89" applyNumberFormat="0" applyAlignment="0" applyProtection="0"/>
    <xf numFmtId="0" fontId="126"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8"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4"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4" fillId="0" borderId="0"/>
    <xf numFmtId="0" fontId="42" fillId="0" borderId="0"/>
    <xf numFmtId="0" fontId="7" fillId="0" borderId="0"/>
    <xf numFmtId="0" fontId="42" fillId="0" borderId="0"/>
    <xf numFmtId="0" fontId="42" fillId="0" borderId="0"/>
    <xf numFmtId="0" fontId="7" fillId="0" borderId="0"/>
    <xf numFmtId="0" fontId="7" fillId="0" borderId="0"/>
    <xf numFmtId="0" fontId="174" fillId="0" borderId="0"/>
    <xf numFmtId="0" fontId="7" fillId="0" borderId="0"/>
    <xf numFmtId="0" fontId="174"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79" fillId="0" borderId="0"/>
    <xf numFmtId="0" fontId="179"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0" fillId="0" borderId="0"/>
    <xf numFmtId="0" fontId="180" fillId="0" borderId="0"/>
    <xf numFmtId="0" fontId="5" fillId="0" borderId="0"/>
    <xf numFmtId="0" fontId="5" fillId="0" borderId="0"/>
    <xf numFmtId="0" fontId="180" fillId="0" borderId="0"/>
    <xf numFmtId="0" fontId="180" fillId="0" borderId="0"/>
    <xf numFmtId="0" fontId="180" fillId="0" borderId="0"/>
    <xf numFmtId="0" fontId="180" fillId="0" borderId="0"/>
    <xf numFmtId="0" fontId="180" fillId="0" borderId="0"/>
    <xf numFmtId="0" fontId="5" fillId="0" borderId="0"/>
    <xf numFmtId="0" fontId="182"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4"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8" fillId="0" borderId="0" applyFont="0" applyFill="0" applyBorder="0" applyAlignment="0" applyProtection="0"/>
    <xf numFmtId="0" fontId="190" fillId="0" borderId="0"/>
    <xf numFmtId="0" fontId="43" fillId="0" borderId="97" applyNumberFormat="0" applyFont="0" applyBorder="0">
      <alignment horizontal="right"/>
    </xf>
    <xf numFmtId="0" fontId="194" fillId="0" borderId="0" applyFill="0"/>
    <xf numFmtId="0" fontId="42" fillId="0" borderId="0" applyNumberFormat="0" applyFont="0" applyBorder="0" applyAlignment="0"/>
    <xf numFmtId="0" fontId="195" fillId="0" borderId="0" applyFill="0">
      <alignment horizontal="left" indent="1"/>
    </xf>
    <xf numFmtId="44" fontId="190" fillId="0" borderId="0" applyFont="0" applyFill="0" applyBorder="0" applyAlignment="0" applyProtection="0"/>
    <xf numFmtId="43" fontId="190"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4004">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applyNumberFormat="1" applyFont="1" applyBorder="1" applyAlignment="1" applyProtection="1">
      <alignment horizontal="center"/>
    </xf>
    <xf numFmtId="170" fontId="44" fillId="0" borderId="10" xfId="0" applyNumberFormat="1" applyFont="1" applyBorder="1" applyAlignment="1" applyProtection="1"/>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1" fillId="0" borderId="0" xfId="2" applyNumberFormat="1" applyFont="1"/>
    <xf numFmtId="37" fontId="131" fillId="0" borderId="0" xfId="2" applyNumberFormat="1" applyFont="1" applyFill="1"/>
    <xf numFmtId="37" fontId="132" fillId="0" borderId="0" xfId="2" applyNumberFormat="1" applyFont="1" applyFill="1" applyAlignment="1"/>
    <xf numFmtId="37" fontId="132" fillId="0" borderId="0" xfId="2" applyNumberFormat="1" applyFont="1" applyAlignment="1"/>
    <xf numFmtId="0" fontId="130" fillId="0" borderId="0" xfId="2" applyFont="1" applyFill="1" applyBorder="1" applyAlignment="1">
      <alignment horizontal="center"/>
    </xf>
    <xf numFmtId="37" fontId="130" fillId="0" borderId="0" xfId="2" applyNumberFormat="1" applyFont="1" applyFill="1" applyAlignment="1"/>
    <xf numFmtId="37" fontId="129" fillId="0" borderId="0" xfId="2" applyNumberFormat="1" applyFont="1" applyBorder="1"/>
    <xf numFmtId="37" fontId="129" fillId="0" borderId="0" xfId="2" applyNumberFormat="1" applyFont="1" applyFill="1" applyBorder="1"/>
    <xf numFmtId="37" fontId="130"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66" fontId="59" fillId="0" borderId="0" xfId="2" quotePrefix="1" applyNumberFormat="1" applyFont="1" applyAlignment="1">
      <alignment horizontal="left"/>
    </xf>
    <xf numFmtId="170" fontId="58" fillId="0" borderId="16" xfId="2" applyNumberFormat="1" applyFont="1" applyBorder="1" applyAlignment="1"/>
    <xf numFmtId="170" fontId="136" fillId="0" borderId="0" xfId="2" applyNumberFormat="1" applyFont="1" applyBorder="1" applyAlignment="1"/>
    <xf numFmtId="170" fontId="136"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7"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39"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7" fillId="0" borderId="0" xfId="8" applyFont="1" applyAlignment="1">
      <alignment horizontal="center"/>
    </xf>
    <xf numFmtId="0" fontId="4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0"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0"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1"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0"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5"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17" quotePrefix="1" applyNumberFormat="1" applyFont="1" applyAlignment="1">
      <alignment horizontal="left"/>
    </xf>
    <xf numFmtId="164" fontId="61" fillId="0" borderId="0" xfId="0" applyFont="1"/>
    <xf numFmtId="164" fontId="44" fillId="0" borderId="0" xfId="0" applyFont="1"/>
    <xf numFmtId="0" fontId="138"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29"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2"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6" fillId="0" borderId="0" xfId="2" applyNumberFormat="1" applyFont="1" applyAlignment="1"/>
    <xf numFmtId="165" fontId="157" fillId="0" borderId="0" xfId="2" applyNumberFormat="1" applyFont="1" applyAlignment="1"/>
    <xf numFmtId="165" fontId="158" fillId="0" borderId="0" xfId="2" applyNumberFormat="1" applyFont="1" applyAlignment="1">
      <alignment horizontal="centerContinuous"/>
    </xf>
    <xf numFmtId="165" fontId="160" fillId="0" borderId="0" xfId="2" applyNumberFormat="1" applyFont="1" applyAlignment="1"/>
    <xf numFmtId="165" fontId="160"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59"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1"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2"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4"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6" fillId="0" borderId="0" xfId="0" applyNumberFormat="1" applyFont="1"/>
    <xf numFmtId="41" fontId="166" fillId="0" borderId="0" xfId="0" applyNumberFormat="1" applyFont="1" applyFill="1"/>
    <xf numFmtId="0" fontId="166" fillId="0" borderId="0" xfId="0" applyNumberFormat="1" applyFont="1" applyFill="1"/>
    <xf numFmtId="0" fontId="166" fillId="0" borderId="0" xfId="0" applyNumberFormat="1" applyFont="1" applyBorder="1" applyAlignment="1"/>
    <xf numFmtId="0" fontId="166" fillId="0" borderId="0" xfId="0" applyNumberFormat="1" applyFont="1" applyFill="1" applyAlignment="1"/>
    <xf numFmtId="0" fontId="166" fillId="0" borderId="0" xfId="0" applyNumberFormat="1" applyFont="1" applyBorder="1"/>
    <xf numFmtId="0" fontId="166"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2" fillId="0" borderId="0" xfId="2" applyNumberFormat="1" applyFont="1" applyFill="1" applyBorder="1" applyAlignment="1"/>
    <xf numFmtId="37" fontId="130"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3"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0"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0"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0"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59"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7" fillId="0" borderId="0" xfId="2" applyNumberFormat="1" applyFont="1" applyBorder="1" applyAlignment="1"/>
    <xf numFmtId="166" fontId="168" fillId="0" borderId="15" xfId="2" applyNumberFormat="1" applyFont="1" applyBorder="1" applyAlignment="1" applyProtection="1">
      <protection locked="0"/>
    </xf>
    <xf numFmtId="0" fontId="168" fillId="0" borderId="15" xfId="2" applyNumberFormat="1" applyFont="1" applyBorder="1" applyAlignment="1"/>
    <xf numFmtId="166" fontId="168" fillId="0" borderId="15" xfId="2" applyNumberFormat="1" applyFont="1" applyBorder="1" applyAlignment="1" applyProtection="1">
      <alignment horizontal="center"/>
      <protection locked="0"/>
    </xf>
    <xf numFmtId="166" fontId="168" fillId="0" borderId="15" xfId="2" quotePrefix="1" applyNumberFormat="1" applyFont="1" applyBorder="1" applyAlignment="1" applyProtection="1">
      <alignment horizontal="right"/>
      <protection locked="0"/>
    </xf>
    <xf numFmtId="166" fontId="168" fillId="0" borderId="15" xfId="2" applyNumberFormat="1" applyFont="1" applyBorder="1" applyAlignment="1"/>
    <xf numFmtId="166" fontId="167" fillId="0" borderId="15" xfId="2" applyNumberFormat="1" applyFont="1" applyBorder="1" applyAlignment="1"/>
    <xf numFmtId="169" fontId="168" fillId="0" borderId="15" xfId="2" applyNumberFormat="1" applyFont="1" applyBorder="1" applyAlignment="1"/>
    <xf numFmtId="0" fontId="168" fillId="0" borderId="0" xfId="2" applyNumberFormat="1" applyFont="1" applyAlignment="1"/>
    <xf numFmtId="0" fontId="168" fillId="0" borderId="0" xfId="2" applyNumberFormat="1" applyFont="1" applyBorder="1" applyAlignment="1"/>
    <xf numFmtId="165" fontId="168" fillId="0" borderId="0" xfId="2" applyNumberFormat="1" applyFont="1" applyAlignment="1"/>
    <xf numFmtId="166" fontId="168" fillId="0" borderId="0" xfId="2" applyNumberFormat="1" applyFont="1" applyAlignment="1"/>
    <xf numFmtId="165" fontId="167" fillId="0" borderId="0" xfId="2" applyNumberFormat="1" applyFont="1" applyAlignment="1">
      <alignment horizontal="center"/>
    </xf>
    <xf numFmtId="165" fontId="167" fillId="0" borderId="0" xfId="2" quotePrefix="1" applyNumberFormat="1" applyFont="1" applyAlignment="1">
      <alignment horizontal="center"/>
    </xf>
    <xf numFmtId="165" fontId="167" fillId="0" borderId="10" xfId="2" applyNumberFormat="1" applyFont="1" applyBorder="1" applyAlignment="1">
      <alignment horizontal="center"/>
    </xf>
    <xf numFmtId="165" fontId="167" fillId="0" borderId="0" xfId="2" applyNumberFormat="1" applyFont="1" applyBorder="1" applyAlignment="1">
      <alignment horizontal="center"/>
    </xf>
    <xf numFmtId="174" fontId="167" fillId="0" borderId="0" xfId="2" applyNumberFormat="1" applyFont="1" applyBorder="1" applyAlignment="1"/>
    <xf numFmtId="0" fontId="168" fillId="0" borderId="0" xfId="2" applyFont="1" applyBorder="1" applyAlignment="1"/>
    <xf numFmtId="166" fontId="168" fillId="0" borderId="0" xfId="2" applyNumberFormat="1" applyFont="1" applyBorder="1"/>
    <xf numFmtId="170" fontId="168" fillId="0" borderId="0" xfId="2" applyNumberFormat="1" applyFont="1" applyBorder="1" applyAlignment="1"/>
    <xf numFmtId="166" fontId="167" fillId="0" borderId="0" xfId="2" applyNumberFormat="1" applyFont="1" applyBorder="1" applyAlignment="1"/>
    <xf numFmtId="164" fontId="167" fillId="0" borderId="66" xfId="1940" applyNumberFormat="1" applyFont="1" applyBorder="1" applyAlignment="1"/>
    <xf numFmtId="164" fontId="168" fillId="0" borderId="0" xfId="1940" applyNumberFormat="1" applyFont="1" applyBorder="1" applyAlignment="1"/>
    <xf numFmtId="0" fontId="168" fillId="0" borderId="0" xfId="2" applyNumberFormat="1" applyFont="1" applyBorder="1" applyAlignment="1">
      <alignment horizontal="center"/>
    </xf>
    <xf numFmtId="164" fontId="168" fillId="0" borderId="0" xfId="1940" applyNumberFormat="1" applyFont="1" applyAlignment="1"/>
    <xf numFmtId="166" fontId="168" fillId="0" borderId="0" xfId="2" applyNumberFormat="1" applyFont="1" applyBorder="1" applyAlignment="1"/>
    <xf numFmtId="169" fontId="168" fillId="0" borderId="0" xfId="2" applyNumberFormat="1" applyFont="1" applyBorder="1" applyAlignment="1"/>
    <xf numFmtId="0" fontId="167" fillId="0" borderId="0" xfId="2" applyNumberFormat="1" applyFont="1" applyBorder="1" applyAlignment="1">
      <alignment horizontal="center"/>
    </xf>
    <xf numFmtId="164" fontId="167" fillId="0" borderId="17" xfId="1940" applyNumberFormat="1" applyFont="1" applyBorder="1" applyAlignment="1"/>
    <xf numFmtId="0" fontId="168" fillId="0" borderId="15" xfId="2" applyFont="1" applyBorder="1" applyAlignment="1" applyProtection="1">
      <protection locked="0"/>
    </xf>
    <xf numFmtId="0" fontId="167" fillId="0" borderId="0" xfId="2" applyNumberFormat="1" applyFont="1" applyAlignment="1">
      <alignment horizontal="right"/>
    </xf>
    <xf numFmtId="0" fontId="167" fillId="0" borderId="0" xfId="2" quotePrefix="1" applyNumberFormat="1" applyFont="1" applyBorder="1" applyAlignment="1">
      <alignment horizontal="left"/>
    </xf>
    <xf numFmtId="0" fontId="168" fillId="0" borderId="0" xfId="2" applyFont="1" applyAlignment="1"/>
    <xf numFmtId="170" fontId="168" fillId="0" borderId="0" xfId="2" quotePrefix="1" applyNumberFormat="1" applyFont="1" applyBorder="1" applyAlignment="1">
      <alignment horizontal="right"/>
    </xf>
    <xf numFmtId="170" fontId="167" fillId="0" borderId="0" xfId="2" quotePrefix="1" applyNumberFormat="1" applyFont="1" applyAlignment="1">
      <alignment horizontal="right"/>
    </xf>
    <xf numFmtId="170" fontId="168" fillId="0" borderId="0" xfId="2" applyNumberFormat="1" applyFont="1" applyAlignment="1"/>
    <xf numFmtId="170" fontId="168" fillId="0" borderId="0" xfId="2" quotePrefix="1" applyNumberFormat="1" applyFont="1" applyAlignment="1">
      <alignment horizontal="center"/>
    </xf>
    <xf numFmtId="170" fontId="167" fillId="0" borderId="0" xfId="2" quotePrefix="1" applyNumberFormat="1" applyFont="1" applyAlignment="1">
      <alignment horizontal="center"/>
    </xf>
    <xf numFmtId="170" fontId="167" fillId="0" borderId="0" xfId="2" quotePrefix="1" applyNumberFormat="1" applyFont="1" applyBorder="1" applyAlignment="1">
      <alignment horizontal="right"/>
    </xf>
    <xf numFmtId="170" fontId="167" fillId="0" borderId="0" xfId="2" quotePrefix="1" applyNumberFormat="1" applyFont="1" applyBorder="1" applyAlignment="1">
      <alignment horizontal="center"/>
    </xf>
    <xf numFmtId="170" fontId="167" fillId="0" borderId="0" xfId="2" applyNumberFormat="1" applyFont="1" applyAlignment="1">
      <alignment horizontal="right"/>
    </xf>
    <xf numFmtId="170" fontId="167" fillId="0" borderId="70" xfId="2" applyNumberFormat="1" applyFont="1" applyBorder="1" applyAlignment="1"/>
    <xf numFmtId="166" fontId="167" fillId="0" borderId="0" xfId="2" applyNumberFormat="1" applyFont="1" applyBorder="1" applyAlignment="1">
      <alignment horizontal="right"/>
    </xf>
    <xf numFmtId="164" fontId="167" fillId="0" borderId="70" xfId="1940" applyNumberFormat="1" applyFont="1" applyBorder="1" applyAlignment="1"/>
    <xf numFmtId="174" fontId="167" fillId="0" borderId="35" xfId="2" applyNumberFormat="1" applyFont="1" applyBorder="1" applyAlignment="1"/>
    <xf numFmtId="164" fontId="167" fillId="0" borderId="35" xfId="1940" applyNumberFormat="1" applyFont="1" applyBorder="1" applyAlignment="1"/>
    <xf numFmtId="166" fontId="169" fillId="0" borderId="0" xfId="2" applyNumberFormat="1" applyFont="1" applyAlignment="1">
      <alignment horizontal="center"/>
    </xf>
    <xf numFmtId="0" fontId="170"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29"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1" fillId="0" borderId="0" xfId="2" applyNumberFormat="1" applyFont="1" applyBorder="1"/>
    <xf numFmtId="37" fontId="65" fillId="0" borderId="0" xfId="2" applyNumberFormat="1" applyFont="1" applyBorder="1" applyAlignment="1"/>
    <xf numFmtId="37" fontId="132"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7" fillId="0" borderId="0" xfId="1940" applyNumberFormat="1" applyFont="1" applyAlignment="1"/>
    <xf numFmtId="10" fontId="42" fillId="0" borderId="0" xfId="2" applyNumberFormat="1" applyFont="1" applyAlignment="1"/>
    <xf numFmtId="0" fontId="171" fillId="0" borderId="0" xfId="861" applyNumberFormat="1" applyFont="1" applyAlignment="1" applyProtection="1"/>
    <xf numFmtId="0" fontId="171" fillId="0" borderId="0" xfId="860" applyNumberFormat="1" applyFont="1" applyAlignment="1"/>
    <xf numFmtId="0" fontId="172" fillId="0" borderId="0" xfId="860" applyNumberFormat="1" applyFont="1" applyAlignment="1"/>
    <xf numFmtId="0" fontId="171" fillId="0" borderId="0" xfId="861" quotePrefix="1" applyNumberFormat="1" applyFont="1" applyBorder="1" applyAlignment="1" applyProtection="1">
      <alignment horizontal="left"/>
    </xf>
    <xf numFmtId="0" fontId="171" fillId="0" borderId="0" xfId="861" applyNumberFormat="1" applyFont="1" applyBorder="1" applyAlignment="1" applyProtection="1"/>
    <xf numFmtId="0" fontId="146"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4" fillId="0" borderId="0" xfId="2" applyNumberFormat="1" applyFont="1" applyFill="1" applyBorder="1"/>
    <xf numFmtId="174" fontId="165"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7"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0" fontId="138" fillId="0" borderId="0" xfId="8" applyFont="1" applyAlignment="1">
      <alignment horizontal="left"/>
    </xf>
    <xf numFmtId="0" fontId="138" fillId="0" borderId="0" xfId="8" applyFont="1"/>
    <xf numFmtId="0" fontId="37" fillId="0" borderId="0" xfId="8" applyFont="1"/>
    <xf numFmtId="0" fontId="37" fillId="0" borderId="0" xfId="8" applyFont="1" applyAlignment="1"/>
    <xf numFmtId="0" fontId="138"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1" fillId="0" borderId="0" xfId="740" applyNumberFormat="1" applyFont="1" applyFill="1" applyAlignment="1"/>
    <xf numFmtId="165" fontId="37" fillId="0" borderId="0" xfId="0" applyNumberFormat="1" applyFont="1" applyFill="1" applyAlignment="1" applyProtection="1">
      <protection locked="0"/>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2"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3" fillId="0" borderId="0" xfId="2" applyNumberFormat="1" applyFont="1" applyBorder="1" applyAlignment="1"/>
    <xf numFmtId="174" fontId="183"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6"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6"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8" fillId="0" borderId="0" xfId="8" applyFont="1" applyFill="1" applyAlignment="1"/>
    <xf numFmtId="0" fontId="138"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4"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7" fillId="0" borderId="0" xfId="8" applyFont="1" applyFill="1" applyAlignment="1">
      <alignment horizontal="left"/>
    </xf>
    <xf numFmtId="0" fontId="113" fillId="0" borderId="0" xfId="8" quotePrefix="1" applyFont="1" applyFill="1" applyAlignment="1">
      <alignment horizontal="right"/>
    </xf>
    <xf numFmtId="0" fontId="146"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7"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7" fillId="0" borderId="0" xfId="2" quotePrefix="1" applyNumberFormat="1" applyFont="1" applyFill="1" applyBorder="1" applyAlignment="1">
      <alignment horizontal="right"/>
    </xf>
    <xf numFmtId="169" fontId="167" fillId="0" borderId="15" xfId="2" applyNumberFormat="1" applyFont="1" applyFill="1" applyBorder="1" applyAlignment="1" applyProtection="1">
      <alignment horizontal="right"/>
      <protection locked="0"/>
    </xf>
    <xf numFmtId="174" fontId="167" fillId="0" borderId="0" xfId="2" applyNumberFormat="1" applyFont="1" applyFill="1" applyBorder="1" applyAlignment="1"/>
    <xf numFmtId="0" fontId="168" fillId="0" borderId="0" xfId="2" applyNumberFormat="1" applyFont="1" applyFill="1" applyBorder="1" applyAlignment="1"/>
    <xf numFmtId="164" fontId="167"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8" fillId="0" borderId="0" xfId="2" quotePrefix="1" applyNumberFormat="1" applyFont="1" applyFill="1" applyBorder="1" applyAlignment="1">
      <alignment horizontal="right"/>
    </xf>
    <xf numFmtId="166" fontId="168" fillId="0" borderId="15" xfId="2" applyNumberFormat="1" applyFont="1" applyFill="1" applyBorder="1" applyAlignment="1" applyProtection="1">
      <protection locked="0"/>
    </xf>
    <xf numFmtId="170" fontId="61" fillId="0" borderId="0" xfId="2" applyNumberFormat="1" applyFont="1" applyFill="1" applyBorder="1" applyAlignment="1"/>
    <xf numFmtId="164" fontId="168" fillId="0" borderId="0" xfId="1940" applyNumberFormat="1" applyFont="1" applyFill="1" applyAlignment="1"/>
    <xf numFmtId="170" fontId="61" fillId="0" borderId="0" xfId="2" quotePrefix="1" applyNumberFormat="1" applyFont="1" applyFill="1" applyAlignment="1">
      <alignment horizontal="center"/>
    </xf>
    <xf numFmtId="170" fontId="168" fillId="0" borderId="0" xfId="2" quotePrefix="1" applyNumberFormat="1" applyFont="1" applyFill="1" applyBorder="1" applyAlignment="1"/>
    <xf numFmtId="170" fontId="168" fillId="0" borderId="0" xfId="2" quotePrefix="1" applyNumberFormat="1" applyFont="1" applyFill="1" applyAlignment="1"/>
    <xf numFmtId="0" fontId="168" fillId="0" borderId="15" xfId="2" applyNumberFormat="1" applyFont="1" applyFill="1" applyBorder="1" applyAlignment="1"/>
    <xf numFmtId="164" fontId="61" fillId="0" borderId="0" xfId="0" applyNumberFormat="1" applyFont="1" applyFill="1" applyBorder="1" applyAlignment="1" applyProtection="1"/>
    <xf numFmtId="170" fontId="168" fillId="0" borderId="0" xfId="2" quotePrefix="1" applyNumberFormat="1" applyFont="1" applyFill="1" applyAlignment="1">
      <alignment horizontal="center"/>
    </xf>
    <xf numFmtId="0" fontId="168" fillId="0" borderId="0" xfId="2" applyNumberFormat="1" applyFont="1" applyFill="1" applyBorder="1" applyAlignment="1">
      <alignment horizontal="center"/>
    </xf>
    <xf numFmtId="166" fontId="168" fillId="0" borderId="15" xfId="2" quotePrefix="1" applyNumberFormat="1" applyFont="1" applyFill="1" applyBorder="1" applyAlignment="1" applyProtection="1">
      <alignment horizontal="right"/>
      <protection locked="0"/>
    </xf>
    <xf numFmtId="166" fontId="168"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8"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8" fillId="0" borderId="66" xfId="2" applyNumberFormat="1" applyFont="1" applyFill="1" applyBorder="1" applyAlignment="1"/>
    <xf numFmtId="164" fontId="168"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8" fillId="0" borderId="15" xfId="2" applyNumberFormat="1" applyFont="1" applyFill="1" applyBorder="1" applyAlignment="1"/>
    <xf numFmtId="174" fontId="168" fillId="0" borderId="0" xfId="2" applyNumberFormat="1" applyFont="1" applyFill="1" applyBorder="1" applyAlignment="1"/>
    <xf numFmtId="169" fontId="168"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1"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4" fillId="0" borderId="0" xfId="2" applyNumberFormat="1" applyFont="1" applyFill="1" applyBorder="1"/>
    <xf numFmtId="170" fontId="165"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8" fillId="0" borderId="0" xfId="1940" applyNumberFormat="1" applyFont="1" applyFill="1" applyAlignment="1"/>
    <xf numFmtId="172" fontId="167"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6"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3" fillId="0" borderId="0" xfId="5458" applyNumberFormat="1" applyFont="1" applyFill="1"/>
    <xf numFmtId="0" fontId="153" fillId="0" borderId="0" xfId="5458" applyNumberFormat="1" applyFont="1" applyFill="1" applyBorder="1"/>
    <xf numFmtId="0" fontId="66" fillId="0" borderId="0" xfId="5458" applyNumberFormat="1" applyFont="1" applyFill="1"/>
    <xf numFmtId="0" fontId="154" fillId="0" borderId="0" xfId="5458" applyNumberFormat="1" applyFont="1" applyFill="1"/>
    <xf numFmtId="0" fontId="66" fillId="0" borderId="0" xfId="5458" applyNumberFormat="1" applyFont="1" applyFill="1" applyAlignment="1">
      <alignment horizontal="right" vertical="top"/>
    </xf>
    <xf numFmtId="0" fontId="154" fillId="0" borderId="0" xfId="5458" applyNumberFormat="1" applyFont="1" applyFill="1" applyBorder="1" applyAlignment="1">
      <alignment horizontal="right"/>
    </xf>
    <xf numFmtId="0" fontId="153" fillId="0" borderId="0" xfId="5458" applyNumberFormat="1" applyFont="1" applyFill="1" applyAlignment="1"/>
    <xf numFmtId="0" fontId="66" fillId="0" borderId="0" xfId="5458" applyNumberFormat="1" applyFont="1" applyFill="1" applyAlignment="1">
      <alignment horizontal="left" vertical="top"/>
    </xf>
    <xf numFmtId="0" fontId="154" fillId="0" borderId="0" xfId="5458" applyNumberFormat="1" applyFont="1" applyFill="1" applyAlignment="1">
      <alignment horizontal="left" vertical="top"/>
    </xf>
    <xf numFmtId="0" fontId="154" fillId="0" borderId="0" xfId="5458" applyNumberFormat="1" applyFont="1" applyFill="1" applyAlignment="1">
      <alignment horizontal="left"/>
    </xf>
    <xf numFmtId="0" fontId="153" fillId="0" borderId="0" xfId="5458" quotePrefix="1" applyNumberFormat="1" applyFont="1" applyFill="1" applyAlignment="1"/>
    <xf numFmtId="0" fontId="154" fillId="0" borderId="0" xfId="5458" applyNumberFormat="1" applyFont="1" applyFill="1" applyAlignment="1">
      <alignment horizontal="center" vertical="top"/>
    </xf>
    <xf numFmtId="0" fontId="154" fillId="0" borderId="0" xfId="5458" applyNumberFormat="1" applyFont="1" applyFill="1" applyAlignment="1">
      <alignment horizontal="center"/>
    </xf>
    <xf numFmtId="0" fontId="154" fillId="0" borderId="0" xfId="5458" quotePrefix="1" applyNumberFormat="1" applyFont="1" applyFill="1" applyAlignment="1">
      <alignment horizontal="center"/>
    </xf>
    <xf numFmtId="0" fontId="154" fillId="0" borderId="66" xfId="5458" applyNumberFormat="1" applyFont="1" applyFill="1" applyBorder="1" applyAlignment="1">
      <alignment horizontal="centerContinuous"/>
    </xf>
    <xf numFmtId="0" fontId="154" fillId="0" borderId="0" xfId="5458" applyNumberFormat="1" applyFont="1" applyFill="1" applyAlignment="1">
      <alignment horizontal="centerContinuous"/>
    </xf>
    <xf numFmtId="0" fontId="154" fillId="0" borderId="0" xfId="5458" applyNumberFormat="1" applyFont="1" applyFill="1" applyBorder="1" applyAlignment="1">
      <alignment horizontal="center"/>
    </xf>
    <xf numFmtId="0" fontId="154" fillId="0" borderId="66" xfId="5458" applyNumberFormat="1" applyFont="1" applyFill="1" applyBorder="1"/>
    <xf numFmtId="0" fontId="154" fillId="0" borderId="0" xfId="5458" applyNumberFormat="1" applyFont="1" applyFill="1" applyBorder="1"/>
    <xf numFmtId="0" fontId="154" fillId="0" borderId="66" xfId="5458" quotePrefix="1" applyNumberFormat="1" applyFont="1" applyFill="1" applyBorder="1" applyAlignment="1">
      <alignment horizontal="center"/>
    </xf>
    <xf numFmtId="49" fontId="154" fillId="0" borderId="66" xfId="5458" applyNumberFormat="1" applyFont="1" applyFill="1" applyBorder="1" applyAlignment="1">
      <alignment horizontal="center"/>
    </xf>
    <xf numFmtId="49" fontId="154" fillId="0" borderId="66" xfId="5458" quotePrefix="1" applyNumberFormat="1" applyFont="1" applyFill="1" applyBorder="1" applyAlignment="1">
      <alignment horizontal="center"/>
    </xf>
    <xf numFmtId="0" fontId="154" fillId="0" borderId="107" xfId="5458" applyNumberFormat="1" applyFont="1" applyFill="1" applyBorder="1" applyAlignment="1">
      <alignment horizontal="center"/>
    </xf>
    <xf numFmtId="0" fontId="154" fillId="0" borderId="66" xfId="5458" applyNumberFormat="1" applyFont="1" applyFill="1" applyBorder="1" applyAlignment="1">
      <alignment horizontal="center"/>
    </xf>
    <xf numFmtId="39" fontId="153" fillId="0" borderId="0" xfId="5458" quotePrefix="1" applyNumberFormat="1" applyFont="1" applyFill="1" applyBorder="1" applyAlignment="1"/>
    <xf numFmtId="39" fontId="155" fillId="0" borderId="0" xfId="5458" quotePrefix="1" applyNumberFormat="1" applyFont="1" applyFill="1" applyBorder="1" applyAlignment="1"/>
    <xf numFmtId="39" fontId="153" fillId="0" borderId="0" xfId="5458" applyNumberFormat="1" applyFont="1" applyFill="1" applyBorder="1" applyAlignment="1"/>
    <xf numFmtId="0" fontId="155" fillId="0" borderId="0" xfId="5458" applyNumberFormat="1" applyFont="1" applyFill="1" applyBorder="1" applyAlignment="1"/>
    <xf numFmtId="0" fontId="153" fillId="0" borderId="0" xfId="5458" applyNumberFormat="1" applyFont="1" applyFill="1" applyBorder="1" applyAlignment="1"/>
    <xf numFmtId="42" fontId="155" fillId="0" borderId="0" xfId="5458" applyNumberFormat="1" applyFont="1" applyFill="1" applyBorder="1" applyAlignment="1">
      <alignment horizontal="right"/>
    </xf>
    <xf numFmtId="42" fontId="155" fillId="0" borderId="0" xfId="5458" applyNumberFormat="1" applyFont="1" applyFill="1" applyAlignment="1">
      <alignment horizontal="right"/>
    </xf>
    <xf numFmtId="42" fontId="155" fillId="0" borderId="0" xfId="5458" applyNumberFormat="1" applyFont="1" applyFill="1" applyAlignment="1">
      <alignment horizontal="right" vertical="top"/>
    </xf>
    <xf numFmtId="41" fontId="155" fillId="0" borderId="0" xfId="5458" applyNumberFormat="1" applyFont="1" applyFill="1" applyAlignment="1">
      <alignment horizontal="center"/>
    </xf>
    <xf numFmtId="41" fontId="155" fillId="0" borderId="0" xfId="5458" applyNumberFormat="1" applyFont="1" applyFill="1" applyAlignment="1">
      <alignment horizontal="right"/>
    </xf>
    <xf numFmtId="0" fontId="155" fillId="0" borderId="0" xfId="5458" applyNumberFormat="1" applyFont="1" applyFill="1" applyAlignment="1">
      <alignment horizontal="right"/>
    </xf>
    <xf numFmtId="41" fontId="153" fillId="0" borderId="0" xfId="5458" applyNumberFormat="1" applyFont="1" applyFill="1" applyAlignment="1">
      <alignment horizontal="right"/>
    </xf>
    <xf numFmtId="41" fontId="153" fillId="0" borderId="0" xfId="5458" applyNumberFormat="1" applyFont="1" applyFill="1" applyBorder="1" applyAlignment="1">
      <alignment horizontal="right"/>
    </xf>
    <xf numFmtId="41" fontId="155" fillId="0" borderId="0" xfId="5458" applyNumberFormat="1" applyFont="1" applyFill="1" applyAlignment="1"/>
    <xf numFmtId="0" fontId="153" fillId="0" borderId="0" xfId="5458" quotePrefix="1" applyNumberFormat="1" applyFont="1" applyFill="1" applyAlignment="1">
      <alignment horizontal="left" vertical="top"/>
    </xf>
    <xf numFmtId="0" fontId="153"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5" fillId="0" borderId="0" xfId="5458" applyNumberFormat="1" applyFont="1" applyFill="1" applyAlignment="1"/>
    <xf numFmtId="0" fontId="37" fillId="0" borderId="0" xfId="5458" applyNumberFormat="1" applyAlignment="1"/>
    <xf numFmtId="0" fontId="154" fillId="0" borderId="0" xfId="5458" quotePrefix="1" applyNumberFormat="1" applyFont="1" applyFill="1" applyAlignment="1">
      <alignment horizontal="left" vertical="top"/>
    </xf>
    <xf numFmtId="42" fontId="154" fillId="0" borderId="87" xfId="5458" applyNumberFormat="1" applyFont="1" applyFill="1" applyBorder="1" applyAlignment="1">
      <alignment horizontal="right" vertical="top"/>
    </xf>
    <xf numFmtId="42" fontId="154" fillId="0" borderId="0" xfId="5458" applyNumberFormat="1" applyFont="1" applyFill="1" applyAlignment="1">
      <alignment horizontal="right" vertical="top"/>
    </xf>
    <xf numFmtId="42" fontId="154" fillId="0" borderId="0" xfId="5458" applyNumberFormat="1" applyFont="1" applyFill="1" applyAlignment="1">
      <alignment horizontal="right"/>
    </xf>
    <xf numFmtId="0" fontId="153" fillId="0" borderId="0" xfId="5458" quotePrefix="1" applyNumberFormat="1" applyFont="1" applyFill="1"/>
    <xf numFmtId="37" fontId="153"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2" fillId="0" borderId="0" xfId="2" applyNumberFormat="1" applyFont="1" applyBorder="1" applyAlignment="1"/>
    <xf numFmtId="165" fontId="187"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7"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7" fillId="0" borderId="66" xfId="2" applyNumberFormat="1" applyFont="1" applyBorder="1" applyAlignment="1"/>
    <xf numFmtId="172" fontId="167"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6"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2"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7" fillId="0" borderId="15" xfId="2" applyNumberFormat="1" applyFont="1" applyFill="1" applyBorder="1" applyAlignment="1"/>
    <xf numFmtId="174" fontId="66" fillId="0" borderId="0" xfId="2" applyNumberFormat="1" applyFont="1" applyFill="1" applyBorder="1" applyAlignment="1"/>
    <xf numFmtId="169" fontId="168"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65" fontId="37" fillId="0" borderId="0" xfId="0" applyNumberFormat="1" applyFont="1" applyAlignment="1" applyProtection="1"/>
    <xf numFmtId="165" fontId="40" fillId="0" borderId="0" xfId="0" applyNumberFormat="1" applyFont="1" applyAlignment="1" applyProtection="1"/>
    <xf numFmtId="165" fontId="142"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2" fillId="0" borderId="0" xfId="0" applyNumberFormat="1" applyFont="1" applyAlignment="1" applyProtection="1"/>
    <xf numFmtId="166" fontId="143"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29"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0"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2" fillId="0" borderId="0" xfId="0" applyNumberFormat="1" applyFont="1" applyBorder="1" applyAlignment="1" applyProtection="1"/>
    <xf numFmtId="166" fontId="40" fillId="0" borderId="0" xfId="0" applyNumberFormat="1" applyFont="1" applyBorder="1" applyAlignment="1" applyProtection="1"/>
    <xf numFmtId="166" fontId="142"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2" fillId="0" borderId="0" xfId="0" applyNumberFormat="1" applyFont="1" applyBorder="1" applyAlignment="1" applyProtection="1"/>
    <xf numFmtId="165" fontId="142"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4" fillId="0" borderId="0" xfId="0" applyNumberFormat="1" applyFont="1" applyBorder="1" applyAlignment="1" applyProtection="1"/>
    <xf numFmtId="165" fontId="46" fillId="0" borderId="0" xfId="0" applyNumberFormat="1" applyFont="1" applyBorder="1" applyAlignment="1" applyProtection="1"/>
    <xf numFmtId="165" fontId="129"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7"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0" fillId="0" borderId="0" xfId="2" applyNumberFormat="1" applyFont="1" applyFill="1" applyAlignment="1" applyProtection="1"/>
    <xf numFmtId="165" fontId="160"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4"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6" fillId="0" borderId="0" xfId="2" applyNumberFormat="1" applyFont="1" applyAlignment="1" applyProtection="1"/>
    <xf numFmtId="170" fontId="136"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4" fontId="44" fillId="0" borderId="0"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5"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6" fillId="0" borderId="0" xfId="0" applyNumberFormat="1" applyFont="1" applyFill="1" applyAlignment="1">
      <alignment horizontal="center" vertical="top"/>
    </xf>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1" fillId="0" borderId="0" xfId="836" applyNumberFormat="1" applyFont="1" applyFill="1" applyAlignment="1">
      <alignment horizontal="right"/>
    </xf>
    <xf numFmtId="194" fontId="168" fillId="0" borderId="66" xfId="2"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6"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89"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4" fillId="0" borderId="96" xfId="2" applyNumberFormat="1" applyFont="1" applyFill="1" applyBorder="1" applyAlignment="1"/>
    <xf numFmtId="174" fontId="164" fillId="0" borderId="0" xfId="2" applyNumberFormat="1" applyFont="1" applyFill="1" applyBorder="1" applyAlignment="1"/>
    <xf numFmtId="170" fontId="0" fillId="0" borderId="0" xfId="2" applyNumberFormat="1" applyFont="1" applyFill="1"/>
    <xf numFmtId="170" fontId="164" fillId="0" borderId="18" xfId="2" applyNumberFormat="1" applyFont="1" applyFill="1" applyBorder="1" applyAlignment="1"/>
    <xf numFmtId="174" fontId="164"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8" fillId="0" borderId="0" xfId="2" applyNumberFormat="1" applyFont="1" applyFill="1" applyAlignment="1"/>
    <xf numFmtId="0" fontId="52" fillId="0" borderId="0" xfId="2" applyNumberFormat="1" applyFont="1" applyFill="1" applyAlignment="1">
      <alignment horizontal="right"/>
    </xf>
    <xf numFmtId="165" fontId="168" fillId="0" borderId="0" xfId="2" applyNumberFormat="1" applyFont="1" applyFill="1" applyAlignment="1"/>
    <xf numFmtId="166" fontId="168" fillId="0" borderId="0" xfId="2" applyNumberFormat="1" applyFont="1" applyFill="1" applyAlignment="1"/>
    <xf numFmtId="0" fontId="66" fillId="0" borderId="0" xfId="2" quotePrefix="1" applyNumberFormat="1" applyFont="1" applyFill="1" applyBorder="1" applyAlignment="1">
      <alignment horizontal="left"/>
    </xf>
    <xf numFmtId="0" fontId="167" fillId="0" borderId="0" xfId="2" applyNumberFormat="1" applyFont="1" applyFill="1" applyBorder="1" applyAlignment="1"/>
    <xf numFmtId="174" fontId="66" fillId="0" borderId="0" xfId="2" quotePrefix="1" applyNumberFormat="1" applyFont="1" applyFill="1" applyBorder="1" applyAlignment="1">
      <alignment horizontal="right"/>
    </xf>
    <xf numFmtId="169" fontId="167" fillId="0" borderId="0" xfId="2" applyNumberFormat="1" applyFont="1" applyFill="1" applyBorder="1" applyAlignment="1" applyProtection="1">
      <alignment horizontal="right"/>
      <protection locked="0"/>
    </xf>
    <xf numFmtId="165" fontId="167" fillId="0" borderId="0" xfId="2" applyNumberFormat="1" applyFont="1" applyFill="1" applyAlignment="1">
      <alignment horizontal="center"/>
    </xf>
    <xf numFmtId="0" fontId="61" fillId="0" borderId="0" xfId="2" applyFont="1" applyFill="1" applyAlignment="1"/>
    <xf numFmtId="0" fontId="168" fillId="0" borderId="0" xfId="2" applyFont="1" applyFill="1" applyBorder="1" applyAlignment="1" applyProtection="1">
      <protection locked="0"/>
    </xf>
    <xf numFmtId="165" fontId="167"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8" fillId="0" borderId="0" xfId="2" applyFont="1" applyFill="1" applyBorder="1" applyAlignment="1"/>
    <xf numFmtId="170" fontId="168" fillId="0" borderId="0" xfId="1" applyNumberFormat="1" applyFont="1" applyFill="1" applyAlignment="1">
      <alignment horizontal="center"/>
    </xf>
    <xf numFmtId="170" fontId="168" fillId="0" borderId="66" xfId="1" applyNumberFormat="1" applyFont="1" applyFill="1" applyBorder="1" applyAlignment="1">
      <alignment horizontal="center"/>
    </xf>
    <xf numFmtId="170" fontId="79" fillId="0" borderId="0" xfId="2" applyNumberFormat="1" applyFont="1" applyFill="1" applyAlignment="1"/>
    <xf numFmtId="170" fontId="167"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7"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7" fillId="0" borderId="0" xfId="2" applyNumberFormat="1" applyFont="1" applyFill="1" applyBorder="1" applyAlignment="1">
      <alignment horizontal="center"/>
    </xf>
    <xf numFmtId="0" fontId="168"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2"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7" fillId="0" borderId="0" xfId="2" applyNumberFormat="1" applyFont="1" applyFill="1" applyAlignment="1">
      <alignment horizontal="center"/>
    </xf>
    <xf numFmtId="174" fontId="167" fillId="0" borderId="20" xfId="2" quotePrefix="1" applyNumberFormat="1" applyFont="1" applyFill="1" applyBorder="1" applyAlignment="1">
      <alignment horizontal="right"/>
    </xf>
    <xf numFmtId="174" fontId="167" fillId="0" borderId="24" xfId="2" applyNumberFormat="1" applyFont="1" applyFill="1" applyBorder="1" applyAlignment="1" applyProtection="1">
      <protection locked="0"/>
    </xf>
    <xf numFmtId="174" fontId="167"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8" fillId="0" borderId="0" xfId="2" applyFont="1" applyFill="1" applyAlignment="1"/>
    <xf numFmtId="0" fontId="168" fillId="0" borderId="24" xfId="2" applyFont="1" applyFill="1" applyBorder="1" applyAlignment="1" applyProtection="1">
      <protection locked="0"/>
    </xf>
    <xf numFmtId="0" fontId="168"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7"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8" fillId="0" borderId="0" xfId="2" applyNumberFormat="1" applyFont="1" applyFill="1" applyAlignment="1"/>
    <xf numFmtId="170" fontId="66" fillId="0" borderId="33" xfId="2" quotePrefix="1" applyNumberFormat="1" applyFont="1" applyFill="1" applyBorder="1" applyAlignment="1">
      <alignment horizontal="center"/>
    </xf>
    <xf numFmtId="170" fontId="167" fillId="0" borderId="0" xfId="2" quotePrefix="1" applyNumberFormat="1" applyFont="1" applyFill="1" applyAlignment="1">
      <alignment horizontal="center"/>
    </xf>
    <xf numFmtId="170" fontId="167" fillId="0" borderId="0" xfId="2" quotePrefix="1" applyNumberFormat="1" applyFont="1" applyFill="1" applyBorder="1" applyAlignment="1">
      <alignment horizontal="right"/>
    </xf>
    <xf numFmtId="170" fontId="167" fillId="0" borderId="0" xfId="2" applyNumberFormat="1" applyFont="1" applyFill="1" applyBorder="1" applyAlignment="1"/>
    <xf numFmtId="166" fontId="168" fillId="0" borderId="36" xfId="2" applyNumberFormat="1" applyFont="1" applyFill="1" applyBorder="1" applyAlignment="1"/>
    <xf numFmtId="166" fontId="168"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7" fillId="0" borderId="0" xfId="2" quotePrefix="1" applyNumberFormat="1" applyFont="1" applyFill="1" applyBorder="1" applyAlignment="1">
      <alignment horizontal="left"/>
    </xf>
    <xf numFmtId="170" fontId="167" fillId="0" borderId="70" xfId="2" applyNumberFormat="1" applyFont="1" applyFill="1" applyBorder="1" applyAlignment="1"/>
    <xf numFmtId="170" fontId="167" fillId="0" borderId="0" xfId="2" quotePrefix="1" applyNumberFormat="1" applyFont="1" applyFill="1" applyBorder="1" applyAlignment="1">
      <alignment horizontal="center"/>
    </xf>
    <xf numFmtId="170" fontId="167" fillId="0" borderId="0" xfId="2" applyNumberFormat="1" applyFont="1" applyFill="1" applyAlignment="1">
      <alignment horizontal="right"/>
    </xf>
    <xf numFmtId="174" fontId="167"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6"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3"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2" fillId="0" borderId="0" xfId="0" applyNumberFormat="1" applyFont="1" applyFill="1" applyAlignment="1" applyProtection="1"/>
    <xf numFmtId="166" fontId="132" fillId="0" borderId="0" xfId="0" applyNumberFormat="1" applyFont="1" applyFill="1" applyAlignment="1" applyProtection="1"/>
    <xf numFmtId="166" fontId="129" fillId="0" borderId="0" xfId="0" applyNumberFormat="1" applyFont="1" applyFill="1" applyBorder="1" applyAlignment="1" applyProtection="1"/>
    <xf numFmtId="174" fontId="37" fillId="0" borderId="0" xfId="2" applyNumberFormat="1" applyFont="1" applyFill="1" applyBorder="1" applyAlignment="1" applyProtection="1"/>
    <xf numFmtId="165" fontId="132"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7"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65" fontId="134"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94" fontId="44" fillId="0" borderId="0" xfId="2" applyNumberFormat="1" applyFont="1" applyFill="1" applyAlignment="1"/>
    <xf numFmtId="42" fontId="155" fillId="0" borderId="0" xfId="5488" applyNumberFormat="1" applyFont="1" applyFill="1" applyAlignment="1">
      <alignment horizontal="right"/>
    </xf>
    <xf numFmtId="42" fontId="153" fillId="0" borderId="0" xfId="5458" applyNumberFormat="1" applyFont="1" applyFill="1" applyBorder="1" applyAlignment="1">
      <alignment horizontal="right"/>
    </xf>
    <xf numFmtId="41" fontId="155"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2"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41" fontId="153"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69" fillId="0" borderId="0" xfId="2" applyNumberFormat="1" applyFont="1" applyAlignment="1"/>
    <xf numFmtId="166" fontId="169" fillId="0" borderId="0" xfId="2" quotePrefix="1" applyNumberFormat="1" applyFont="1" applyAlignment="1">
      <alignment horizontal="left"/>
    </xf>
    <xf numFmtId="0" fontId="169" fillId="0" borderId="0" xfId="2" applyNumberFormat="1" applyFont="1" applyAlignment="1"/>
    <xf numFmtId="0" fontId="169"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2" fontId="44" fillId="0" borderId="10" xfId="2" applyNumberFormat="1" applyFont="1" applyFill="1" applyBorder="1" applyAlignment="1" applyProtection="1">
      <alignment horizontal="right"/>
    </xf>
    <xf numFmtId="164" fontId="168"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6" fillId="0" borderId="0" xfId="0" applyNumberFormat="1" applyFont="1"/>
    <xf numFmtId="49" fontId="110" fillId="0" borderId="0" xfId="0" applyNumberFormat="1" applyFont="1"/>
    <xf numFmtId="0" fontId="166" fillId="0" borderId="0" xfId="0" applyNumberFormat="1" applyFont="1" applyFill="1" applyAlignment="1">
      <alignment horizontal="left"/>
    </xf>
    <xf numFmtId="0" fontId="166" fillId="0" borderId="0" xfId="0" applyNumberFormat="1" applyFont="1" applyFill="1" applyAlignment="1">
      <alignment vertical="top"/>
    </xf>
    <xf numFmtId="0" fontId="42" fillId="0" borderId="0" xfId="0" applyNumberFormat="1" applyFont="1" applyBorder="1" applyAlignment="1">
      <alignment horizontal="left"/>
    </xf>
    <xf numFmtId="43" fontId="166"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6" fillId="0" borderId="0" xfId="0" applyNumberFormat="1" applyFont="1" applyBorder="1" applyAlignment="1">
      <alignment vertical="top" wrapText="1"/>
    </xf>
    <xf numFmtId="43" fontId="166" fillId="0" borderId="0" xfId="0" applyNumberFormat="1" applyFont="1" applyBorder="1"/>
    <xf numFmtId="172" fontId="185"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170" fontId="37" fillId="0" borderId="0" xfId="0" applyNumberFormat="1" applyFont="1" applyAlignment="1">
      <alignment horizontal="right"/>
    </xf>
    <xf numFmtId="0" fontId="190" fillId="0" borderId="0" xfId="25863" applyFill="1"/>
    <xf numFmtId="0" fontId="192" fillId="0" borderId="0" xfId="25863" applyFont="1" applyFill="1" applyAlignment="1">
      <alignment horizontal="left"/>
    </xf>
    <xf numFmtId="0" fontId="192" fillId="0" borderId="0" xfId="25863" applyFont="1" applyFill="1" applyBorder="1" applyAlignment="1">
      <alignment horizontal="left"/>
    </xf>
    <xf numFmtId="7" fontId="190" fillId="0" borderId="0" xfId="25863" applyNumberFormat="1" applyFill="1"/>
    <xf numFmtId="0" fontId="196" fillId="0" borderId="0" xfId="25863" applyFont="1" applyFill="1" applyBorder="1" applyAlignment="1">
      <alignment horizontal="center" wrapText="1"/>
    </xf>
    <xf numFmtId="0" fontId="66" fillId="0" borderId="0" xfId="25863" applyFont="1" applyFill="1"/>
    <xf numFmtId="0" fontId="66" fillId="0" borderId="0" xfId="25863" applyFont="1" applyFill="1" applyAlignment="1">
      <alignment horizontal="right"/>
    </xf>
    <xf numFmtId="0" fontId="37" fillId="0" borderId="0" xfId="25866" applyFont="1" applyFill="1" applyBorder="1" applyAlignment="1">
      <alignment horizontal="left"/>
    </xf>
    <xf numFmtId="37" fontId="37" fillId="0" borderId="0" xfId="2" applyNumberFormat="1" applyFont="1" applyFill="1" applyAlignment="1">
      <alignment horizontal="center"/>
    </xf>
    <xf numFmtId="44" fontId="110" fillId="0" borderId="87" xfId="25862" applyFont="1" applyBorder="1"/>
    <xf numFmtId="43" fontId="164" fillId="0" borderId="0" xfId="25873" applyNumberFormat="1" applyFont="1" applyFill="1" applyBorder="1"/>
    <xf numFmtId="43" fontId="164" fillId="0" borderId="0" xfId="25876" applyNumberFormat="1" applyFont="1" applyFill="1" applyAlignment="1">
      <alignment horizontal="right"/>
    </xf>
    <xf numFmtId="43" fontId="164" fillId="0" borderId="0" xfId="25876" applyNumberFormat="1" applyFont="1" applyFill="1" applyBorder="1" applyAlignment="1"/>
    <xf numFmtId="43" fontId="164" fillId="0" borderId="0" xfId="4579" applyNumberFormat="1" applyFont="1" applyFill="1" applyAlignment="1">
      <alignment wrapText="1"/>
    </xf>
    <xf numFmtId="0" fontId="42" fillId="0" borderId="0" xfId="25863" applyFont="1" applyFill="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44" fillId="0" borderId="0" xfId="25870" applyNumberFormat="1" applyFont="1" applyFill="1" applyBorder="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4" fontId="147" fillId="0" borderId="0" xfId="25863" applyNumberFormat="1" applyFont="1" applyFill="1" applyBorder="1" applyAlignment="1">
      <alignment horizontal="left"/>
    </xf>
    <xf numFmtId="44" fontId="37"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4" fillId="0" borderId="0" xfId="1767" applyNumberFormat="1" applyFont="1" applyFill="1" applyAlignment="1">
      <alignment horizontal="left"/>
    </xf>
    <xf numFmtId="10" fontId="168" fillId="0" borderId="0" xfId="2" applyNumberFormat="1" applyFont="1" applyBorder="1" applyAlignment="1"/>
    <xf numFmtId="10" fontId="168" fillId="0" borderId="0" xfId="1940" applyNumberFormat="1" applyFont="1" applyBorder="1" applyAlignment="1"/>
    <xf numFmtId="10" fontId="168" fillId="0" borderId="0" xfId="1940" applyNumberFormat="1" applyFont="1" applyFill="1" applyBorder="1" applyAlignment="1"/>
    <xf numFmtId="10" fontId="168" fillId="0" borderId="0" xfId="2" applyNumberFormat="1" applyFont="1" applyAlignment="1" applyProtection="1"/>
    <xf numFmtId="10" fontId="168" fillId="0" borderId="0" xfId="2" applyNumberFormat="1" applyFont="1" applyAlignment="1"/>
    <xf numFmtId="200" fontId="167" fillId="0" borderId="66" xfId="1940" applyNumberFormat="1" applyFont="1" applyBorder="1" applyAlignment="1"/>
    <xf numFmtId="200" fontId="168" fillId="0" borderId="66" xfId="1940" applyNumberFormat="1" applyFont="1" applyBorder="1" applyAlignment="1"/>
    <xf numFmtId="43" fontId="37" fillId="0" borderId="0" xfId="25863" applyNumberFormat="1" applyFont="1" applyFill="1"/>
    <xf numFmtId="0" fontId="37" fillId="0" borderId="0" xfId="25863" applyFont="1" applyFill="1"/>
    <xf numFmtId="0" fontId="196" fillId="0" borderId="0" xfId="25863" applyFont="1" applyFill="1" applyBorder="1" applyAlignment="1">
      <alignment horizontal="center"/>
    </xf>
    <xf numFmtId="44" fontId="44" fillId="0" borderId="87" xfId="25874" applyNumberFormat="1" applyFont="1" applyFill="1" applyBorder="1"/>
    <xf numFmtId="171" fontId="42" fillId="0" borderId="0" xfId="25863" applyNumberFormat="1" applyFont="1" applyFill="1"/>
    <xf numFmtId="44" fontId="164"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7"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59"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4"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0" fontId="39" fillId="0" borderId="28" xfId="2" applyNumberFormat="1" applyFont="1" applyFill="1" applyBorder="1" applyAlignment="1" applyProtection="1"/>
    <xf numFmtId="172" fontId="168"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2"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59"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4"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8" fillId="0" borderId="24" xfId="2" applyNumberFormat="1" applyFont="1" applyFill="1" applyBorder="1" applyAlignment="1" applyProtection="1">
      <protection locked="0"/>
    </xf>
    <xf numFmtId="170" fontId="168" fillId="0" borderId="0" xfId="2" applyNumberFormat="1" applyFont="1" applyFill="1" applyAlignment="1" applyProtection="1">
      <protection locked="0"/>
    </xf>
    <xf numFmtId="170" fontId="167" fillId="0" borderId="24" xfId="2" applyNumberFormat="1" applyFont="1" applyFill="1" applyBorder="1" applyAlignment="1" applyProtection="1">
      <protection locked="0"/>
    </xf>
    <xf numFmtId="170" fontId="167" fillId="0" borderId="21" xfId="2" applyNumberFormat="1" applyFont="1" applyFill="1" applyBorder="1" applyAlignment="1" applyProtection="1">
      <protection locked="0"/>
    </xf>
    <xf numFmtId="170" fontId="168" fillId="0" borderId="20" xfId="2" applyNumberFormat="1" applyFont="1" applyFill="1" applyBorder="1" applyAlignment="1"/>
    <xf numFmtId="170" fontId="168" fillId="0" borderId="0" xfId="2" applyNumberFormat="1" applyFont="1" applyFill="1" applyBorder="1" applyAlignment="1" applyProtection="1">
      <protection locked="0"/>
    </xf>
    <xf numFmtId="170" fontId="168" fillId="0" borderId="24" xfId="2" applyNumberFormat="1" applyFont="1" applyFill="1" applyBorder="1" applyAlignment="1" applyProtection="1">
      <alignment horizontal="center"/>
      <protection locked="0"/>
    </xf>
    <xf numFmtId="170" fontId="168"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7" fillId="0" borderId="10" xfId="2" quotePrefix="1" applyNumberFormat="1" applyFont="1" applyFill="1" applyBorder="1" applyAlignment="1">
      <alignment horizontal="right"/>
    </xf>
    <xf numFmtId="170" fontId="167" fillId="0" borderId="0" xfId="2" applyNumberFormat="1" applyFont="1" applyFill="1" applyBorder="1" applyAlignment="1" applyProtection="1">
      <protection locked="0"/>
    </xf>
    <xf numFmtId="170" fontId="168" fillId="0" borderId="24" xfId="2" applyNumberFormat="1" applyFont="1" applyFill="1" applyBorder="1" applyAlignment="1">
      <alignment horizontal="center"/>
    </xf>
    <xf numFmtId="170" fontId="168" fillId="0" borderId="0" xfId="2" applyNumberFormat="1" applyFont="1" applyFill="1" applyBorder="1" applyAlignment="1">
      <alignment horizontal="center"/>
    </xf>
    <xf numFmtId="170" fontId="167" fillId="0" borderId="20" xfId="2" quotePrefix="1" applyNumberFormat="1" applyFont="1" applyFill="1" applyBorder="1" applyAlignment="1">
      <alignment horizontal="center"/>
    </xf>
    <xf numFmtId="170" fontId="167" fillId="0" borderId="24" xfId="2" applyNumberFormat="1" applyFont="1" applyFill="1" applyBorder="1" applyAlignment="1" applyProtection="1">
      <alignment horizontal="right"/>
      <protection locked="0"/>
    </xf>
    <xf numFmtId="170" fontId="167" fillId="0" borderId="0" xfId="2" applyNumberFormat="1" applyFont="1" applyFill="1" applyBorder="1" applyAlignment="1" applyProtection="1">
      <alignment horizontal="right"/>
      <protection locked="0"/>
    </xf>
    <xf numFmtId="170" fontId="167" fillId="0" borderId="18" xfId="2" applyNumberFormat="1" applyFont="1" applyFill="1" applyBorder="1" applyAlignment="1"/>
    <xf numFmtId="174" fontId="167" fillId="0" borderId="20" xfId="2" applyNumberFormat="1" applyFont="1" applyFill="1" applyBorder="1" applyAlignment="1"/>
    <xf numFmtId="174" fontId="167"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7" fontId="44" fillId="0" borderId="0" xfId="25863" applyNumberFormat="1" applyFont="1" applyFill="1" applyBorder="1" applyAlignment="1">
      <alignment horizontal="center"/>
    </xf>
    <xf numFmtId="0" fontId="198" fillId="0" borderId="0" xfId="25863" applyFont="1" applyFill="1" applyBorder="1" applyAlignment="1">
      <alignment horizontal="left"/>
    </xf>
    <xf numFmtId="7" fontId="37" fillId="0" borderId="0" xfId="25863" applyNumberFormat="1" applyFont="1" applyFill="1"/>
    <xf numFmtId="0" fontId="147"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7" fillId="0" borderId="0" xfId="25863" applyNumberFormat="1" applyFont="1" applyFill="1" applyBorder="1" applyAlignment="1">
      <alignment horizontal="left"/>
    </xf>
    <xf numFmtId="0" fontId="35" fillId="0" borderId="0" xfId="25863" applyFont="1" applyFill="1" applyBorder="1" applyAlignment="1">
      <alignment horizontal="left"/>
    </xf>
    <xf numFmtId="177" fontId="37" fillId="0" borderId="0" xfId="1776" applyNumberFormat="1" applyBorder="1" applyAlignment="1"/>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8" fontId="37" fillId="0" borderId="0" xfId="2" applyNumberFormat="1" applyFont="1" applyBorder="1" applyAlignment="1" applyProtection="1"/>
    <xf numFmtId="43" fontId="166"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170" fontId="44" fillId="0" borderId="10" xfId="0" applyNumberFormat="1" applyFont="1" applyFill="1" applyBorder="1" applyAlignment="1" applyProtection="1">
      <alignment horizontal="center"/>
    </xf>
    <xf numFmtId="170" fontId="44" fillId="0" borderId="18" xfId="0" applyNumberFormat="1" applyFont="1" applyFill="1" applyBorder="1" applyAlignment="1" applyProtection="1"/>
    <xf numFmtId="41" fontId="166" fillId="0" borderId="0" xfId="0" applyNumberFormat="1" applyFont="1" applyFill="1" applyAlignment="1">
      <alignment horizontal="right"/>
    </xf>
    <xf numFmtId="42" fontId="42" fillId="0" borderId="0" xfId="5508" applyNumberFormat="1" applyFont="1" applyFill="1" applyBorder="1"/>
    <xf numFmtId="200" fontId="37" fillId="0" borderId="0" xfId="0" applyNumberFormat="1" applyFont="1" applyFill="1" applyBorder="1" applyAlignment="1" applyProtection="1"/>
    <xf numFmtId="170" fontId="44" fillId="0" borderId="93" xfId="0" applyNumberFormat="1" applyFont="1" applyFill="1" applyBorder="1" applyAlignment="1" applyProtection="1"/>
    <xf numFmtId="165" fontId="44" fillId="0" borderId="21" xfId="0" applyNumberFormat="1" applyFont="1" applyFill="1" applyBorder="1" applyAlignment="1" applyProtection="1"/>
    <xf numFmtId="165" fontId="44" fillId="0" borderId="14" xfId="0" applyNumberFormat="1" applyFont="1" applyFill="1" applyBorder="1" applyAlignment="1" applyProtection="1"/>
    <xf numFmtId="174" fontId="44" fillId="0" borderId="81" xfId="0" applyNumberFormat="1" applyFont="1" applyFill="1" applyBorder="1" applyAlignment="1" applyProtection="1"/>
    <xf numFmtId="174" fontId="44" fillId="0" borderId="0" xfId="0" applyNumberFormat="1" applyFont="1" applyFill="1" applyAlignment="1" applyProtection="1">
      <alignment horizontal="center"/>
    </xf>
    <xf numFmtId="174" fontId="44" fillId="0" borderId="26" xfId="0" applyNumberFormat="1" applyFont="1" applyFill="1" applyBorder="1" applyAlignment="1" applyProtection="1"/>
    <xf numFmtId="174" fontId="44" fillId="0" borderId="93" xfId="0" applyNumberFormat="1" applyFont="1" applyFill="1" applyBorder="1" applyAlignment="1" applyProtection="1"/>
    <xf numFmtId="0" fontId="191" fillId="0" borderId="0" xfId="25863" applyFont="1" applyFill="1" applyBorder="1" applyAlignment="1">
      <alignment horizontal="left"/>
    </xf>
    <xf numFmtId="0" fontId="191" fillId="0" borderId="0" xfId="25863" applyFont="1" applyFill="1" applyAlignment="1">
      <alignment horizontal="left"/>
    </xf>
    <xf numFmtId="0" fontId="38" fillId="0" borderId="0" xfId="25863" quotePrefix="1" applyNumberFormat="1" applyFont="1" applyFill="1" applyAlignment="1">
      <alignment horizontal="left"/>
    </xf>
    <xf numFmtId="0" fontId="147" fillId="0" borderId="0" xfId="25863" applyFont="1" applyFill="1" applyBorder="1" applyAlignment="1">
      <alignment horizontal="left"/>
    </xf>
    <xf numFmtId="0" fontId="44" fillId="0" borderId="0" xfId="25865" applyFont="1" applyFill="1"/>
    <xf numFmtId="37" fontId="147" fillId="0" borderId="0" xfId="25864" applyNumberFormat="1" applyFont="1" applyFill="1" applyBorder="1">
      <alignment horizontal="right"/>
    </xf>
    <xf numFmtId="0" fontId="0" fillId="0" borderId="0" xfId="25864" applyFont="1" applyFill="1" applyBorder="1">
      <alignment horizontal="right"/>
    </xf>
    <xf numFmtId="0" fontId="48" fillId="0" borderId="0" xfId="25866" applyFont="1" applyFill="1" applyBorder="1" applyAlignment="1">
      <alignment horizontal="left"/>
    </xf>
    <xf numFmtId="0" fontId="37" fillId="0" borderId="0" xfId="25866" applyFont="1" applyFill="1"/>
    <xf numFmtId="44" fontId="44" fillId="0" borderId="0" xfId="25868" applyFont="1" applyFill="1" applyBorder="1"/>
    <xf numFmtId="0" fontId="0" fillId="0" borderId="0" xfId="25866" applyFont="1" applyFill="1"/>
    <xf numFmtId="44" fontId="0" fillId="0" borderId="0" xfId="25866" applyNumberFormat="1" applyFont="1" applyFill="1"/>
    <xf numFmtId="43" fontId="37" fillId="0" borderId="0" xfId="25869" applyNumberFormat="1" applyFont="1" applyFill="1" applyBorder="1"/>
    <xf numFmtId="0" fontId="164" fillId="0" borderId="0" xfId="25866" applyFont="1" applyFill="1"/>
    <xf numFmtId="0" fontId="44" fillId="0" borderId="0" xfId="25871" applyFont="1" applyFill="1"/>
    <xf numFmtId="43" fontId="44" fillId="0" borderId="103" xfId="25868" applyNumberFormat="1" applyFont="1" applyFill="1" applyBorder="1" applyAlignment="1">
      <alignment horizontal="right"/>
    </xf>
    <xf numFmtId="44" fontId="44" fillId="0" borderId="0" xfId="25868" applyNumberFormat="1" applyFont="1" applyFill="1" applyBorder="1" applyAlignment="1">
      <alignment horizontal="right"/>
    </xf>
    <xf numFmtId="0" fontId="166" fillId="0" borderId="0" xfId="25872" applyFont="1" applyFill="1" applyBorder="1" applyAlignment="1">
      <alignment horizontal="left" wrapText="1"/>
    </xf>
    <xf numFmtId="0" fontId="147" fillId="0" borderId="0" xfId="25872" applyFont="1" applyFill="1" applyBorder="1"/>
    <xf numFmtId="44" fontId="44" fillId="0" borderId="87" xfId="25868" applyNumberFormat="1" applyFont="1" applyFill="1" applyBorder="1"/>
    <xf numFmtId="0" fontId="110" fillId="0" borderId="0" xfId="25863" applyFont="1" applyFill="1" applyBorder="1" applyAlignment="1">
      <alignment horizontal="left"/>
    </xf>
    <xf numFmtId="171" fontId="110" fillId="0" borderId="0" xfId="25863" applyNumberFormat="1" applyFont="1" applyFill="1" applyBorder="1" applyAlignment="1">
      <alignment horizontal="left"/>
    </xf>
    <xf numFmtId="0" fontId="202" fillId="0" borderId="0" xfId="25863" applyFont="1" applyFill="1" applyBorder="1" applyAlignment="1">
      <alignment horizontal="left" vertical="top"/>
    </xf>
    <xf numFmtId="43" fontId="110" fillId="0" borderId="0" xfId="25863" applyNumberFormat="1" applyFont="1" applyFill="1" applyBorder="1" applyAlignment="1">
      <alignment horizontal="left"/>
    </xf>
    <xf numFmtId="44" fontId="42" fillId="0" borderId="0" xfId="25863" applyNumberFormat="1" applyFont="1" applyFill="1"/>
    <xf numFmtId="0" fontId="166" fillId="0" borderId="0" xfId="25863" applyFont="1" applyFill="1" applyBorder="1" applyAlignment="1">
      <alignment horizontal="left" vertical="top"/>
    </xf>
    <xf numFmtId="43" fontId="164" fillId="0" borderId="0" xfId="25872" applyNumberFormat="1" applyFont="1" applyFill="1" applyBorder="1" applyAlignment="1">
      <alignment horizontal="left"/>
    </xf>
    <xf numFmtId="44" fontId="164" fillId="0" borderId="0" xfId="25872" applyNumberFormat="1" applyFont="1" applyFill="1" applyBorder="1" applyAlignment="1">
      <alignment horizontal="left"/>
    </xf>
    <xf numFmtId="43" fontId="101" fillId="0" borderId="0" xfId="0" applyNumberFormat="1" applyFont="1" applyFill="1" applyAlignment="1">
      <alignment vertical="top" wrapText="1"/>
    </xf>
    <xf numFmtId="44" fontId="164" fillId="0" borderId="0" xfId="25873" applyNumberFormat="1" applyFont="1" applyFill="1" applyBorder="1" applyAlignment="1">
      <alignment horizontal="left"/>
    </xf>
    <xf numFmtId="43" fontId="164" fillId="0" borderId="0" xfId="25872" applyNumberFormat="1" applyFont="1" applyFill="1" applyBorder="1"/>
    <xf numFmtId="0" fontId="166" fillId="0" borderId="0" xfId="25863" applyFont="1" applyFill="1" applyBorder="1" applyAlignment="1">
      <alignment horizontal="left" vertical="top" wrapText="1"/>
    </xf>
    <xf numFmtId="43" fontId="42" fillId="0" borderId="0" xfId="25863" applyNumberFormat="1" applyFont="1" applyFill="1"/>
    <xf numFmtId="43" fontId="35" fillId="0" borderId="0" xfId="25863" applyNumberFormat="1" applyFont="1" applyFill="1" applyBorder="1" applyAlignment="1">
      <alignment horizontal="left"/>
    </xf>
    <xf numFmtId="43" fontId="190" fillId="0" borderId="0" xfId="25863" applyNumberFormat="1" applyFill="1"/>
    <xf numFmtId="44" fontId="35" fillId="0" borderId="0" xfId="25863" applyNumberFormat="1" applyFont="1" applyFill="1" applyBorder="1" applyAlignment="1">
      <alignment horizontal="left"/>
    </xf>
    <xf numFmtId="44" fontId="190" fillId="0" borderId="0" xfId="25863" applyNumberFormat="1" applyFill="1"/>
    <xf numFmtId="0" fontId="193" fillId="0" borderId="0" xfId="25863" quotePrefix="1" applyNumberFormat="1" applyFont="1" applyFill="1" applyAlignment="1">
      <alignment horizontal="left"/>
    </xf>
    <xf numFmtId="0" fontId="48" fillId="0" borderId="0" xfId="25863" applyFont="1" applyFill="1" applyBorder="1" applyAlignment="1">
      <alignment horizontal="left"/>
    </xf>
    <xf numFmtId="0" fontId="199" fillId="0" borderId="0" xfId="25863" applyFont="1" applyFill="1" applyBorder="1" applyAlignment="1">
      <alignment horizontal="center"/>
    </xf>
    <xf numFmtId="43" fontId="0" fillId="0" borderId="0" xfId="25864" applyNumberFormat="1" applyFont="1" applyFill="1" applyBorder="1">
      <alignment horizontal="right"/>
    </xf>
    <xf numFmtId="0" fontId="198" fillId="0" borderId="0" xfId="25863" applyFont="1" applyFill="1" applyBorder="1"/>
    <xf numFmtId="44" fontId="37" fillId="0" borderId="0" xfId="0" applyNumberFormat="1" applyFont="1" applyFill="1"/>
    <xf numFmtId="0" fontId="166" fillId="0" borderId="0" xfId="25863" applyFont="1" applyFill="1" applyBorder="1" applyAlignment="1">
      <alignment horizontal="left"/>
    </xf>
    <xf numFmtId="43" fontId="166" fillId="0" borderId="0" xfId="25869" applyFont="1" applyFill="1" applyBorder="1" applyAlignment="1">
      <alignment horizontal="left"/>
    </xf>
    <xf numFmtId="170" fontId="39" fillId="0" borderId="10" xfId="2" applyNumberFormat="1" applyFont="1" applyFill="1" applyBorder="1" applyAlignment="1"/>
    <xf numFmtId="170" fontId="44" fillId="0" borderId="10" xfId="1" applyNumberFormat="1" applyFont="1" applyFill="1" applyBorder="1" applyAlignment="1"/>
    <xf numFmtId="0" fontId="39" fillId="0" borderId="0" xfId="2" applyFont="1" applyFill="1" applyBorder="1" applyAlignment="1"/>
    <xf numFmtId="0" fontId="44" fillId="0" borderId="10" xfId="2" quotePrefix="1" applyNumberFormat="1" applyFont="1" applyFill="1" applyBorder="1" applyAlignment="1">
      <alignment horizontal="center"/>
    </xf>
    <xf numFmtId="170" fontId="39" fillId="0" borderId="0" xfId="0" quotePrefix="1" applyNumberFormat="1" applyFont="1" applyFill="1" applyBorder="1" applyAlignment="1" applyProtection="1">
      <alignment horizontal="center"/>
    </xf>
    <xf numFmtId="165" fontId="47" fillId="0" borderId="0" xfId="0" applyNumberFormat="1" applyFont="1" applyFill="1" applyBorder="1" applyAlignment="1" applyProtection="1"/>
    <xf numFmtId="165" fontId="45" fillId="0" borderId="0" xfId="0" applyNumberFormat="1" applyFont="1" applyFill="1" applyBorder="1" applyAlignment="1" applyProtection="1"/>
    <xf numFmtId="165" fontId="144" fillId="0" borderId="0" xfId="0" applyNumberFormat="1" applyFont="1" applyFill="1" applyBorder="1" applyAlignment="1" applyProtection="1"/>
    <xf numFmtId="165" fontId="46" fillId="0" borderId="0" xfId="0" applyNumberFormat="1" applyFont="1" applyFill="1" applyBorder="1" applyAlignment="1" applyProtection="1"/>
    <xf numFmtId="170" fontId="37" fillId="0" borderId="20" xfId="0" quotePrefix="1" applyNumberFormat="1" applyFont="1" applyFill="1" applyBorder="1" applyAlignment="1" applyProtection="1">
      <alignment horizontal="center"/>
    </xf>
    <xf numFmtId="170" fontId="59" fillId="0" borderId="66" xfId="2" applyNumberFormat="1" applyFont="1" applyFill="1" applyBorder="1" applyAlignment="1"/>
    <xf numFmtId="170" fontId="39" fillId="0" borderId="66" xfId="2" applyNumberFormat="1" applyFont="1" applyFill="1" applyBorder="1" applyAlignment="1"/>
    <xf numFmtId="170" fontId="59" fillId="0" borderId="20" xfId="2" applyNumberFormat="1" applyFont="1" applyFill="1" applyBorder="1" applyAlignment="1" applyProtection="1"/>
    <xf numFmtId="170" fontId="44" fillId="0" borderId="95" xfId="0" quotePrefix="1" applyNumberFormat="1" applyFont="1" applyFill="1" applyBorder="1" applyAlignment="1" applyProtection="1"/>
    <xf numFmtId="166" fontId="59" fillId="0" borderId="0" xfId="2" applyNumberFormat="1" applyFont="1" applyFill="1" applyAlignment="1" applyProtection="1">
      <alignment horizontal="right"/>
    </xf>
    <xf numFmtId="170" fontId="136" fillId="0" borderId="0" xfId="2" applyNumberFormat="1" applyFont="1" applyFill="1" applyBorder="1" applyAlignment="1" applyProtection="1"/>
    <xf numFmtId="170" fontId="59" fillId="0" borderId="0" xfId="2" applyNumberFormat="1" applyFont="1" applyFill="1" applyAlignment="1" applyProtection="1">
      <alignment horizontal="center"/>
    </xf>
    <xf numFmtId="170" fontId="59" fillId="0" borderId="66" xfId="2" applyNumberFormat="1" applyFont="1" applyFill="1" applyBorder="1" applyAlignment="1" applyProtection="1">
      <alignment horizontal="center"/>
    </xf>
    <xf numFmtId="0" fontId="0" fillId="0" borderId="0" xfId="0" applyNumberFormat="1" applyFont="1" applyFill="1" applyBorder="1" applyAlignment="1" applyProtection="1">
      <alignment horizontal="left"/>
    </xf>
    <xf numFmtId="43" fontId="0" fillId="0" borderId="0" xfId="25866" applyNumberFormat="1" applyFont="1" applyFill="1"/>
    <xf numFmtId="170" fontId="48" fillId="0" borderId="0" xfId="2" applyNumberFormat="1" applyFont="1" applyFill="1" applyAlignment="1" applyProtection="1"/>
    <xf numFmtId="170" fontId="48" fillId="0" borderId="0" xfId="2" applyNumberFormat="1" applyFont="1" applyFill="1" applyAlignment="1">
      <alignment horizontal="right"/>
    </xf>
    <xf numFmtId="43" fontId="48" fillId="0" borderId="0" xfId="1767" applyNumberFormat="1" applyFont="1" applyFill="1" applyAlignment="1" applyProtection="1">
      <alignment horizontal="right"/>
    </xf>
    <xf numFmtId="201" fontId="35" fillId="0" borderId="0" xfId="25863" applyNumberFormat="1" applyFont="1" applyFill="1" applyBorder="1" applyAlignment="1">
      <alignment horizontal="left"/>
    </xf>
    <xf numFmtId="43" fontId="164" fillId="0" borderId="0" xfId="25866" applyNumberFormat="1" applyFont="1" applyFill="1"/>
    <xf numFmtId="170" fontId="37" fillId="0" borderId="0" xfId="4" applyNumberFormat="1" applyFont="1" applyFill="1" applyProtection="1"/>
    <xf numFmtId="42" fontId="42" fillId="0" borderId="0" xfId="0" applyNumberFormat="1" applyFont="1" applyFill="1"/>
    <xf numFmtId="170" fontId="37" fillId="0" borderId="15" xfId="4" applyNumberFormat="1" applyFont="1" applyFill="1" applyBorder="1" applyProtection="1"/>
    <xf numFmtId="170" fontId="37" fillId="0" borderId="0" xfId="4" applyNumberFormat="1" applyFont="1" applyFill="1" applyBorder="1" applyProtection="1"/>
    <xf numFmtId="43" fontId="37" fillId="0" borderId="0" xfId="25872" applyNumberFormat="1" applyFont="1" applyFill="1" applyBorder="1"/>
    <xf numFmtId="43" fontId="166" fillId="0" borderId="0" xfId="0" applyNumberFormat="1" applyFont="1" applyFill="1" applyAlignment="1"/>
    <xf numFmtId="44" fontId="166" fillId="0" borderId="0" xfId="0" applyNumberFormat="1" applyFont="1" applyAlignment="1"/>
    <xf numFmtId="37" fontId="48" fillId="0" borderId="0" xfId="25872" applyNumberFormat="1" applyFont="1" applyFill="1" applyBorder="1" applyAlignment="1">
      <alignment horizontal="left"/>
    </xf>
    <xf numFmtId="37" fontId="48" fillId="0" borderId="0" xfId="25872" applyNumberFormat="1" applyFont="1" applyFill="1" applyBorder="1"/>
    <xf numFmtId="4" fontId="65" fillId="0" borderId="0" xfId="2" applyNumberFormat="1" applyFont="1" applyAlignment="1" applyProtection="1"/>
    <xf numFmtId="43" fontId="203" fillId="0" borderId="0" xfId="25863" applyNumberFormat="1" applyFont="1" applyFill="1"/>
    <xf numFmtId="166" fontId="49" fillId="0" borderId="0" xfId="8" applyNumberFormat="1" applyFont="1" applyFill="1" applyAlignment="1">
      <alignment horizontal="right"/>
    </xf>
    <xf numFmtId="49" fontId="42" fillId="0" borderId="0" xfId="0" applyNumberFormat="1" applyFont="1" applyFill="1" applyAlignment="1" applyProtection="1">
      <alignment horizontal="left" vertical="top"/>
    </xf>
    <xf numFmtId="166" fontId="37" fillId="0" borderId="0" xfId="8" applyNumberFormat="1" applyFont="1"/>
    <xf numFmtId="169" fontId="37" fillId="0" borderId="0" xfId="8" applyNumberFormat="1" applyFont="1"/>
    <xf numFmtId="172" fontId="63" fillId="0" borderId="0" xfId="0" applyNumberFormat="1" applyFont="1" applyFill="1" applyAlignment="1" applyProtection="1"/>
    <xf numFmtId="170" fontId="37" fillId="0" borderId="0" xfId="0" quotePrefix="1" applyNumberFormat="1" applyFont="1" applyAlignment="1">
      <alignment horizontal="right"/>
    </xf>
    <xf numFmtId="200" fontId="37" fillId="0" borderId="0" xfId="2" applyNumberFormat="1" applyFont="1" applyFill="1" applyAlignment="1" applyProtection="1"/>
    <xf numFmtId="170" fontId="59" fillId="0" borderId="46" xfId="2" applyNumberFormat="1" applyFont="1" applyFill="1" applyBorder="1" applyAlignment="1"/>
    <xf numFmtId="165" fontId="37" fillId="0" borderId="0" xfId="0" applyNumberFormat="1" applyFont="1" applyFill="1" applyBorder="1" applyAlignment="1"/>
    <xf numFmtId="166" fontId="37" fillId="0" borderId="0" xfId="0" applyNumberFormat="1" applyFont="1" applyFill="1" applyBorder="1" applyAlignment="1">
      <alignment horizontal="left"/>
    </xf>
    <xf numFmtId="0" fontId="37" fillId="0" borderId="0" xfId="2" applyFont="1" applyFill="1" applyAlignment="1">
      <alignment horizontal="left"/>
    </xf>
    <xf numFmtId="0" fontId="43" fillId="0" borderId="66" xfId="9967" applyNumberFormat="1" applyFont="1" applyFill="1" applyBorder="1" applyAlignment="1">
      <alignment horizontal="center"/>
    </xf>
    <xf numFmtId="177" fontId="61" fillId="0" borderId="0" xfId="740" applyNumberFormat="1" applyFont="1" applyFill="1" applyAlignment="1"/>
    <xf numFmtId="0" fontId="37" fillId="0" borderId="0" xfId="1767" applyFont="1" applyProtection="1"/>
    <xf numFmtId="0" fontId="37" fillId="0" borderId="0" xfId="1767" applyFont="1" applyFill="1" applyProtection="1"/>
    <xf numFmtId="0" fontId="37" fillId="0" borderId="0" xfId="1028" quotePrefix="1" applyAlignment="1">
      <alignment horizontal="center"/>
    </xf>
    <xf numFmtId="4" fontId="37" fillId="0" borderId="0" xfId="1028" applyNumberFormat="1"/>
    <xf numFmtId="4" fontId="37" fillId="0" borderId="0" xfId="1028" applyNumberFormat="1" applyAlignment="1">
      <alignment horizontal="left"/>
    </xf>
    <xf numFmtId="0" fontId="37" fillId="0" borderId="0" xfId="1028" applyFont="1" applyAlignment="1" applyProtection="1">
      <alignment horizontal="lef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70" fontId="44" fillId="0" borderId="10" xfId="2" applyNumberFormat="1" applyFont="1" applyFill="1" applyBorder="1" applyAlignment="1" applyProtection="1">
      <alignment horizontal="right"/>
    </xf>
    <xf numFmtId="164" fontId="44" fillId="0" borderId="16" xfId="0" applyNumberFormat="1" applyFont="1" applyBorder="1" applyProtection="1">
      <protection locked="0"/>
    </xf>
    <xf numFmtId="172" fontId="168" fillId="0" borderId="0" xfId="1940" applyNumberFormat="1" applyFont="1" applyAlignment="1"/>
    <xf numFmtId="172" fontId="168" fillId="0" borderId="0" xfId="0" applyNumberFormat="1" applyFont="1" applyBorder="1" applyAlignment="1" applyProtection="1"/>
    <xf numFmtId="181" fontId="97" fillId="0" borderId="0" xfId="740" applyNumberFormat="1" applyFont="1" applyFill="1" applyBorder="1"/>
    <xf numFmtId="0" fontId="66" fillId="0" borderId="0" xfId="25863" quotePrefix="1" applyNumberFormat="1" applyFont="1" applyFill="1" applyAlignment="1">
      <alignment horizontal="left"/>
    </xf>
    <xf numFmtId="172" fontId="37" fillId="0" borderId="10" xfId="0" applyNumberFormat="1" applyFont="1" applyBorder="1" applyAlignment="1" applyProtection="1"/>
    <xf numFmtId="172" fontId="66" fillId="0" borderId="0" xfId="1940" applyNumberFormat="1" applyFont="1" applyAlignment="1"/>
    <xf numFmtId="200" fontId="63" fillId="0" borderId="0" xfId="0" applyNumberFormat="1" applyFont="1" applyFill="1" applyAlignment="1" applyProtection="1"/>
    <xf numFmtId="202" fontId="37" fillId="0" borderId="0" xfId="0" applyNumberFormat="1" applyFont="1" applyAlignment="1" applyProtection="1"/>
    <xf numFmtId="0" fontId="61" fillId="0" borderId="0" xfId="1776" applyNumberFormat="1" applyFont="1" applyFill="1" applyBorder="1" applyAlignment="1">
      <alignment horizontal="left"/>
    </xf>
    <xf numFmtId="0" fontId="44" fillId="0" borderId="0" xfId="1776" applyNumberFormat="1" applyFont="1" applyFill="1" applyBorder="1" applyAlignment="1">
      <alignment horizontal="center"/>
    </xf>
    <xf numFmtId="170" fontId="37" fillId="0" borderId="0" xfId="2" applyNumberFormat="1" applyAlignment="1">
      <alignment horizontal="center"/>
    </xf>
    <xf numFmtId="170" fontId="37" fillId="0" borderId="0" xfId="2" applyNumberFormat="1" applyAlignment="1">
      <alignment horizontal="right"/>
    </xf>
    <xf numFmtId="170" fontId="37" fillId="0" borderId="0" xfId="2" quotePrefix="1" applyNumberFormat="1"/>
    <xf numFmtId="170" fontId="37" fillId="0" borderId="0" xfId="2" applyNumberFormat="1"/>
    <xf numFmtId="170" fontId="37" fillId="0" borderId="10" xfId="2" applyNumberFormat="1" applyBorder="1"/>
    <xf numFmtId="170" fontId="44" fillId="0" borderId="0" xfId="2" quotePrefix="1" applyNumberFormat="1" applyFont="1" applyFill="1" applyBorder="1" applyAlignment="1"/>
    <xf numFmtId="177" fontId="48" fillId="0" borderId="0" xfId="1767" applyNumberFormat="1" applyFont="1" applyFill="1" applyAlignment="1">
      <alignment horizontal="left"/>
    </xf>
    <xf numFmtId="177" fontId="48" fillId="0" borderId="0" xfId="740" applyNumberFormat="1" applyFont="1" applyFill="1" applyAlignment="1">
      <alignment horizontal="center"/>
    </xf>
    <xf numFmtId="172" fontId="63" fillId="0" borderId="0" xfId="0" applyNumberFormat="1" applyFont="1" applyAlignment="1" applyProtection="1"/>
    <xf numFmtId="166" fontId="49" fillId="0" borderId="0" xfId="8" quotePrefix="1" applyNumberFormat="1" applyFont="1" applyFill="1" applyAlignment="1"/>
    <xf numFmtId="43" fontId="37" fillId="0" borderId="0" xfId="0" applyNumberFormat="1" applyFont="1" applyFill="1" applyAlignment="1">
      <alignment horizontal="right" wrapText="1"/>
    </xf>
    <xf numFmtId="43" fontId="48" fillId="0" borderId="0" xfId="25872" applyNumberFormat="1" applyFont="1" applyFill="1" applyBorder="1" applyAlignment="1">
      <alignment horizontal="lef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25872" applyNumberFormat="1" applyFont="1" applyFill="1" applyBorder="1"/>
    <xf numFmtId="43" fontId="37" fillId="0" borderId="0" xfId="25863" applyNumberFormat="1" applyFont="1" applyFill="1" applyBorder="1" applyAlignment="1">
      <alignment horizontal="right" wrapText="1"/>
    </xf>
    <xf numFmtId="43" fontId="48" fillId="0" borderId="0" xfId="25863" applyNumberFormat="1" applyFont="1" applyFill="1" applyBorder="1" applyAlignment="1">
      <alignment horizontal="left"/>
    </xf>
    <xf numFmtId="43" fontId="48" fillId="0" borderId="0" xfId="25863" applyNumberFormat="1" applyFont="1" applyFill="1" applyBorder="1" applyAlignment="1">
      <alignment horizontal="right"/>
    </xf>
    <xf numFmtId="43" fontId="48" fillId="0" borderId="0" xfId="0" applyNumberFormat="1" applyFont="1" applyFill="1" applyAlignment="1"/>
    <xf numFmtId="43" fontId="48" fillId="0" borderId="0" xfId="25863" applyNumberFormat="1" applyFont="1" applyFill="1"/>
    <xf numFmtId="43" fontId="48" fillId="0" borderId="0" xfId="25863" applyNumberFormat="1" applyFont="1" applyFill="1" applyAlignment="1">
      <alignment wrapText="1"/>
    </xf>
    <xf numFmtId="44" fontId="48" fillId="0" borderId="0" xfId="25872" applyNumberFormat="1" applyFont="1" applyFill="1" applyBorder="1" applyAlignment="1">
      <alignment horizontal="left"/>
    </xf>
    <xf numFmtId="44" fontId="37" fillId="0" borderId="0" xfId="25872" applyNumberFormat="1" applyFont="1" applyFill="1" applyBorder="1"/>
    <xf numFmtId="43" fontId="37" fillId="0" borderId="0" xfId="25863" applyNumberFormat="1" applyFont="1" applyFill="1" applyBorder="1" applyAlignment="1"/>
    <xf numFmtId="43" fontId="37" fillId="0" borderId="0" xfId="25863" applyNumberFormat="1" applyFont="1" applyFill="1" applyBorder="1" applyAlignment="1">
      <alignment horizontal="left"/>
    </xf>
    <xf numFmtId="0" fontId="49" fillId="0" borderId="0" xfId="8" applyNumberFormat="1" applyFont="1" applyFill="1" applyAlignment="1">
      <alignment horizontal="left" vertical="top"/>
    </xf>
    <xf numFmtId="0" fontId="49" fillId="0" borderId="0" xfId="8" applyFont="1" applyFill="1" applyAlignment="1">
      <alignment horizontal="left" vertical="top"/>
    </xf>
    <xf numFmtId="164" fontId="49" fillId="0" borderId="0" xfId="8" applyNumberFormat="1" applyFont="1" applyFill="1" applyAlignment="1">
      <alignment horizontal="left"/>
    </xf>
    <xf numFmtId="164" fontId="49" fillId="0" borderId="0" xfId="0" applyFont="1" applyFill="1"/>
    <xf numFmtId="0" fontId="49" fillId="0" borderId="0" xfId="8" applyNumberFormat="1" applyFont="1" applyAlignment="1">
      <alignment horizontal="left"/>
    </xf>
    <xf numFmtId="165" fontId="37" fillId="0" borderId="0" xfId="2" applyNumberFormat="1"/>
    <xf numFmtId="0" fontId="37" fillId="0" borderId="0" xfId="5508" applyFont="1"/>
    <xf numFmtId="166" fontId="44" fillId="0" borderId="0" xfId="0" applyNumberFormat="1" applyFont="1" applyFill="1" applyBorder="1" applyAlignment="1" applyProtection="1">
      <alignment horizontal="center"/>
    </xf>
    <xf numFmtId="42" fontId="147" fillId="0" borderId="81" xfId="840" applyNumberFormat="1" applyFont="1" applyBorder="1" applyAlignment="1"/>
    <xf numFmtId="42" fontId="48" fillId="0" borderId="0" xfId="840" applyNumberFormat="1" applyFont="1" applyAlignment="1"/>
    <xf numFmtId="42" fontId="147" fillId="0" borderId="0" xfId="840" applyNumberFormat="1" applyFont="1" applyBorder="1" applyAlignment="1"/>
    <xf numFmtId="37" fontId="147" fillId="0" borderId="0" xfId="840" applyNumberFormat="1" applyFont="1" applyFill="1" applyAlignment="1"/>
    <xf numFmtId="42" fontId="147" fillId="0" borderId="0" xfId="840" applyNumberFormat="1" applyFont="1" applyFill="1" applyAlignment="1"/>
    <xf numFmtId="177" fontId="37" fillId="0" borderId="0" xfId="1767" applyNumberFormat="1" applyFont="1" applyFill="1" applyBorder="1" applyAlignment="1">
      <alignment horizontal="left"/>
    </xf>
    <xf numFmtId="177" fontId="0" fillId="0" borderId="0" xfId="0" applyNumberFormat="1" applyFill="1"/>
    <xf numFmtId="177" fontId="37" fillId="0" borderId="0" xfId="740" quotePrefix="1" applyNumberFormat="1" applyFont="1" applyFill="1" applyAlignment="1">
      <alignment horizontal="center"/>
    </xf>
    <xf numFmtId="177" fontId="48" fillId="0" borderId="0" xfId="740" applyNumberFormat="1" applyFont="1" applyFill="1" applyAlignment="1">
      <alignment horizontal="right"/>
    </xf>
    <xf numFmtId="0" fontId="49" fillId="0" borderId="0" xfId="8" quotePrefix="1" applyNumberFormat="1" applyFont="1" applyFill="1" applyAlignment="1"/>
    <xf numFmtId="164" fontId="49" fillId="0" borderId="0" xfId="0" applyNumberFormat="1" applyFont="1"/>
    <xf numFmtId="43" fontId="37" fillId="0" borderId="0" xfId="25872" applyNumberFormat="1" applyFont="1" applyFill="1" applyBorder="1" applyAlignment="1"/>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2" fontId="42" fillId="0" borderId="0" xfId="0" applyNumberFormat="1" applyFont="1" applyFill="1" applyAlignment="1">
      <alignment horizontal="right"/>
    </xf>
    <xf numFmtId="180" fontId="97" fillId="0" borderId="0" xfId="740" applyNumberFormat="1" applyFont="1" applyFill="1"/>
    <xf numFmtId="42" fontId="147" fillId="0" borderId="81" xfId="840" applyNumberFormat="1" applyFont="1" applyFill="1" applyBorder="1" applyAlignment="1"/>
    <xf numFmtId="203" fontId="37" fillId="0" borderId="0" xfId="0" quotePrefix="1" applyNumberFormat="1" applyFont="1" applyFill="1" applyAlignment="1" applyProtection="1">
      <alignment horizontal="right"/>
    </xf>
    <xf numFmtId="172" fontId="61" fillId="0" borderId="10" xfId="2" applyNumberFormat="1" applyFont="1" applyBorder="1" applyAlignment="1" applyProtection="1"/>
    <xf numFmtId="183" fontId="37" fillId="0" borderId="0" xfId="0" applyNumberFormat="1" applyFont="1" applyBorder="1" applyAlignment="1" applyProtection="1"/>
    <xf numFmtId="43" fontId="48" fillId="0" borderId="0" xfId="4579" applyNumberFormat="1" applyFont="1" applyFill="1" applyAlignment="1">
      <alignment wrapText="1"/>
    </xf>
    <xf numFmtId="43" fontId="37" fillId="0" borderId="0" xfId="25873" applyNumberFormat="1" applyFont="1" applyFill="1" applyBorder="1"/>
    <xf numFmtId="164" fontId="0" fillId="0" borderId="0" xfId="0" applyAlignment="1">
      <alignment horizontal="left"/>
    </xf>
    <xf numFmtId="164" fontId="37" fillId="0" borderId="0" xfId="5458" applyNumberFormat="1" applyFont="1" applyFill="1" applyAlignment="1">
      <alignment horizontal="left"/>
    </xf>
    <xf numFmtId="167" fontId="39" fillId="0" borderId="13" xfId="0" applyNumberFormat="1" applyFont="1" applyFill="1" applyBorder="1" applyAlignment="1" applyProtection="1"/>
    <xf numFmtId="174" fontId="39" fillId="0" borderId="0" xfId="0" applyNumberFormat="1" applyFont="1" applyFill="1" applyAlignment="1" applyProtection="1">
      <alignment horizontal="right"/>
    </xf>
    <xf numFmtId="41" fontId="48" fillId="0" borderId="0" xfId="11" applyNumberFormat="1" applyFont="1" applyFill="1" applyAlignment="1"/>
    <xf numFmtId="170" fontId="48" fillId="0" borderId="0" xfId="0" applyNumberFormat="1" applyFont="1" applyFill="1" applyAlignment="1" applyProtection="1">
      <alignment horizontal="center"/>
    </xf>
    <xf numFmtId="43" fontId="204" fillId="0" borderId="0" xfId="25863" applyNumberFormat="1" applyFont="1" applyFill="1" applyBorder="1" applyAlignment="1">
      <alignment horizontal="left"/>
    </xf>
    <xf numFmtId="43" fontId="61" fillId="0" borderId="0" xfId="25863" applyNumberFormat="1" applyFont="1" applyFill="1"/>
    <xf numFmtId="43" fontId="204" fillId="0" borderId="0" xfId="25863" applyNumberFormat="1" applyFont="1" applyFill="1" applyAlignment="1">
      <alignment horizontal="left" vertical="top"/>
    </xf>
    <xf numFmtId="204" fontId="37" fillId="0" borderId="0" xfId="0" quotePrefix="1" applyNumberFormat="1" applyFont="1" applyFill="1" applyBorder="1" applyAlignment="1" applyProtection="1">
      <alignment horizontal="right"/>
    </xf>
    <xf numFmtId="170" fontId="39" fillId="0" borderId="10" xfId="0" applyNumberFormat="1" applyFont="1" applyFill="1" applyBorder="1" applyAlignment="1" applyProtection="1">
      <alignment horizontal="right"/>
    </xf>
    <xf numFmtId="170" fontId="44" fillId="0" borderId="16" xfId="0" applyNumberFormat="1" applyFont="1" applyFill="1" applyBorder="1" applyAlignment="1" applyProtection="1">
      <alignment horizontal="right"/>
    </xf>
    <xf numFmtId="170" fontId="39" fillId="0" borderId="0" xfId="0" applyNumberFormat="1" applyFont="1" applyFill="1" applyBorder="1" applyAlignment="1" applyProtection="1">
      <alignment horizontal="right"/>
    </xf>
    <xf numFmtId="170" fontId="37" fillId="0" borderId="0" xfId="0" applyNumberFormat="1" applyFont="1" applyFill="1" applyBorder="1" applyAlignment="1" applyProtection="1">
      <alignment horizontal="center"/>
    </xf>
    <xf numFmtId="170" fontId="44" fillId="0" borderId="16" xfId="0" applyNumberFormat="1" applyFont="1" applyFill="1" applyBorder="1" applyAlignment="1" applyProtection="1">
      <alignment horizontal="center"/>
    </xf>
    <xf numFmtId="170" fontId="40" fillId="0" borderId="0" xfId="0" applyNumberFormat="1" applyFont="1" applyFill="1" applyAlignment="1" applyProtection="1"/>
    <xf numFmtId="170" fontId="37" fillId="0" borderId="10" xfId="0" applyNumberFormat="1" applyFont="1" applyFill="1" applyBorder="1" applyAlignment="1" applyProtection="1"/>
    <xf numFmtId="170" fontId="44" fillId="0" borderId="10" xfId="0" applyNumberFormat="1" applyFont="1" applyFill="1" applyBorder="1" applyAlignment="1" applyProtection="1">
      <alignment horizontal="right"/>
    </xf>
    <xf numFmtId="170" fontId="44" fillId="0" borderId="0" xfId="0" quotePrefix="1" applyNumberFormat="1" applyFont="1" applyFill="1" applyBorder="1" applyAlignment="1" applyProtection="1">
      <alignment horizontal="right"/>
    </xf>
    <xf numFmtId="37" fontId="42" fillId="0" borderId="0" xfId="2" applyNumberFormat="1" applyFont="1" applyFill="1" applyBorder="1" applyAlignment="1" applyProtection="1"/>
    <xf numFmtId="37" fontId="132"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wrapText="1"/>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7" fillId="0" borderId="0" xfId="2" quotePrefix="1" applyNumberFormat="1" applyFont="1" applyBorder="1" applyAlignment="1">
      <alignment horizontal="center"/>
    </xf>
    <xf numFmtId="0" fontId="168" fillId="0" borderId="0" xfId="2" applyFont="1" applyBorder="1" applyAlignment="1">
      <alignment horizontal="center"/>
    </xf>
    <xf numFmtId="0" fontId="167"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66"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Fill="1" applyAlignment="1">
      <alignment wrapText="1"/>
    </xf>
  </cellXfs>
  <cellStyles count="25877">
    <cellStyle name="20% - Accent1 10" xfId="25" xr:uid="{00000000-0005-0000-0000-000000000000}"/>
    <cellStyle name="20% - Accent1 10 10" xfId="17928" xr:uid="{00000000-0005-0000-0000-000001000000}"/>
    <cellStyle name="20% - Accent1 10 2" xfId="26" xr:uid="{00000000-0005-0000-0000-000002000000}"/>
    <cellStyle name="20% - Accent1 10 2 2" xfId="27" xr:uid="{00000000-0005-0000-0000-000003000000}"/>
    <cellStyle name="20% - Accent1 10 2 2 2" xfId="1055" xr:uid="{00000000-0005-0000-0000-000004000000}"/>
    <cellStyle name="20% - Accent1 10 2 2 2 2" xfId="4585" xr:uid="{00000000-0005-0000-0000-000005000000}"/>
    <cellStyle name="20% - Accent1 10 2 2 2 2 2" xfId="8176" xr:uid="{00000000-0005-0000-0000-000006000000}"/>
    <cellStyle name="20% - Accent1 10 2 2 2 2 2 2" xfId="16147" xr:uid="{00000000-0005-0000-0000-000007000000}"/>
    <cellStyle name="20% - Accent1 10 2 2 2 2 2 3" xfId="24093" xr:uid="{00000000-0005-0000-0000-000008000000}"/>
    <cellStyle name="20% - Accent1 10 2 2 2 2 3" xfId="12609" xr:uid="{00000000-0005-0000-0000-000009000000}"/>
    <cellStyle name="20% - Accent1 10 2 2 2 2 4" xfId="20564" xr:uid="{00000000-0005-0000-0000-00000A000000}"/>
    <cellStyle name="20% - Accent1 10 2 2 2 3" xfId="6417" xr:uid="{00000000-0005-0000-0000-00000B000000}"/>
    <cellStyle name="20% - Accent1 10 2 2 2 3 2" xfId="14389" xr:uid="{00000000-0005-0000-0000-00000C000000}"/>
    <cellStyle name="20% - Accent1 10 2 2 2 3 3" xfId="22336" xr:uid="{00000000-0005-0000-0000-00000D000000}"/>
    <cellStyle name="20% - Accent1 10 2 2 2 4" xfId="10853" xr:uid="{00000000-0005-0000-0000-00000E000000}"/>
    <cellStyle name="20% - Accent1 10 2 2 2 5" xfId="18808" xr:uid="{00000000-0005-0000-0000-00000F000000}"/>
    <cellStyle name="20% - Accent1 10 2 2 2_Exh G" xfId="1944" xr:uid="{00000000-0005-0000-0000-000010000000}"/>
    <cellStyle name="20% - Accent1 10 2 2 3" xfId="3706" xr:uid="{00000000-0005-0000-0000-000011000000}"/>
    <cellStyle name="20% - Accent1 10 2 2 3 2" xfId="7298" xr:uid="{00000000-0005-0000-0000-000012000000}"/>
    <cellStyle name="20% - Accent1 10 2 2 3 2 2" xfId="15269" xr:uid="{00000000-0005-0000-0000-000013000000}"/>
    <cellStyle name="20% - Accent1 10 2 2 3 2 3" xfId="23215" xr:uid="{00000000-0005-0000-0000-000014000000}"/>
    <cellStyle name="20% - Accent1 10 2 2 3 3" xfId="11731" xr:uid="{00000000-0005-0000-0000-000015000000}"/>
    <cellStyle name="20% - Accent1 10 2 2 3 4" xfId="19686" xr:uid="{00000000-0005-0000-0000-000016000000}"/>
    <cellStyle name="20% - Accent1 10 2 2 4" xfId="5526" xr:uid="{00000000-0005-0000-0000-000017000000}"/>
    <cellStyle name="20% - Accent1 10 2 2 4 2" xfId="13510" xr:uid="{00000000-0005-0000-0000-000018000000}"/>
    <cellStyle name="20% - Accent1 10 2 2 4 3" xfId="21458" xr:uid="{00000000-0005-0000-0000-000019000000}"/>
    <cellStyle name="20% - Accent1 10 2 2 5" xfId="9079" xr:uid="{00000000-0005-0000-0000-00001A000000}"/>
    <cellStyle name="20% - Accent1 10 2 2 5 2" xfId="17037" xr:uid="{00000000-0005-0000-0000-00001B000000}"/>
    <cellStyle name="20% - Accent1 10 2 2 5 3" xfId="24981" xr:uid="{00000000-0005-0000-0000-00001C000000}"/>
    <cellStyle name="20% - Accent1 10 2 2 6" xfId="9975" xr:uid="{00000000-0005-0000-0000-00001D000000}"/>
    <cellStyle name="20% - Accent1 10 2 2 7" xfId="17930" xr:uid="{00000000-0005-0000-0000-00001E000000}"/>
    <cellStyle name="20% - Accent1 10 2 2_Exh G" xfId="1943" xr:uid="{00000000-0005-0000-0000-00001F000000}"/>
    <cellStyle name="20% - Accent1 10 2 3" xfId="1054" xr:uid="{00000000-0005-0000-0000-000020000000}"/>
    <cellStyle name="20% - Accent1 10 2 3 2" xfId="4584" xr:uid="{00000000-0005-0000-0000-000021000000}"/>
    <cellStyle name="20% - Accent1 10 2 3 2 2" xfId="8175" xr:uid="{00000000-0005-0000-0000-000022000000}"/>
    <cellStyle name="20% - Accent1 10 2 3 2 2 2" xfId="16146" xr:uid="{00000000-0005-0000-0000-000023000000}"/>
    <cellStyle name="20% - Accent1 10 2 3 2 2 3" xfId="24092" xr:uid="{00000000-0005-0000-0000-000024000000}"/>
    <cellStyle name="20% - Accent1 10 2 3 2 3" xfId="12608" xr:uid="{00000000-0005-0000-0000-000025000000}"/>
    <cellStyle name="20% - Accent1 10 2 3 2 4" xfId="20563" xr:uid="{00000000-0005-0000-0000-000026000000}"/>
    <cellStyle name="20% - Accent1 10 2 3 3" xfId="6416" xr:uid="{00000000-0005-0000-0000-000027000000}"/>
    <cellStyle name="20% - Accent1 10 2 3 3 2" xfId="14388" xr:uid="{00000000-0005-0000-0000-000028000000}"/>
    <cellStyle name="20% - Accent1 10 2 3 3 3" xfId="22335" xr:uid="{00000000-0005-0000-0000-000029000000}"/>
    <cellStyle name="20% - Accent1 10 2 3 4" xfId="10852" xr:uid="{00000000-0005-0000-0000-00002A000000}"/>
    <cellStyle name="20% - Accent1 10 2 3 5" xfId="18807" xr:uid="{00000000-0005-0000-0000-00002B000000}"/>
    <cellStyle name="20% - Accent1 10 2 3_Exh G" xfId="1945" xr:uid="{00000000-0005-0000-0000-00002C000000}"/>
    <cellStyle name="20% - Accent1 10 2 4" xfId="3705" xr:uid="{00000000-0005-0000-0000-00002D000000}"/>
    <cellStyle name="20% - Accent1 10 2 4 2" xfId="7297" xr:uid="{00000000-0005-0000-0000-00002E000000}"/>
    <cellStyle name="20% - Accent1 10 2 4 2 2" xfId="15268" xr:uid="{00000000-0005-0000-0000-00002F000000}"/>
    <cellStyle name="20% - Accent1 10 2 4 2 3" xfId="23214" xr:uid="{00000000-0005-0000-0000-000030000000}"/>
    <cellStyle name="20% - Accent1 10 2 4 3" xfId="11730" xr:uid="{00000000-0005-0000-0000-000031000000}"/>
    <cellStyle name="20% - Accent1 10 2 4 4" xfId="19685" xr:uid="{00000000-0005-0000-0000-000032000000}"/>
    <cellStyle name="20% - Accent1 10 2 5" xfId="5525" xr:uid="{00000000-0005-0000-0000-000033000000}"/>
    <cellStyle name="20% - Accent1 10 2 5 2" xfId="13509" xr:uid="{00000000-0005-0000-0000-000034000000}"/>
    <cellStyle name="20% - Accent1 10 2 5 3" xfId="21457" xr:uid="{00000000-0005-0000-0000-000035000000}"/>
    <cellStyle name="20% - Accent1 10 2 6" xfId="9078" xr:uid="{00000000-0005-0000-0000-000036000000}"/>
    <cellStyle name="20% - Accent1 10 2 6 2" xfId="17036" xr:uid="{00000000-0005-0000-0000-000037000000}"/>
    <cellStyle name="20% - Accent1 10 2 6 3" xfId="24980" xr:uid="{00000000-0005-0000-0000-000038000000}"/>
    <cellStyle name="20% - Accent1 10 2 7" xfId="9974" xr:uid="{00000000-0005-0000-0000-000039000000}"/>
    <cellStyle name="20% - Accent1 10 2 8" xfId="17929" xr:uid="{00000000-0005-0000-0000-00003A000000}"/>
    <cellStyle name="20% - Accent1 10 2_Exh G" xfId="1942" xr:uid="{00000000-0005-0000-0000-00003B000000}"/>
    <cellStyle name="20% - Accent1 10 3" xfId="28" xr:uid="{00000000-0005-0000-0000-00003C000000}"/>
    <cellStyle name="20% - Accent1 10 3 2" xfId="1056" xr:uid="{00000000-0005-0000-0000-00003D000000}"/>
    <cellStyle name="20% - Accent1 10 3 2 2" xfId="4586" xr:uid="{00000000-0005-0000-0000-00003E000000}"/>
    <cellStyle name="20% - Accent1 10 3 2 2 2" xfId="8177" xr:uid="{00000000-0005-0000-0000-00003F000000}"/>
    <cellStyle name="20% - Accent1 10 3 2 2 2 2" xfId="16148" xr:uid="{00000000-0005-0000-0000-000040000000}"/>
    <cellStyle name="20% - Accent1 10 3 2 2 2 3" xfId="24094" xr:uid="{00000000-0005-0000-0000-000041000000}"/>
    <cellStyle name="20% - Accent1 10 3 2 2 3" xfId="12610" xr:uid="{00000000-0005-0000-0000-000042000000}"/>
    <cellStyle name="20% - Accent1 10 3 2 2 4" xfId="20565" xr:uid="{00000000-0005-0000-0000-000043000000}"/>
    <cellStyle name="20% - Accent1 10 3 2 3" xfId="6418" xr:uid="{00000000-0005-0000-0000-000044000000}"/>
    <cellStyle name="20% - Accent1 10 3 2 3 2" xfId="14390" xr:uid="{00000000-0005-0000-0000-000045000000}"/>
    <cellStyle name="20% - Accent1 10 3 2 3 3" xfId="22337" xr:uid="{00000000-0005-0000-0000-000046000000}"/>
    <cellStyle name="20% - Accent1 10 3 2 4" xfId="10854" xr:uid="{00000000-0005-0000-0000-000047000000}"/>
    <cellStyle name="20% - Accent1 10 3 2 5" xfId="18809" xr:uid="{00000000-0005-0000-0000-000048000000}"/>
    <cellStyle name="20% - Accent1 10 3 2_Exh G" xfId="1947" xr:uid="{00000000-0005-0000-0000-000049000000}"/>
    <cellStyle name="20% - Accent1 10 3 3" xfId="3707" xr:uid="{00000000-0005-0000-0000-00004A000000}"/>
    <cellStyle name="20% - Accent1 10 3 3 2" xfId="7299" xr:uid="{00000000-0005-0000-0000-00004B000000}"/>
    <cellStyle name="20% - Accent1 10 3 3 2 2" xfId="15270" xr:uid="{00000000-0005-0000-0000-00004C000000}"/>
    <cellStyle name="20% - Accent1 10 3 3 2 3" xfId="23216" xr:uid="{00000000-0005-0000-0000-00004D000000}"/>
    <cellStyle name="20% - Accent1 10 3 3 3" xfId="11732" xr:uid="{00000000-0005-0000-0000-00004E000000}"/>
    <cellStyle name="20% - Accent1 10 3 3 4" xfId="19687" xr:uid="{00000000-0005-0000-0000-00004F000000}"/>
    <cellStyle name="20% - Accent1 10 3 4" xfId="5527" xr:uid="{00000000-0005-0000-0000-000050000000}"/>
    <cellStyle name="20% - Accent1 10 3 4 2" xfId="13511" xr:uid="{00000000-0005-0000-0000-000051000000}"/>
    <cellStyle name="20% - Accent1 10 3 4 3" xfId="21459" xr:uid="{00000000-0005-0000-0000-000052000000}"/>
    <cellStyle name="20% - Accent1 10 3 5" xfId="9080" xr:uid="{00000000-0005-0000-0000-000053000000}"/>
    <cellStyle name="20% - Accent1 10 3 5 2" xfId="17038" xr:uid="{00000000-0005-0000-0000-000054000000}"/>
    <cellStyle name="20% - Accent1 10 3 5 3" xfId="24982" xr:uid="{00000000-0005-0000-0000-000055000000}"/>
    <cellStyle name="20% - Accent1 10 3 6" xfId="9976" xr:uid="{00000000-0005-0000-0000-000056000000}"/>
    <cellStyle name="20% - Accent1 10 3 7" xfId="17931" xr:uid="{00000000-0005-0000-0000-000057000000}"/>
    <cellStyle name="20% - Accent1 10 3_Exh G" xfId="1946" xr:uid="{00000000-0005-0000-0000-000058000000}"/>
    <cellStyle name="20% - Accent1 10 4" xfId="862" xr:uid="{00000000-0005-0000-0000-000059000000}"/>
    <cellStyle name="20% - Accent1 10 5" xfId="1053" xr:uid="{00000000-0005-0000-0000-00005A000000}"/>
    <cellStyle name="20% - Accent1 10 5 2" xfId="4583" xr:uid="{00000000-0005-0000-0000-00005B000000}"/>
    <cellStyle name="20% - Accent1 10 5 2 2" xfId="8174" xr:uid="{00000000-0005-0000-0000-00005C000000}"/>
    <cellStyle name="20% - Accent1 10 5 2 2 2" xfId="16145" xr:uid="{00000000-0005-0000-0000-00005D000000}"/>
    <cellStyle name="20% - Accent1 10 5 2 2 3" xfId="24091" xr:uid="{00000000-0005-0000-0000-00005E000000}"/>
    <cellStyle name="20% - Accent1 10 5 2 3" xfId="12607" xr:uid="{00000000-0005-0000-0000-00005F000000}"/>
    <cellStyle name="20% - Accent1 10 5 2 4" xfId="20562" xr:uid="{00000000-0005-0000-0000-000060000000}"/>
    <cellStyle name="20% - Accent1 10 5 3" xfId="6415" xr:uid="{00000000-0005-0000-0000-000061000000}"/>
    <cellStyle name="20% - Accent1 10 5 3 2" xfId="14387" xr:uid="{00000000-0005-0000-0000-000062000000}"/>
    <cellStyle name="20% - Accent1 10 5 3 3" xfId="22334" xr:uid="{00000000-0005-0000-0000-000063000000}"/>
    <cellStyle name="20% - Accent1 10 5 4" xfId="10851" xr:uid="{00000000-0005-0000-0000-000064000000}"/>
    <cellStyle name="20% - Accent1 10 5 5" xfId="18806" xr:uid="{00000000-0005-0000-0000-000065000000}"/>
    <cellStyle name="20% - Accent1 10 5_Exh G" xfId="1948" xr:uid="{00000000-0005-0000-0000-000066000000}"/>
    <cellStyle name="20% - Accent1 10 6" xfId="3704" xr:uid="{00000000-0005-0000-0000-000067000000}"/>
    <cellStyle name="20% - Accent1 10 6 2" xfId="7296" xr:uid="{00000000-0005-0000-0000-000068000000}"/>
    <cellStyle name="20% - Accent1 10 6 2 2" xfId="15267" xr:uid="{00000000-0005-0000-0000-000069000000}"/>
    <cellStyle name="20% - Accent1 10 6 2 3" xfId="23213" xr:uid="{00000000-0005-0000-0000-00006A000000}"/>
    <cellStyle name="20% - Accent1 10 6 3" xfId="11729" xr:uid="{00000000-0005-0000-0000-00006B000000}"/>
    <cellStyle name="20% - Accent1 10 6 4" xfId="19684" xr:uid="{00000000-0005-0000-0000-00006C000000}"/>
    <cellStyle name="20% - Accent1 10 7" xfId="5524" xr:uid="{00000000-0005-0000-0000-00006D000000}"/>
    <cellStyle name="20% - Accent1 10 7 2" xfId="13508" xr:uid="{00000000-0005-0000-0000-00006E000000}"/>
    <cellStyle name="20% - Accent1 10 7 3" xfId="21456" xr:uid="{00000000-0005-0000-0000-00006F000000}"/>
    <cellStyle name="20% - Accent1 10 8" xfId="9077" xr:uid="{00000000-0005-0000-0000-000070000000}"/>
    <cellStyle name="20% - Accent1 10 8 2" xfId="17035" xr:uid="{00000000-0005-0000-0000-000071000000}"/>
    <cellStyle name="20% - Accent1 10 8 3" xfId="24979" xr:uid="{00000000-0005-0000-0000-000072000000}"/>
    <cellStyle name="20% - Accent1 10 9" xfId="9973" xr:uid="{00000000-0005-0000-0000-000073000000}"/>
    <cellStyle name="20% - Accent1 10_Exh G" xfId="1941" xr:uid="{00000000-0005-0000-0000-000074000000}"/>
    <cellStyle name="20% - Accent1 11" xfId="29" xr:uid="{00000000-0005-0000-0000-000075000000}"/>
    <cellStyle name="20% - Accent1 11 2" xfId="30" xr:uid="{00000000-0005-0000-0000-000076000000}"/>
    <cellStyle name="20% - Accent1 11 2 2" xfId="31" xr:uid="{00000000-0005-0000-0000-000077000000}"/>
    <cellStyle name="20% - Accent1 11 2 2 2" xfId="1059" xr:uid="{00000000-0005-0000-0000-000078000000}"/>
    <cellStyle name="20% - Accent1 11 2 2 2 2" xfId="4589" xr:uid="{00000000-0005-0000-0000-000079000000}"/>
    <cellStyle name="20% - Accent1 11 2 2 2 2 2" xfId="8180" xr:uid="{00000000-0005-0000-0000-00007A000000}"/>
    <cellStyle name="20% - Accent1 11 2 2 2 2 2 2" xfId="16151" xr:uid="{00000000-0005-0000-0000-00007B000000}"/>
    <cellStyle name="20% - Accent1 11 2 2 2 2 2 3" xfId="24097" xr:uid="{00000000-0005-0000-0000-00007C000000}"/>
    <cellStyle name="20% - Accent1 11 2 2 2 2 3" xfId="12613" xr:uid="{00000000-0005-0000-0000-00007D000000}"/>
    <cellStyle name="20% - Accent1 11 2 2 2 2 4" xfId="20568" xr:uid="{00000000-0005-0000-0000-00007E000000}"/>
    <cellStyle name="20% - Accent1 11 2 2 2 3" xfId="6421" xr:uid="{00000000-0005-0000-0000-00007F000000}"/>
    <cellStyle name="20% - Accent1 11 2 2 2 3 2" xfId="14393" xr:uid="{00000000-0005-0000-0000-000080000000}"/>
    <cellStyle name="20% - Accent1 11 2 2 2 3 3" xfId="22340" xr:uid="{00000000-0005-0000-0000-000081000000}"/>
    <cellStyle name="20% - Accent1 11 2 2 2 4" xfId="10857" xr:uid="{00000000-0005-0000-0000-000082000000}"/>
    <cellStyle name="20% - Accent1 11 2 2 2 5" xfId="18812" xr:uid="{00000000-0005-0000-0000-000083000000}"/>
    <cellStyle name="20% - Accent1 11 2 2 2_Exh G" xfId="1952" xr:uid="{00000000-0005-0000-0000-000084000000}"/>
    <cellStyle name="20% - Accent1 11 2 2 3" xfId="3710" xr:uid="{00000000-0005-0000-0000-000085000000}"/>
    <cellStyle name="20% - Accent1 11 2 2 3 2" xfId="7302" xr:uid="{00000000-0005-0000-0000-000086000000}"/>
    <cellStyle name="20% - Accent1 11 2 2 3 2 2" xfId="15273" xr:uid="{00000000-0005-0000-0000-000087000000}"/>
    <cellStyle name="20% - Accent1 11 2 2 3 2 3" xfId="23219" xr:uid="{00000000-0005-0000-0000-000088000000}"/>
    <cellStyle name="20% - Accent1 11 2 2 3 3" xfId="11735" xr:uid="{00000000-0005-0000-0000-000089000000}"/>
    <cellStyle name="20% - Accent1 11 2 2 3 4" xfId="19690" xr:uid="{00000000-0005-0000-0000-00008A000000}"/>
    <cellStyle name="20% - Accent1 11 2 2 4" xfId="5530" xr:uid="{00000000-0005-0000-0000-00008B000000}"/>
    <cellStyle name="20% - Accent1 11 2 2 4 2" xfId="13514" xr:uid="{00000000-0005-0000-0000-00008C000000}"/>
    <cellStyle name="20% - Accent1 11 2 2 4 3" xfId="21462" xr:uid="{00000000-0005-0000-0000-00008D000000}"/>
    <cellStyle name="20% - Accent1 11 2 2 5" xfId="9083" xr:uid="{00000000-0005-0000-0000-00008E000000}"/>
    <cellStyle name="20% - Accent1 11 2 2 5 2" xfId="17041" xr:uid="{00000000-0005-0000-0000-00008F000000}"/>
    <cellStyle name="20% - Accent1 11 2 2 5 3" xfId="24985" xr:uid="{00000000-0005-0000-0000-000090000000}"/>
    <cellStyle name="20% - Accent1 11 2 2 6" xfId="9979" xr:uid="{00000000-0005-0000-0000-000091000000}"/>
    <cellStyle name="20% - Accent1 11 2 2 7" xfId="17934" xr:uid="{00000000-0005-0000-0000-000092000000}"/>
    <cellStyle name="20% - Accent1 11 2 2_Exh G" xfId="1951" xr:uid="{00000000-0005-0000-0000-000093000000}"/>
    <cellStyle name="20% - Accent1 11 2 3" xfId="1058" xr:uid="{00000000-0005-0000-0000-000094000000}"/>
    <cellStyle name="20% - Accent1 11 2 3 2" xfId="4588" xr:uid="{00000000-0005-0000-0000-000095000000}"/>
    <cellStyle name="20% - Accent1 11 2 3 2 2" xfId="8179" xr:uid="{00000000-0005-0000-0000-000096000000}"/>
    <cellStyle name="20% - Accent1 11 2 3 2 2 2" xfId="16150" xr:uid="{00000000-0005-0000-0000-000097000000}"/>
    <cellStyle name="20% - Accent1 11 2 3 2 2 3" xfId="24096" xr:uid="{00000000-0005-0000-0000-000098000000}"/>
    <cellStyle name="20% - Accent1 11 2 3 2 3" xfId="12612" xr:uid="{00000000-0005-0000-0000-000099000000}"/>
    <cellStyle name="20% - Accent1 11 2 3 2 4" xfId="20567" xr:uid="{00000000-0005-0000-0000-00009A000000}"/>
    <cellStyle name="20% - Accent1 11 2 3 3" xfId="6420" xr:uid="{00000000-0005-0000-0000-00009B000000}"/>
    <cellStyle name="20% - Accent1 11 2 3 3 2" xfId="14392" xr:uid="{00000000-0005-0000-0000-00009C000000}"/>
    <cellStyle name="20% - Accent1 11 2 3 3 3" xfId="22339" xr:uid="{00000000-0005-0000-0000-00009D000000}"/>
    <cellStyle name="20% - Accent1 11 2 3 4" xfId="10856" xr:uid="{00000000-0005-0000-0000-00009E000000}"/>
    <cellStyle name="20% - Accent1 11 2 3 5" xfId="18811" xr:uid="{00000000-0005-0000-0000-00009F000000}"/>
    <cellStyle name="20% - Accent1 11 2 3_Exh G" xfId="1953" xr:uid="{00000000-0005-0000-0000-0000A0000000}"/>
    <cellStyle name="20% - Accent1 11 2 4" xfId="3709" xr:uid="{00000000-0005-0000-0000-0000A1000000}"/>
    <cellStyle name="20% - Accent1 11 2 4 2" xfId="7301" xr:uid="{00000000-0005-0000-0000-0000A2000000}"/>
    <cellStyle name="20% - Accent1 11 2 4 2 2" xfId="15272" xr:uid="{00000000-0005-0000-0000-0000A3000000}"/>
    <cellStyle name="20% - Accent1 11 2 4 2 3" xfId="23218" xr:uid="{00000000-0005-0000-0000-0000A4000000}"/>
    <cellStyle name="20% - Accent1 11 2 4 3" xfId="11734" xr:uid="{00000000-0005-0000-0000-0000A5000000}"/>
    <cellStyle name="20% - Accent1 11 2 4 4" xfId="19689" xr:uid="{00000000-0005-0000-0000-0000A6000000}"/>
    <cellStyle name="20% - Accent1 11 2 5" xfId="5529" xr:uid="{00000000-0005-0000-0000-0000A7000000}"/>
    <cellStyle name="20% - Accent1 11 2 5 2" xfId="13513" xr:uid="{00000000-0005-0000-0000-0000A8000000}"/>
    <cellStyle name="20% - Accent1 11 2 5 3" xfId="21461" xr:uid="{00000000-0005-0000-0000-0000A9000000}"/>
    <cellStyle name="20% - Accent1 11 2 6" xfId="9082" xr:uid="{00000000-0005-0000-0000-0000AA000000}"/>
    <cellStyle name="20% - Accent1 11 2 6 2" xfId="17040" xr:uid="{00000000-0005-0000-0000-0000AB000000}"/>
    <cellStyle name="20% - Accent1 11 2 6 3" xfId="24984" xr:uid="{00000000-0005-0000-0000-0000AC000000}"/>
    <cellStyle name="20% - Accent1 11 2 7" xfId="9978" xr:uid="{00000000-0005-0000-0000-0000AD000000}"/>
    <cellStyle name="20% - Accent1 11 2 8" xfId="17933" xr:uid="{00000000-0005-0000-0000-0000AE000000}"/>
    <cellStyle name="20% - Accent1 11 2_Exh G" xfId="1950" xr:uid="{00000000-0005-0000-0000-0000AF000000}"/>
    <cellStyle name="20% - Accent1 11 3" xfId="32" xr:uid="{00000000-0005-0000-0000-0000B0000000}"/>
    <cellStyle name="20% - Accent1 11 3 2" xfId="1060" xr:uid="{00000000-0005-0000-0000-0000B1000000}"/>
    <cellStyle name="20% - Accent1 11 3 2 2" xfId="4590" xr:uid="{00000000-0005-0000-0000-0000B2000000}"/>
    <cellStyle name="20% - Accent1 11 3 2 2 2" xfId="8181" xr:uid="{00000000-0005-0000-0000-0000B3000000}"/>
    <cellStyle name="20% - Accent1 11 3 2 2 2 2" xfId="16152" xr:uid="{00000000-0005-0000-0000-0000B4000000}"/>
    <cellStyle name="20% - Accent1 11 3 2 2 2 3" xfId="24098" xr:uid="{00000000-0005-0000-0000-0000B5000000}"/>
    <cellStyle name="20% - Accent1 11 3 2 2 3" xfId="12614" xr:uid="{00000000-0005-0000-0000-0000B6000000}"/>
    <cellStyle name="20% - Accent1 11 3 2 2 4" xfId="20569" xr:uid="{00000000-0005-0000-0000-0000B7000000}"/>
    <cellStyle name="20% - Accent1 11 3 2 3" xfId="6422" xr:uid="{00000000-0005-0000-0000-0000B8000000}"/>
    <cellStyle name="20% - Accent1 11 3 2 3 2" xfId="14394" xr:uid="{00000000-0005-0000-0000-0000B9000000}"/>
    <cellStyle name="20% - Accent1 11 3 2 3 3" xfId="22341" xr:uid="{00000000-0005-0000-0000-0000BA000000}"/>
    <cellStyle name="20% - Accent1 11 3 2 4" xfId="10858" xr:uid="{00000000-0005-0000-0000-0000BB000000}"/>
    <cellStyle name="20% - Accent1 11 3 2 5" xfId="18813" xr:uid="{00000000-0005-0000-0000-0000BC000000}"/>
    <cellStyle name="20% - Accent1 11 3 2_Exh G" xfId="1955" xr:uid="{00000000-0005-0000-0000-0000BD000000}"/>
    <cellStyle name="20% - Accent1 11 3 3" xfId="3711" xr:uid="{00000000-0005-0000-0000-0000BE000000}"/>
    <cellStyle name="20% - Accent1 11 3 3 2" xfId="7303" xr:uid="{00000000-0005-0000-0000-0000BF000000}"/>
    <cellStyle name="20% - Accent1 11 3 3 2 2" xfId="15274" xr:uid="{00000000-0005-0000-0000-0000C0000000}"/>
    <cellStyle name="20% - Accent1 11 3 3 2 3" xfId="23220" xr:uid="{00000000-0005-0000-0000-0000C1000000}"/>
    <cellStyle name="20% - Accent1 11 3 3 3" xfId="11736" xr:uid="{00000000-0005-0000-0000-0000C2000000}"/>
    <cellStyle name="20% - Accent1 11 3 3 4" xfId="19691" xr:uid="{00000000-0005-0000-0000-0000C3000000}"/>
    <cellStyle name="20% - Accent1 11 3 4" xfId="5531" xr:uid="{00000000-0005-0000-0000-0000C4000000}"/>
    <cellStyle name="20% - Accent1 11 3 4 2" xfId="13515" xr:uid="{00000000-0005-0000-0000-0000C5000000}"/>
    <cellStyle name="20% - Accent1 11 3 4 3" xfId="21463" xr:uid="{00000000-0005-0000-0000-0000C6000000}"/>
    <cellStyle name="20% - Accent1 11 3 5" xfId="9084" xr:uid="{00000000-0005-0000-0000-0000C7000000}"/>
    <cellStyle name="20% - Accent1 11 3 5 2" xfId="17042" xr:uid="{00000000-0005-0000-0000-0000C8000000}"/>
    <cellStyle name="20% - Accent1 11 3 5 3" xfId="24986" xr:uid="{00000000-0005-0000-0000-0000C9000000}"/>
    <cellStyle name="20% - Accent1 11 3 6" xfId="9980" xr:uid="{00000000-0005-0000-0000-0000CA000000}"/>
    <cellStyle name="20% - Accent1 11 3 7" xfId="17935" xr:uid="{00000000-0005-0000-0000-0000CB000000}"/>
    <cellStyle name="20% - Accent1 11 3_Exh G" xfId="1954" xr:uid="{00000000-0005-0000-0000-0000CC000000}"/>
    <cellStyle name="20% - Accent1 11 4" xfId="1057" xr:uid="{00000000-0005-0000-0000-0000CD000000}"/>
    <cellStyle name="20% - Accent1 11 4 2" xfId="4587" xr:uid="{00000000-0005-0000-0000-0000CE000000}"/>
    <cellStyle name="20% - Accent1 11 4 2 2" xfId="8178" xr:uid="{00000000-0005-0000-0000-0000CF000000}"/>
    <cellStyle name="20% - Accent1 11 4 2 2 2" xfId="16149" xr:uid="{00000000-0005-0000-0000-0000D0000000}"/>
    <cellStyle name="20% - Accent1 11 4 2 2 3" xfId="24095" xr:uid="{00000000-0005-0000-0000-0000D1000000}"/>
    <cellStyle name="20% - Accent1 11 4 2 3" xfId="12611" xr:uid="{00000000-0005-0000-0000-0000D2000000}"/>
    <cellStyle name="20% - Accent1 11 4 2 4" xfId="20566" xr:uid="{00000000-0005-0000-0000-0000D3000000}"/>
    <cellStyle name="20% - Accent1 11 4 3" xfId="6419" xr:uid="{00000000-0005-0000-0000-0000D4000000}"/>
    <cellStyle name="20% - Accent1 11 4 3 2" xfId="14391" xr:uid="{00000000-0005-0000-0000-0000D5000000}"/>
    <cellStyle name="20% - Accent1 11 4 3 3" xfId="22338" xr:uid="{00000000-0005-0000-0000-0000D6000000}"/>
    <cellStyle name="20% - Accent1 11 4 4" xfId="10855" xr:uid="{00000000-0005-0000-0000-0000D7000000}"/>
    <cellStyle name="20% - Accent1 11 4 5" xfId="18810" xr:uid="{00000000-0005-0000-0000-0000D8000000}"/>
    <cellStyle name="20% - Accent1 11 4_Exh G" xfId="1956" xr:uid="{00000000-0005-0000-0000-0000D9000000}"/>
    <cellStyle name="20% - Accent1 11 5" xfId="3708" xr:uid="{00000000-0005-0000-0000-0000DA000000}"/>
    <cellStyle name="20% - Accent1 11 5 2" xfId="7300" xr:uid="{00000000-0005-0000-0000-0000DB000000}"/>
    <cellStyle name="20% - Accent1 11 5 2 2" xfId="15271" xr:uid="{00000000-0005-0000-0000-0000DC000000}"/>
    <cellStyle name="20% - Accent1 11 5 2 3" xfId="23217" xr:uid="{00000000-0005-0000-0000-0000DD000000}"/>
    <cellStyle name="20% - Accent1 11 5 3" xfId="11733" xr:uid="{00000000-0005-0000-0000-0000DE000000}"/>
    <cellStyle name="20% - Accent1 11 5 4" xfId="19688" xr:uid="{00000000-0005-0000-0000-0000DF000000}"/>
    <cellStyle name="20% - Accent1 11 6" xfId="5528" xr:uid="{00000000-0005-0000-0000-0000E0000000}"/>
    <cellStyle name="20% - Accent1 11 6 2" xfId="13512" xr:uid="{00000000-0005-0000-0000-0000E1000000}"/>
    <cellStyle name="20% - Accent1 11 6 3" xfId="21460" xr:uid="{00000000-0005-0000-0000-0000E2000000}"/>
    <cellStyle name="20% - Accent1 11 7" xfId="9081" xr:uid="{00000000-0005-0000-0000-0000E3000000}"/>
    <cellStyle name="20% - Accent1 11 7 2" xfId="17039" xr:uid="{00000000-0005-0000-0000-0000E4000000}"/>
    <cellStyle name="20% - Accent1 11 7 3" xfId="24983" xr:uid="{00000000-0005-0000-0000-0000E5000000}"/>
    <cellStyle name="20% - Accent1 11 8" xfId="9977" xr:uid="{00000000-0005-0000-0000-0000E6000000}"/>
    <cellStyle name="20% - Accent1 11 9" xfId="17932" xr:uid="{00000000-0005-0000-0000-0000E7000000}"/>
    <cellStyle name="20% - Accent1 11_Exh G" xfId="1949" xr:uid="{00000000-0005-0000-0000-0000E8000000}"/>
    <cellStyle name="20% - Accent1 12" xfId="33" xr:uid="{00000000-0005-0000-0000-0000E9000000}"/>
    <cellStyle name="20% - Accent1 12 2" xfId="34" xr:uid="{00000000-0005-0000-0000-0000EA000000}"/>
    <cellStyle name="20% - Accent1 12 2 2" xfId="35" xr:uid="{00000000-0005-0000-0000-0000EB000000}"/>
    <cellStyle name="20% - Accent1 12 2 2 2" xfId="1063" xr:uid="{00000000-0005-0000-0000-0000EC000000}"/>
    <cellStyle name="20% - Accent1 12 2 2 2 2" xfId="4593" xr:uid="{00000000-0005-0000-0000-0000ED000000}"/>
    <cellStyle name="20% - Accent1 12 2 2 2 2 2" xfId="8184" xr:uid="{00000000-0005-0000-0000-0000EE000000}"/>
    <cellStyle name="20% - Accent1 12 2 2 2 2 2 2" xfId="16155" xr:uid="{00000000-0005-0000-0000-0000EF000000}"/>
    <cellStyle name="20% - Accent1 12 2 2 2 2 2 3" xfId="24101" xr:uid="{00000000-0005-0000-0000-0000F0000000}"/>
    <cellStyle name="20% - Accent1 12 2 2 2 2 3" xfId="12617" xr:uid="{00000000-0005-0000-0000-0000F1000000}"/>
    <cellStyle name="20% - Accent1 12 2 2 2 2 4" xfId="20572" xr:uid="{00000000-0005-0000-0000-0000F2000000}"/>
    <cellStyle name="20% - Accent1 12 2 2 2 3" xfId="6425" xr:uid="{00000000-0005-0000-0000-0000F3000000}"/>
    <cellStyle name="20% - Accent1 12 2 2 2 3 2" xfId="14397" xr:uid="{00000000-0005-0000-0000-0000F4000000}"/>
    <cellStyle name="20% - Accent1 12 2 2 2 3 3" xfId="22344" xr:uid="{00000000-0005-0000-0000-0000F5000000}"/>
    <cellStyle name="20% - Accent1 12 2 2 2 4" xfId="10861" xr:uid="{00000000-0005-0000-0000-0000F6000000}"/>
    <cellStyle name="20% - Accent1 12 2 2 2 5" xfId="18816" xr:uid="{00000000-0005-0000-0000-0000F7000000}"/>
    <cellStyle name="20% - Accent1 12 2 2 2_Exh G" xfId="1960" xr:uid="{00000000-0005-0000-0000-0000F8000000}"/>
    <cellStyle name="20% - Accent1 12 2 2 3" xfId="3714" xr:uid="{00000000-0005-0000-0000-0000F9000000}"/>
    <cellStyle name="20% - Accent1 12 2 2 3 2" xfId="7306" xr:uid="{00000000-0005-0000-0000-0000FA000000}"/>
    <cellStyle name="20% - Accent1 12 2 2 3 2 2" xfId="15277" xr:uid="{00000000-0005-0000-0000-0000FB000000}"/>
    <cellStyle name="20% - Accent1 12 2 2 3 2 3" xfId="23223" xr:uid="{00000000-0005-0000-0000-0000FC000000}"/>
    <cellStyle name="20% - Accent1 12 2 2 3 3" xfId="11739" xr:uid="{00000000-0005-0000-0000-0000FD000000}"/>
    <cellStyle name="20% - Accent1 12 2 2 3 4" xfId="19694" xr:uid="{00000000-0005-0000-0000-0000FE000000}"/>
    <cellStyle name="20% - Accent1 12 2 2 4" xfId="5534" xr:uid="{00000000-0005-0000-0000-0000FF000000}"/>
    <cellStyle name="20% - Accent1 12 2 2 4 2" xfId="13518" xr:uid="{00000000-0005-0000-0000-000000010000}"/>
    <cellStyle name="20% - Accent1 12 2 2 4 3" xfId="21466" xr:uid="{00000000-0005-0000-0000-000001010000}"/>
    <cellStyle name="20% - Accent1 12 2 2 5" xfId="9087" xr:uid="{00000000-0005-0000-0000-000002010000}"/>
    <cellStyle name="20% - Accent1 12 2 2 5 2" xfId="17045" xr:uid="{00000000-0005-0000-0000-000003010000}"/>
    <cellStyle name="20% - Accent1 12 2 2 5 3" xfId="24989" xr:uid="{00000000-0005-0000-0000-000004010000}"/>
    <cellStyle name="20% - Accent1 12 2 2 6" xfId="9983" xr:uid="{00000000-0005-0000-0000-000005010000}"/>
    <cellStyle name="20% - Accent1 12 2 2 7" xfId="17938" xr:uid="{00000000-0005-0000-0000-000006010000}"/>
    <cellStyle name="20% - Accent1 12 2 2_Exh G" xfId="1959" xr:uid="{00000000-0005-0000-0000-000007010000}"/>
    <cellStyle name="20% - Accent1 12 2 3" xfId="1062" xr:uid="{00000000-0005-0000-0000-000008010000}"/>
    <cellStyle name="20% - Accent1 12 2 3 2" xfId="4592" xr:uid="{00000000-0005-0000-0000-000009010000}"/>
    <cellStyle name="20% - Accent1 12 2 3 2 2" xfId="8183" xr:uid="{00000000-0005-0000-0000-00000A010000}"/>
    <cellStyle name="20% - Accent1 12 2 3 2 2 2" xfId="16154" xr:uid="{00000000-0005-0000-0000-00000B010000}"/>
    <cellStyle name="20% - Accent1 12 2 3 2 2 3" xfId="24100" xr:uid="{00000000-0005-0000-0000-00000C010000}"/>
    <cellStyle name="20% - Accent1 12 2 3 2 3" xfId="12616" xr:uid="{00000000-0005-0000-0000-00000D010000}"/>
    <cellStyle name="20% - Accent1 12 2 3 2 4" xfId="20571" xr:uid="{00000000-0005-0000-0000-00000E010000}"/>
    <cellStyle name="20% - Accent1 12 2 3 3" xfId="6424" xr:uid="{00000000-0005-0000-0000-00000F010000}"/>
    <cellStyle name="20% - Accent1 12 2 3 3 2" xfId="14396" xr:uid="{00000000-0005-0000-0000-000010010000}"/>
    <cellStyle name="20% - Accent1 12 2 3 3 3" xfId="22343" xr:uid="{00000000-0005-0000-0000-000011010000}"/>
    <cellStyle name="20% - Accent1 12 2 3 4" xfId="10860" xr:uid="{00000000-0005-0000-0000-000012010000}"/>
    <cellStyle name="20% - Accent1 12 2 3 5" xfId="18815" xr:uid="{00000000-0005-0000-0000-000013010000}"/>
    <cellStyle name="20% - Accent1 12 2 3_Exh G" xfId="1961" xr:uid="{00000000-0005-0000-0000-000014010000}"/>
    <cellStyle name="20% - Accent1 12 2 4" xfId="3713" xr:uid="{00000000-0005-0000-0000-000015010000}"/>
    <cellStyle name="20% - Accent1 12 2 4 2" xfId="7305" xr:uid="{00000000-0005-0000-0000-000016010000}"/>
    <cellStyle name="20% - Accent1 12 2 4 2 2" xfId="15276" xr:uid="{00000000-0005-0000-0000-000017010000}"/>
    <cellStyle name="20% - Accent1 12 2 4 2 3" xfId="23222" xr:uid="{00000000-0005-0000-0000-000018010000}"/>
    <cellStyle name="20% - Accent1 12 2 4 3" xfId="11738" xr:uid="{00000000-0005-0000-0000-000019010000}"/>
    <cellStyle name="20% - Accent1 12 2 4 4" xfId="19693" xr:uid="{00000000-0005-0000-0000-00001A010000}"/>
    <cellStyle name="20% - Accent1 12 2 5" xfId="5533" xr:uid="{00000000-0005-0000-0000-00001B010000}"/>
    <cellStyle name="20% - Accent1 12 2 5 2" xfId="13517" xr:uid="{00000000-0005-0000-0000-00001C010000}"/>
    <cellStyle name="20% - Accent1 12 2 5 3" xfId="21465" xr:uid="{00000000-0005-0000-0000-00001D010000}"/>
    <cellStyle name="20% - Accent1 12 2 6" xfId="9086" xr:uid="{00000000-0005-0000-0000-00001E010000}"/>
    <cellStyle name="20% - Accent1 12 2 6 2" xfId="17044" xr:uid="{00000000-0005-0000-0000-00001F010000}"/>
    <cellStyle name="20% - Accent1 12 2 6 3" xfId="24988" xr:uid="{00000000-0005-0000-0000-000020010000}"/>
    <cellStyle name="20% - Accent1 12 2 7" xfId="9982" xr:uid="{00000000-0005-0000-0000-000021010000}"/>
    <cellStyle name="20% - Accent1 12 2 8" xfId="17937" xr:uid="{00000000-0005-0000-0000-000022010000}"/>
    <cellStyle name="20% - Accent1 12 2_Exh G" xfId="1958" xr:uid="{00000000-0005-0000-0000-000023010000}"/>
    <cellStyle name="20% - Accent1 12 3" xfId="36" xr:uid="{00000000-0005-0000-0000-000024010000}"/>
    <cellStyle name="20% - Accent1 12 3 2" xfId="1064" xr:uid="{00000000-0005-0000-0000-000025010000}"/>
    <cellStyle name="20% - Accent1 12 3 2 2" xfId="4594" xr:uid="{00000000-0005-0000-0000-000026010000}"/>
    <cellStyle name="20% - Accent1 12 3 2 2 2" xfId="8185" xr:uid="{00000000-0005-0000-0000-000027010000}"/>
    <cellStyle name="20% - Accent1 12 3 2 2 2 2" xfId="16156" xr:uid="{00000000-0005-0000-0000-000028010000}"/>
    <cellStyle name="20% - Accent1 12 3 2 2 2 3" xfId="24102" xr:uid="{00000000-0005-0000-0000-000029010000}"/>
    <cellStyle name="20% - Accent1 12 3 2 2 3" xfId="12618" xr:uid="{00000000-0005-0000-0000-00002A010000}"/>
    <cellStyle name="20% - Accent1 12 3 2 2 4" xfId="20573" xr:uid="{00000000-0005-0000-0000-00002B010000}"/>
    <cellStyle name="20% - Accent1 12 3 2 3" xfId="6426" xr:uid="{00000000-0005-0000-0000-00002C010000}"/>
    <cellStyle name="20% - Accent1 12 3 2 3 2" xfId="14398" xr:uid="{00000000-0005-0000-0000-00002D010000}"/>
    <cellStyle name="20% - Accent1 12 3 2 3 3" xfId="22345" xr:uid="{00000000-0005-0000-0000-00002E010000}"/>
    <cellStyle name="20% - Accent1 12 3 2 4" xfId="10862" xr:uid="{00000000-0005-0000-0000-00002F010000}"/>
    <cellStyle name="20% - Accent1 12 3 2 5" xfId="18817" xr:uid="{00000000-0005-0000-0000-000030010000}"/>
    <cellStyle name="20% - Accent1 12 3 2_Exh G" xfId="1963" xr:uid="{00000000-0005-0000-0000-000031010000}"/>
    <cellStyle name="20% - Accent1 12 3 3" xfId="3715" xr:uid="{00000000-0005-0000-0000-000032010000}"/>
    <cellStyle name="20% - Accent1 12 3 3 2" xfId="7307" xr:uid="{00000000-0005-0000-0000-000033010000}"/>
    <cellStyle name="20% - Accent1 12 3 3 2 2" xfId="15278" xr:uid="{00000000-0005-0000-0000-000034010000}"/>
    <cellStyle name="20% - Accent1 12 3 3 2 3" xfId="23224" xr:uid="{00000000-0005-0000-0000-000035010000}"/>
    <cellStyle name="20% - Accent1 12 3 3 3" xfId="11740" xr:uid="{00000000-0005-0000-0000-000036010000}"/>
    <cellStyle name="20% - Accent1 12 3 3 4" xfId="19695" xr:uid="{00000000-0005-0000-0000-000037010000}"/>
    <cellStyle name="20% - Accent1 12 3 4" xfId="5535" xr:uid="{00000000-0005-0000-0000-000038010000}"/>
    <cellStyle name="20% - Accent1 12 3 4 2" xfId="13519" xr:uid="{00000000-0005-0000-0000-000039010000}"/>
    <cellStyle name="20% - Accent1 12 3 4 3" xfId="21467" xr:uid="{00000000-0005-0000-0000-00003A010000}"/>
    <cellStyle name="20% - Accent1 12 3 5" xfId="9088" xr:uid="{00000000-0005-0000-0000-00003B010000}"/>
    <cellStyle name="20% - Accent1 12 3 5 2" xfId="17046" xr:uid="{00000000-0005-0000-0000-00003C010000}"/>
    <cellStyle name="20% - Accent1 12 3 5 3" xfId="24990" xr:uid="{00000000-0005-0000-0000-00003D010000}"/>
    <cellStyle name="20% - Accent1 12 3 6" xfId="9984" xr:uid="{00000000-0005-0000-0000-00003E010000}"/>
    <cellStyle name="20% - Accent1 12 3 7" xfId="17939" xr:uid="{00000000-0005-0000-0000-00003F010000}"/>
    <cellStyle name="20% - Accent1 12 3_Exh G" xfId="1962" xr:uid="{00000000-0005-0000-0000-000040010000}"/>
    <cellStyle name="20% - Accent1 12 4" xfId="1061" xr:uid="{00000000-0005-0000-0000-000041010000}"/>
    <cellStyle name="20% - Accent1 12 4 2" xfId="4591" xr:uid="{00000000-0005-0000-0000-000042010000}"/>
    <cellStyle name="20% - Accent1 12 4 2 2" xfId="8182" xr:uid="{00000000-0005-0000-0000-000043010000}"/>
    <cellStyle name="20% - Accent1 12 4 2 2 2" xfId="16153" xr:uid="{00000000-0005-0000-0000-000044010000}"/>
    <cellStyle name="20% - Accent1 12 4 2 2 3" xfId="24099" xr:uid="{00000000-0005-0000-0000-000045010000}"/>
    <cellStyle name="20% - Accent1 12 4 2 3" xfId="12615" xr:uid="{00000000-0005-0000-0000-000046010000}"/>
    <cellStyle name="20% - Accent1 12 4 2 4" xfId="20570" xr:uid="{00000000-0005-0000-0000-000047010000}"/>
    <cellStyle name="20% - Accent1 12 4 3" xfId="6423" xr:uid="{00000000-0005-0000-0000-000048010000}"/>
    <cellStyle name="20% - Accent1 12 4 3 2" xfId="14395" xr:uid="{00000000-0005-0000-0000-000049010000}"/>
    <cellStyle name="20% - Accent1 12 4 3 3" xfId="22342" xr:uid="{00000000-0005-0000-0000-00004A010000}"/>
    <cellStyle name="20% - Accent1 12 4 4" xfId="10859" xr:uid="{00000000-0005-0000-0000-00004B010000}"/>
    <cellStyle name="20% - Accent1 12 4 5" xfId="18814" xr:uid="{00000000-0005-0000-0000-00004C010000}"/>
    <cellStyle name="20% - Accent1 12 4_Exh G" xfId="1964" xr:uid="{00000000-0005-0000-0000-00004D010000}"/>
    <cellStyle name="20% - Accent1 12 5" xfId="3712" xr:uid="{00000000-0005-0000-0000-00004E010000}"/>
    <cellStyle name="20% - Accent1 12 5 2" xfId="7304" xr:uid="{00000000-0005-0000-0000-00004F010000}"/>
    <cellStyle name="20% - Accent1 12 5 2 2" xfId="15275" xr:uid="{00000000-0005-0000-0000-000050010000}"/>
    <cellStyle name="20% - Accent1 12 5 2 3" xfId="23221" xr:uid="{00000000-0005-0000-0000-000051010000}"/>
    <cellStyle name="20% - Accent1 12 5 3" xfId="11737" xr:uid="{00000000-0005-0000-0000-000052010000}"/>
    <cellStyle name="20% - Accent1 12 5 4" xfId="19692" xr:uid="{00000000-0005-0000-0000-000053010000}"/>
    <cellStyle name="20% - Accent1 12 6" xfId="5532" xr:uid="{00000000-0005-0000-0000-000054010000}"/>
    <cellStyle name="20% - Accent1 12 6 2" xfId="13516" xr:uid="{00000000-0005-0000-0000-000055010000}"/>
    <cellStyle name="20% - Accent1 12 6 3" xfId="21464" xr:uid="{00000000-0005-0000-0000-000056010000}"/>
    <cellStyle name="20% - Accent1 12 7" xfId="9085" xr:uid="{00000000-0005-0000-0000-000057010000}"/>
    <cellStyle name="20% - Accent1 12 7 2" xfId="17043" xr:uid="{00000000-0005-0000-0000-000058010000}"/>
    <cellStyle name="20% - Accent1 12 7 3" xfId="24987" xr:uid="{00000000-0005-0000-0000-000059010000}"/>
    <cellStyle name="20% - Accent1 12 8" xfId="9981" xr:uid="{00000000-0005-0000-0000-00005A010000}"/>
    <cellStyle name="20% - Accent1 12 9" xfId="17936" xr:uid="{00000000-0005-0000-0000-00005B010000}"/>
    <cellStyle name="20% - Accent1 12_Exh G" xfId="1957" xr:uid="{00000000-0005-0000-0000-00005C010000}"/>
    <cellStyle name="20% - Accent1 13" xfId="37" xr:uid="{00000000-0005-0000-0000-00005D010000}"/>
    <cellStyle name="20% - Accent1 13 2" xfId="38" xr:uid="{00000000-0005-0000-0000-00005E010000}"/>
    <cellStyle name="20% - Accent1 13 2 2" xfId="39" xr:uid="{00000000-0005-0000-0000-00005F010000}"/>
    <cellStyle name="20% - Accent1 13 2 2 2" xfId="1067" xr:uid="{00000000-0005-0000-0000-000060010000}"/>
    <cellStyle name="20% - Accent1 13 2 2 2 2" xfId="4597" xr:uid="{00000000-0005-0000-0000-000061010000}"/>
    <cellStyle name="20% - Accent1 13 2 2 2 2 2" xfId="8188" xr:uid="{00000000-0005-0000-0000-000062010000}"/>
    <cellStyle name="20% - Accent1 13 2 2 2 2 2 2" xfId="16159" xr:uid="{00000000-0005-0000-0000-000063010000}"/>
    <cellStyle name="20% - Accent1 13 2 2 2 2 2 3" xfId="24105" xr:uid="{00000000-0005-0000-0000-000064010000}"/>
    <cellStyle name="20% - Accent1 13 2 2 2 2 3" xfId="12621" xr:uid="{00000000-0005-0000-0000-000065010000}"/>
    <cellStyle name="20% - Accent1 13 2 2 2 2 4" xfId="20576" xr:uid="{00000000-0005-0000-0000-000066010000}"/>
    <cellStyle name="20% - Accent1 13 2 2 2 3" xfId="6429" xr:uid="{00000000-0005-0000-0000-000067010000}"/>
    <cellStyle name="20% - Accent1 13 2 2 2 3 2" xfId="14401" xr:uid="{00000000-0005-0000-0000-000068010000}"/>
    <cellStyle name="20% - Accent1 13 2 2 2 3 3" xfId="22348" xr:uid="{00000000-0005-0000-0000-000069010000}"/>
    <cellStyle name="20% - Accent1 13 2 2 2 4" xfId="10865" xr:uid="{00000000-0005-0000-0000-00006A010000}"/>
    <cellStyle name="20% - Accent1 13 2 2 2 5" xfId="18820" xr:uid="{00000000-0005-0000-0000-00006B010000}"/>
    <cellStyle name="20% - Accent1 13 2 2 2_Exh G" xfId="1968" xr:uid="{00000000-0005-0000-0000-00006C010000}"/>
    <cellStyle name="20% - Accent1 13 2 2 3" xfId="3718" xr:uid="{00000000-0005-0000-0000-00006D010000}"/>
    <cellStyle name="20% - Accent1 13 2 2 3 2" xfId="7310" xr:uid="{00000000-0005-0000-0000-00006E010000}"/>
    <cellStyle name="20% - Accent1 13 2 2 3 2 2" xfId="15281" xr:uid="{00000000-0005-0000-0000-00006F010000}"/>
    <cellStyle name="20% - Accent1 13 2 2 3 2 3" xfId="23227" xr:uid="{00000000-0005-0000-0000-000070010000}"/>
    <cellStyle name="20% - Accent1 13 2 2 3 3" xfId="11743" xr:uid="{00000000-0005-0000-0000-000071010000}"/>
    <cellStyle name="20% - Accent1 13 2 2 3 4" xfId="19698" xr:uid="{00000000-0005-0000-0000-000072010000}"/>
    <cellStyle name="20% - Accent1 13 2 2 4" xfId="5538" xr:uid="{00000000-0005-0000-0000-000073010000}"/>
    <cellStyle name="20% - Accent1 13 2 2 4 2" xfId="13522" xr:uid="{00000000-0005-0000-0000-000074010000}"/>
    <cellStyle name="20% - Accent1 13 2 2 4 3" xfId="21470" xr:uid="{00000000-0005-0000-0000-000075010000}"/>
    <cellStyle name="20% - Accent1 13 2 2 5" xfId="9091" xr:uid="{00000000-0005-0000-0000-000076010000}"/>
    <cellStyle name="20% - Accent1 13 2 2 5 2" xfId="17049" xr:uid="{00000000-0005-0000-0000-000077010000}"/>
    <cellStyle name="20% - Accent1 13 2 2 5 3" xfId="24993" xr:uid="{00000000-0005-0000-0000-000078010000}"/>
    <cellStyle name="20% - Accent1 13 2 2 6" xfId="9987" xr:uid="{00000000-0005-0000-0000-000079010000}"/>
    <cellStyle name="20% - Accent1 13 2 2 7" xfId="17942" xr:uid="{00000000-0005-0000-0000-00007A010000}"/>
    <cellStyle name="20% - Accent1 13 2 2_Exh G" xfId="1967" xr:uid="{00000000-0005-0000-0000-00007B010000}"/>
    <cellStyle name="20% - Accent1 13 2 3" xfId="1066" xr:uid="{00000000-0005-0000-0000-00007C010000}"/>
    <cellStyle name="20% - Accent1 13 2 3 2" xfId="4596" xr:uid="{00000000-0005-0000-0000-00007D010000}"/>
    <cellStyle name="20% - Accent1 13 2 3 2 2" xfId="8187" xr:uid="{00000000-0005-0000-0000-00007E010000}"/>
    <cellStyle name="20% - Accent1 13 2 3 2 2 2" xfId="16158" xr:uid="{00000000-0005-0000-0000-00007F010000}"/>
    <cellStyle name="20% - Accent1 13 2 3 2 2 3" xfId="24104" xr:uid="{00000000-0005-0000-0000-000080010000}"/>
    <cellStyle name="20% - Accent1 13 2 3 2 3" xfId="12620" xr:uid="{00000000-0005-0000-0000-000081010000}"/>
    <cellStyle name="20% - Accent1 13 2 3 2 4" xfId="20575" xr:uid="{00000000-0005-0000-0000-000082010000}"/>
    <cellStyle name="20% - Accent1 13 2 3 3" xfId="6428" xr:uid="{00000000-0005-0000-0000-000083010000}"/>
    <cellStyle name="20% - Accent1 13 2 3 3 2" xfId="14400" xr:uid="{00000000-0005-0000-0000-000084010000}"/>
    <cellStyle name="20% - Accent1 13 2 3 3 3" xfId="22347" xr:uid="{00000000-0005-0000-0000-000085010000}"/>
    <cellStyle name="20% - Accent1 13 2 3 4" xfId="10864" xr:uid="{00000000-0005-0000-0000-000086010000}"/>
    <cellStyle name="20% - Accent1 13 2 3 5" xfId="18819" xr:uid="{00000000-0005-0000-0000-000087010000}"/>
    <cellStyle name="20% - Accent1 13 2 3_Exh G" xfId="1969" xr:uid="{00000000-0005-0000-0000-000088010000}"/>
    <cellStyle name="20% - Accent1 13 2 4" xfId="3717" xr:uid="{00000000-0005-0000-0000-000089010000}"/>
    <cellStyle name="20% - Accent1 13 2 4 2" xfId="7309" xr:uid="{00000000-0005-0000-0000-00008A010000}"/>
    <cellStyle name="20% - Accent1 13 2 4 2 2" xfId="15280" xr:uid="{00000000-0005-0000-0000-00008B010000}"/>
    <cellStyle name="20% - Accent1 13 2 4 2 3" xfId="23226" xr:uid="{00000000-0005-0000-0000-00008C010000}"/>
    <cellStyle name="20% - Accent1 13 2 4 3" xfId="11742" xr:uid="{00000000-0005-0000-0000-00008D010000}"/>
    <cellStyle name="20% - Accent1 13 2 4 4" xfId="19697" xr:uid="{00000000-0005-0000-0000-00008E010000}"/>
    <cellStyle name="20% - Accent1 13 2 5" xfId="5537" xr:uid="{00000000-0005-0000-0000-00008F010000}"/>
    <cellStyle name="20% - Accent1 13 2 5 2" xfId="13521" xr:uid="{00000000-0005-0000-0000-000090010000}"/>
    <cellStyle name="20% - Accent1 13 2 5 3" xfId="21469" xr:uid="{00000000-0005-0000-0000-000091010000}"/>
    <cellStyle name="20% - Accent1 13 2 6" xfId="9090" xr:uid="{00000000-0005-0000-0000-000092010000}"/>
    <cellStyle name="20% - Accent1 13 2 6 2" xfId="17048" xr:uid="{00000000-0005-0000-0000-000093010000}"/>
    <cellStyle name="20% - Accent1 13 2 6 3" xfId="24992" xr:uid="{00000000-0005-0000-0000-000094010000}"/>
    <cellStyle name="20% - Accent1 13 2 7" xfId="9986" xr:uid="{00000000-0005-0000-0000-000095010000}"/>
    <cellStyle name="20% - Accent1 13 2 8" xfId="17941" xr:uid="{00000000-0005-0000-0000-000096010000}"/>
    <cellStyle name="20% - Accent1 13 2_Exh G" xfId="1966" xr:uid="{00000000-0005-0000-0000-000097010000}"/>
    <cellStyle name="20% - Accent1 13 3" xfId="40" xr:uid="{00000000-0005-0000-0000-000098010000}"/>
    <cellStyle name="20% - Accent1 13 3 2" xfId="1068" xr:uid="{00000000-0005-0000-0000-000099010000}"/>
    <cellStyle name="20% - Accent1 13 3 2 2" xfId="4598" xr:uid="{00000000-0005-0000-0000-00009A010000}"/>
    <cellStyle name="20% - Accent1 13 3 2 2 2" xfId="8189" xr:uid="{00000000-0005-0000-0000-00009B010000}"/>
    <cellStyle name="20% - Accent1 13 3 2 2 2 2" xfId="16160" xr:uid="{00000000-0005-0000-0000-00009C010000}"/>
    <cellStyle name="20% - Accent1 13 3 2 2 2 3" xfId="24106" xr:uid="{00000000-0005-0000-0000-00009D010000}"/>
    <cellStyle name="20% - Accent1 13 3 2 2 3" xfId="12622" xr:uid="{00000000-0005-0000-0000-00009E010000}"/>
    <cellStyle name="20% - Accent1 13 3 2 2 4" xfId="20577" xr:uid="{00000000-0005-0000-0000-00009F010000}"/>
    <cellStyle name="20% - Accent1 13 3 2 3" xfId="6430" xr:uid="{00000000-0005-0000-0000-0000A0010000}"/>
    <cellStyle name="20% - Accent1 13 3 2 3 2" xfId="14402" xr:uid="{00000000-0005-0000-0000-0000A1010000}"/>
    <cellStyle name="20% - Accent1 13 3 2 3 3" xfId="22349" xr:uid="{00000000-0005-0000-0000-0000A2010000}"/>
    <cellStyle name="20% - Accent1 13 3 2 4" xfId="10866" xr:uid="{00000000-0005-0000-0000-0000A3010000}"/>
    <cellStyle name="20% - Accent1 13 3 2 5" xfId="18821" xr:uid="{00000000-0005-0000-0000-0000A4010000}"/>
    <cellStyle name="20% - Accent1 13 3 2_Exh G" xfId="1971" xr:uid="{00000000-0005-0000-0000-0000A5010000}"/>
    <cellStyle name="20% - Accent1 13 3 3" xfId="3719" xr:uid="{00000000-0005-0000-0000-0000A6010000}"/>
    <cellStyle name="20% - Accent1 13 3 3 2" xfId="7311" xr:uid="{00000000-0005-0000-0000-0000A7010000}"/>
    <cellStyle name="20% - Accent1 13 3 3 2 2" xfId="15282" xr:uid="{00000000-0005-0000-0000-0000A8010000}"/>
    <cellStyle name="20% - Accent1 13 3 3 2 3" xfId="23228" xr:uid="{00000000-0005-0000-0000-0000A9010000}"/>
    <cellStyle name="20% - Accent1 13 3 3 3" xfId="11744" xr:uid="{00000000-0005-0000-0000-0000AA010000}"/>
    <cellStyle name="20% - Accent1 13 3 3 4" xfId="19699" xr:uid="{00000000-0005-0000-0000-0000AB010000}"/>
    <cellStyle name="20% - Accent1 13 3 4" xfId="5539" xr:uid="{00000000-0005-0000-0000-0000AC010000}"/>
    <cellStyle name="20% - Accent1 13 3 4 2" xfId="13523" xr:uid="{00000000-0005-0000-0000-0000AD010000}"/>
    <cellStyle name="20% - Accent1 13 3 4 3" xfId="21471" xr:uid="{00000000-0005-0000-0000-0000AE010000}"/>
    <cellStyle name="20% - Accent1 13 3 5" xfId="9092" xr:uid="{00000000-0005-0000-0000-0000AF010000}"/>
    <cellStyle name="20% - Accent1 13 3 5 2" xfId="17050" xr:uid="{00000000-0005-0000-0000-0000B0010000}"/>
    <cellStyle name="20% - Accent1 13 3 5 3" xfId="24994" xr:uid="{00000000-0005-0000-0000-0000B1010000}"/>
    <cellStyle name="20% - Accent1 13 3 6" xfId="9988" xr:uid="{00000000-0005-0000-0000-0000B2010000}"/>
    <cellStyle name="20% - Accent1 13 3 7" xfId="17943" xr:uid="{00000000-0005-0000-0000-0000B3010000}"/>
    <cellStyle name="20% - Accent1 13 3_Exh G" xfId="1970" xr:uid="{00000000-0005-0000-0000-0000B4010000}"/>
    <cellStyle name="20% - Accent1 13 4" xfId="1065" xr:uid="{00000000-0005-0000-0000-0000B5010000}"/>
    <cellStyle name="20% - Accent1 13 4 2" xfId="4595" xr:uid="{00000000-0005-0000-0000-0000B6010000}"/>
    <cellStyle name="20% - Accent1 13 4 2 2" xfId="8186" xr:uid="{00000000-0005-0000-0000-0000B7010000}"/>
    <cellStyle name="20% - Accent1 13 4 2 2 2" xfId="16157" xr:uid="{00000000-0005-0000-0000-0000B8010000}"/>
    <cellStyle name="20% - Accent1 13 4 2 2 3" xfId="24103" xr:uid="{00000000-0005-0000-0000-0000B9010000}"/>
    <cellStyle name="20% - Accent1 13 4 2 3" xfId="12619" xr:uid="{00000000-0005-0000-0000-0000BA010000}"/>
    <cellStyle name="20% - Accent1 13 4 2 4" xfId="20574" xr:uid="{00000000-0005-0000-0000-0000BB010000}"/>
    <cellStyle name="20% - Accent1 13 4 3" xfId="6427" xr:uid="{00000000-0005-0000-0000-0000BC010000}"/>
    <cellStyle name="20% - Accent1 13 4 3 2" xfId="14399" xr:uid="{00000000-0005-0000-0000-0000BD010000}"/>
    <cellStyle name="20% - Accent1 13 4 3 3" xfId="22346" xr:uid="{00000000-0005-0000-0000-0000BE010000}"/>
    <cellStyle name="20% - Accent1 13 4 4" xfId="10863" xr:uid="{00000000-0005-0000-0000-0000BF010000}"/>
    <cellStyle name="20% - Accent1 13 4 5" xfId="18818" xr:uid="{00000000-0005-0000-0000-0000C0010000}"/>
    <cellStyle name="20% - Accent1 13 4_Exh G" xfId="1972" xr:uid="{00000000-0005-0000-0000-0000C1010000}"/>
    <cellStyle name="20% - Accent1 13 5" xfId="3716" xr:uid="{00000000-0005-0000-0000-0000C2010000}"/>
    <cellStyle name="20% - Accent1 13 5 2" xfId="7308" xr:uid="{00000000-0005-0000-0000-0000C3010000}"/>
    <cellStyle name="20% - Accent1 13 5 2 2" xfId="15279" xr:uid="{00000000-0005-0000-0000-0000C4010000}"/>
    <cellStyle name="20% - Accent1 13 5 2 3" xfId="23225" xr:uid="{00000000-0005-0000-0000-0000C5010000}"/>
    <cellStyle name="20% - Accent1 13 5 3" xfId="11741" xr:uid="{00000000-0005-0000-0000-0000C6010000}"/>
    <cellStyle name="20% - Accent1 13 5 4" xfId="19696" xr:uid="{00000000-0005-0000-0000-0000C7010000}"/>
    <cellStyle name="20% - Accent1 13 6" xfId="5536" xr:uid="{00000000-0005-0000-0000-0000C8010000}"/>
    <cellStyle name="20% - Accent1 13 6 2" xfId="13520" xr:uid="{00000000-0005-0000-0000-0000C9010000}"/>
    <cellStyle name="20% - Accent1 13 6 3" xfId="21468" xr:uid="{00000000-0005-0000-0000-0000CA010000}"/>
    <cellStyle name="20% - Accent1 13 7" xfId="9089" xr:uid="{00000000-0005-0000-0000-0000CB010000}"/>
    <cellStyle name="20% - Accent1 13 7 2" xfId="17047" xr:uid="{00000000-0005-0000-0000-0000CC010000}"/>
    <cellStyle name="20% - Accent1 13 7 3" xfId="24991" xr:uid="{00000000-0005-0000-0000-0000CD010000}"/>
    <cellStyle name="20% - Accent1 13 8" xfId="9985" xr:uid="{00000000-0005-0000-0000-0000CE010000}"/>
    <cellStyle name="20% - Accent1 13 9" xfId="17940" xr:uid="{00000000-0005-0000-0000-0000CF010000}"/>
    <cellStyle name="20% - Accent1 13_Exh G" xfId="1965" xr:uid="{00000000-0005-0000-0000-0000D0010000}"/>
    <cellStyle name="20% - Accent1 14" xfId="41" xr:uid="{00000000-0005-0000-0000-0000D1010000}"/>
    <cellStyle name="20% - Accent1 14 2" xfId="42" xr:uid="{00000000-0005-0000-0000-0000D2010000}"/>
    <cellStyle name="20% - Accent1 14 2 2" xfId="1070" xr:uid="{00000000-0005-0000-0000-0000D3010000}"/>
    <cellStyle name="20% - Accent1 14 2 2 2" xfId="4600" xr:uid="{00000000-0005-0000-0000-0000D4010000}"/>
    <cellStyle name="20% - Accent1 14 2 2 2 2" xfId="8191" xr:uid="{00000000-0005-0000-0000-0000D5010000}"/>
    <cellStyle name="20% - Accent1 14 2 2 2 2 2" xfId="16162" xr:uid="{00000000-0005-0000-0000-0000D6010000}"/>
    <cellStyle name="20% - Accent1 14 2 2 2 2 3" xfId="24108" xr:uid="{00000000-0005-0000-0000-0000D7010000}"/>
    <cellStyle name="20% - Accent1 14 2 2 2 3" xfId="12624" xr:uid="{00000000-0005-0000-0000-0000D8010000}"/>
    <cellStyle name="20% - Accent1 14 2 2 2 4" xfId="20579" xr:uid="{00000000-0005-0000-0000-0000D9010000}"/>
    <cellStyle name="20% - Accent1 14 2 2 3" xfId="6432" xr:uid="{00000000-0005-0000-0000-0000DA010000}"/>
    <cellStyle name="20% - Accent1 14 2 2 3 2" xfId="14404" xr:uid="{00000000-0005-0000-0000-0000DB010000}"/>
    <cellStyle name="20% - Accent1 14 2 2 3 3" xfId="22351" xr:uid="{00000000-0005-0000-0000-0000DC010000}"/>
    <cellStyle name="20% - Accent1 14 2 2 4" xfId="10868" xr:uid="{00000000-0005-0000-0000-0000DD010000}"/>
    <cellStyle name="20% - Accent1 14 2 2 5" xfId="18823" xr:uid="{00000000-0005-0000-0000-0000DE010000}"/>
    <cellStyle name="20% - Accent1 14 2 2_Exh G" xfId="1975" xr:uid="{00000000-0005-0000-0000-0000DF010000}"/>
    <cellStyle name="20% - Accent1 14 2 3" xfId="3721" xr:uid="{00000000-0005-0000-0000-0000E0010000}"/>
    <cellStyle name="20% - Accent1 14 2 3 2" xfId="7313" xr:uid="{00000000-0005-0000-0000-0000E1010000}"/>
    <cellStyle name="20% - Accent1 14 2 3 2 2" xfId="15284" xr:uid="{00000000-0005-0000-0000-0000E2010000}"/>
    <cellStyle name="20% - Accent1 14 2 3 2 3" xfId="23230" xr:uid="{00000000-0005-0000-0000-0000E3010000}"/>
    <cellStyle name="20% - Accent1 14 2 3 3" xfId="11746" xr:uid="{00000000-0005-0000-0000-0000E4010000}"/>
    <cellStyle name="20% - Accent1 14 2 3 4" xfId="19701" xr:uid="{00000000-0005-0000-0000-0000E5010000}"/>
    <cellStyle name="20% - Accent1 14 2 4" xfId="5541" xr:uid="{00000000-0005-0000-0000-0000E6010000}"/>
    <cellStyle name="20% - Accent1 14 2 4 2" xfId="13525" xr:uid="{00000000-0005-0000-0000-0000E7010000}"/>
    <cellStyle name="20% - Accent1 14 2 4 3" xfId="21473" xr:uid="{00000000-0005-0000-0000-0000E8010000}"/>
    <cellStyle name="20% - Accent1 14 2 5" xfId="9094" xr:uid="{00000000-0005-0000-0000-0000E9010000}"/>
    <cellStyle name="20% - Accent1 14 2 5 2" xfId="17052" xr:uid="{00000000-0005-0000-0000-0000EA010000}"/>
    <cellStyle name="20% - Accent1 14 2 5 3" xfId="24996" xr:uid="{00000000-0005-0000-0000-0000EB010000}"/>
    <cellStyle name="20% - Accent1 14 2 6" xfId="9990" xr:uid="{00000000-0005-0000-0000-0000EC010000}"/>
    <cellStyle name="20% - Accent1 14 2 7" xfId="17945" xr:uid="{00000000-0005-0000-0000-0000ED010000}"/>
    <cellStyle name="20% - Accent1 14 2_Exh G" xfId="1974" xr:uid="{00000000-0005-0000-0000-0000EE010000}"/>
    <cellStyle name="20% - Accent1 14 3" xfId="1069" xr:uid="{00000000-0005-0000-0000-0000EF010000}"/>
    <cellStyle name="20% - Accent1 14 3 2" xfId="4599" xr:uid="{00000000-0005-0000-0000-0000F0010000}"/>
    <cellStyle name="20% - Accent1 14 3 2 2" xfId="8190" xr:uid="{00000000-0005-0000-0000-0000F1010000}"/>
    <cellStyle name="20% - Accent1 14 3 2 2 2" xfId="16161" xr:uid="{00000000-0005-0000-0000-0000F2010000}"/>
    <cellStyle name="20% - Accent1 14 3 2 2 3" xfId="24107" xr:uid="{00000000-0005-0000-0000-0000F3010000}"/>
    <cellStyle name="20% - Accent1 14 3 2 3" xfId="12623" xr:uid="{00000000-0005-0000-0000-0000F4010000}"/>
    <cellStyle name="20% - Accent1 14 3 2 4" xfId="20578" xr:uid="{00000000-0005-0000-0000-0000F5010000}"/>
    <cellStyle name="20% - Accent1 14 3 3" xfId="6431" xr:uid="{00000000-0005-0000-0000-0000F6010000}"/>
    <cellStyle name="20% - Accent1 14 3 3 2" xfId="14403" xr:uid="{00000000-0005-0000-0000-0000F7010000}"/>
    <cellStyle name="20% - Accent1 14 3 3 3" xfId="22350" xr:uid="{00000000-0005-0000-0000-0000F8010000}"/>
    <cellStyle name="20% - Accent1 14 3 4" xfId="10867" xr:uid="{00000000-0005-0000-0000-0000F9010000}"/>
    <cellStyle name="20% - Accent1 14 3 5" xfId="18822" xr:uid="{00000000-0005-0000-0000-0000FA010000}"/>
    <cellStyle name="20% - Accent1 14 3_Exh G" xfId="1976" xr:uid="{00000000-0005-0000-0000-0000FB010000}"/>
    <cellStyle name="20% - Accent1 14 4" xfId="3720" xr:uid="{00000000-0005-0000-0000-0000FC010000}"/>
    <cellStyle name="20% - Accent1 14 4 2" xfId="7312" xr:uid="{00000000-0005-0000-0000-0000FD010000}"/>
    <cellStyle name="20% - Accent1 14 4 2 2" xfId="15283" xr:uid="{00000000-0005-0000-0000-0000FE010000}"/>
    <cellStyle name="20% - Accent1 14 4 2 3" xfId="23229" xr:uid="{00000000-0005-0000-0000-0000FF010000}"/>
    <cellStyle name="20% - Accent1 14 4 3" xfId="11745" xr:uid="{00000000-0005-0000-0000-000000020000}"/>
    <cellStyle name="20% - Accent1 14 4 4" xfId="19700" xr:uid="{00000000-0005-0000-0000-000001020000}"/>
    <cellStyle name="20% - Accent1 14 5" xfId="5540" xr:uid="{00000000-0005-0000-0000-000002020000}"/>
    <cellStyle name="20% - Accent1 14 5 2" xfId="13524" xr:uid="{00000000-0005-0000-0000-000003020000}"/>
    <cellStyle name="20% - Accent1 14 5 3" xfId="21472" xr:uid="{00000000-0005-0000-0000-000004020000}"/>
    <cellStyle name="20% - Accent1 14 6" xfId="9093" xr:uid="{00000000-0005-0000-0000-000005020000}"/>
    <cellStyle name="20% - Accent1 14 6 2" xfId="17051" xr:uid="{00000000-0005-0000-0000-000006020000}"/>
    <cellStyle name="20% - Accent1 14 6 3" xfId="24995" xr:uid="{00000000-0005-0000-0000-000007020000}"/>
    <cellStyle name="20% - Accent1 14 7" xfId="9989" xr:uid="{00000000-0005-0000-0000-000008020000}"/>
    <cellStyle name="20% - Accent1 14 8" xfId="17944" xr:uid="{00000000-0005-0000-0000-000009020000}"/>
    <cellStyle name="20% - Accent1 14_Exh G" xfId="1973" xr:uid="{00000000-0005-0000-0000-00000A020000}"/>
    <cellStyle name="20% - Accent1 15" xfId="43" xr:uid="{00000000-0005-0000-0000-00000B020000}"/>
    <cellStyle name="20% - Accent1 15 2" xfId="1071" xr:uid="{00000000-0005-0000-0000-00000C020000}"/>
    <cellStyle name="20% - Accent1 15 2 2" xfId="4601" xr:uid="{00000000-0005-0000-0000-00000D020000}"/>
    <cellStyle name="20% - Accent1 15 2 2 2" xfId="8192" xr:uid="{00000000-0005-0000-0000-00000E020000}"/>
    <cellStyle name="20% - Accent1 15 2 2 2 2" xfId="16163" xr:uid="{00000000-0005-0000-0000-00000F020000}"/>
    <cellStyle name="20% - Accent1 15 2 2 2 3" xfId="24109" xr:uid="{00000000-0005-0000-0000-000010020000}"/>
    <cellStyle name="20% - Accent1 15 2 2 3" xfId="12625" xr:uid="{00000000-0005-0000-0000-000011020000}"/>
    <cellStyle name="20% - Accent1 15 2 2 4" xfId="20580" xr:uid="{00000000-0005-0000-0000-000012020000}"/>
    <cellStyle name="20% - Accent1 15 2 3" xfId="6433" xr:uid="{00000000-0005-0000-0000-000013020000}"/>
    <cellStyle name="20% - Accent1 15 2 3 2" xfId="14405" xr:uid="{00000000-0005-0000-0000-000014020000}"/>
    <cellStyle name="20% - Accent1 15 2 3 3" xfId="22352" xr:uid="{00000000-0005-0000-0000-000015020000}"/>
    <cellStyle name="20% - Accent1 15 2 4" xfId="10869" xr:uid="{00000000-0005-0000-0000-000016020000}"/>
    <cellStyle name="20% - Accent1 15 2 5" xfId="18824" xr:uid="{00000000-0005-0000-0000-000017020000}"/>
    <cellStyle name="20% - Accent1 15 2_Exh G" xfId="1978" xr:uid="{00000000-0005-0000-0000-000018020000}"/>
    <cellStyle name="20% - Accent1 15 3" xfId="3722" xr:uid="{00000000-0005-0000-0000-000019020000}"/>
    <cellStyle name="20% - Accent1 15 3 2" xfId="7314" xr:uid="{00000000-0005-0000-0000-00001A020000}"/>
    <cellStyle name="20% - Accent1 15 3 2 2" xfId="15285" xr:uid="{00000000-0005-0000-0000-00001B020000}"/>
    <cellStyle name="20% - Accent1 15 3 2 3" xfId="23231" xr:uid="{00000000-0005-0000-0000-00001C020000}"/>
    <cellStyle name="20% - Accent1 15 3 3" xfId="11747" xr:uid="{00000000-0005-0000-0000-00001D020000}"/>
    <cellStyle name="20% - Accent1 15 3 4" xfId="19702" xr:uid="{00000000-0005-0000-0000-00001E020000}"/>
    <cellStyle name="20% - Accent1 15 4" xfId="5542" xr:uid="{00000000-0005-0000-0000-00001F020000}"/>
    <cellStyle name="20% - Accent1 15 4 2" xfId="13526" xr:uid="{00000000-0005-0000-0000-000020020000}"/>
    <cellStyle name="20% - Accent1 15 4 3" xfId="21474" xr:uid="{00000000-0005-0000-0000-000021020000}"/>
    <cellStyle name="20% - Accent1 15 5" xfId="9095" xr:uid="{00000000-0005-0000-0000-000022020000}"/>
    <cellStyle name="20% - Accent1 15 5 2" xfId="17053" xr:uid="{00000000-0005-0000-0000-000023020000}"/>
    <cellStyle name="20% - Accent1 15 5 3" xfId="24997" xr:uid="{00000000-0005-0000-0000-000024020000}"/>
    <cellStyle name="20% - Accent1 15 6" xfId="9991" xr:uid="{00000000-0005-0000-0000-000025020000}"/>
    <cellStyle name="20% - Accent1 15 7" xfId="17946" xr:uid="{00000000-0005-0000-0000-000026020000}"/>
    <cellStyle name="20% - Accent1 15_Exh G" xfId="1977" xr:uid="{00000000-0005-0000-0000-000027020000}"/>
    <cellStyle name="20% - Accent1 16" xfId="843" xr:uid="{00000000-0005-0000-0000-000028020000}"/>
    <cellStyle name="20% - Accent1 16 2" xfId="1782" xr:uid="{00000000-0005-0000-0000-000029020000}"/>
    <cellStyle name="20% - Accent1 16 2 2" xfId="5303" xr:uid="{00000000-0005-0000-0000-00002A020000}"/>
    <cellStyle name="20% - Accent1 16 2 2 2" xfId="8894" xr:uid="{00000000-0005-0000-0000-00002B020000}"/>
    <cellStyle name="20% - Accent1 16 2 2 2 2" xfId="16865" xr:uid="{00000000-0005-0000-0000-00002C020000}"/>
    <cellStyle name="20% - Accent1 16 2 2 2 3" xfId="24811" xr:uid="{00000000-0005-0000-0000-00002D020000}"/>
    <cellStyle name="20% - Accent1 16 2 2 3" xfId="13327" xr:uid="{00000000-0005-0000-0000-00002E020000}"/>
    <cellStyle name="20% - Accent1 16 2 2 4" xfId="21282" xr:uid="{00000000-0005-0000-0000-00002F020000}"/>
    <cellStyle name="20% - Accent1 16 2 3" xfId="7135" xr:uid="{00000000-0005-0000-0000-000030020000}"/>
    <cellStyle name="20% - Accent1 16 2 3 2" xfId="15107" xr:uid="{00000000-0005-0000-0000-000031020000}"/>
    <cellStyle name="20% - Accent1 16 2 3 3" xfId="23054" xr:uid="{00000000-0005-0000-0000-000032020000}"/>
    <cellStyle name="20% - Accent1 16 2 4" xfId="11571" xr:uid="{00000000-0005-0000-0000-000033020000}"/>
    <cellStyle name="20% - Accent1 16 2 5" xfId="19526" xr:uid="{00000000-0005-0000-0000-000034020000}"/>
    <cellStyle name="20% - Accent1 16 2_Exh G" xfId="1980" xr:uid="{00000000-0005-0000-0000-000035020000}"/>
    <cellStyle name="20% - Accent1 16 3" xfId="4424" xr:uid="{00000000-0005-0000-0000-000036020000}"/>
    <cellStyle name="20% - Accent1 16 3 2" xfId="8016" xr:uid="{00000000-0005-0000-0000-000037020000}"/>
    <cellStyle name="20% - Accent1 16 3 2 2" xfId="15987" xr:uid="{00000000-0005-0000-0000-000038020000}"/>
    <cellStyle name="20% - Accent1 16 3 2 3" xfId="23933" xr:uid="{00000000-0005-0000-0000-000039020000}"/>
    <cellStyle name="20% - Accent1 16 3 3" xfId="12449" xr:uid="{00000000-0005-0000-0000-00003A020000}"/>
    <cellStyle name="20% - Accent1 16 3 4" xfId="20404" xr:uid="{00000000-0005-0000-0000-00003B020000}"/>
    <cellStyle name="20% - Accent1 16 4" xfId="6254" xr:uid="{00000000-0005-0000-0000-00003C020000}"/>
    <cellStyle name="20% - Accent1 16 4 2" xfId="14229" xr:uid="{00000000-0005-0000-0000-00003D020000}"/>
    <cellStyle name="20% - Accent1 16 4 3" xfId="22176" xr:uid="{00000000-0005-0000-0000-00003E020000}"/>
    <cellStyle name="20% - Accent1 16 5" xfId="9797" xr:uid="{00000000-0005-0000-0000-00003F020000}"/>
    <cellStyle name="20% - Accent1 16 5 2" xfId="17755" xr:uid="{00000000-0005-0000-0000-000040020000}"/>
    <cellStyle name="20% - Accent1 16 5 3" xfId="25699" xr:uid="{00000000-0005-0000-0000-000041020000}"/>
    <cellStyle name="20% - Accent1 16 6" xfId="10693" xr:uid="{00000000-0005-0000-0000-000042020000}"/>
    <cellStyle name="20% - Accent1 16 7" xfId="18648" xr:uid="{00000000-0005-0000-0000-000043020000}"/>
    <cellStyle name="20% - Accent1 16_Exh G" xfId="1979" xr:uid="{00000000-0005-0000-0000-000044020000}"/>
    <cellStyle name="20% - Accent1 2" xfId="44" xr:uid="{00000000-0005-0000-0000-000045020000}"/>
    <cellStyle name="20% - Accent1 2 10" xfId="17947" xr:uid="{00000000-0005-0000-0000-000046020000}"/>
    <cellStyle name="20% - Accent1 2 2" xfId="45" xr:uid="{00000000-0005-0000-0000-000047020000}"/>
    <cellStyle name="20% - Accent1 2 2 2" xfId="46" xr:uid="{00000000-0005-0000-0000-000048020000}"/>
    <cellStyle name="20% - Accent1 2 2 2 2" xfId="1074" xr:uid="{00000000-0005-0000-0000-000049020000}"/>
    <cellStyle name="20% - Accent1 2 2 2 2 2" xfId="4604" xr:uid="{00000000-0005-0000-0000-00004A020000}"/>
    <cellStyle name="20% - Accent1 2 2 2 2 2 2" xfId="8195" xr:uid="{00000000-0005-0000-0000-00004B020000}"/>
    <cellStyle name="20% - Accent1 2 2 2 2 2 2 2" xfId="16166" xr:uid="{00000000-0005-0000-0000-00004C020000}"/>
    <cellStyle name="20% - Accent1 2 2 2 2 2 2 3" xfId="24112" xr:uid="{00000000-0005-0000-0000-00004D020000}"/>
    <cellStyle name="20% - Accent1 2 2 2 2 2 3" xfId="12628" xr:uid="{00000000-0005-0000-0000-00004E020000}"/>
    <cellStyle name="20% - Accent1 2 2 2 2 2 4" xfId="20583" xr:uid="{00000000-0005-0000-0000-00004F020000}"/>
    <cellStyle name="20% - Accent1 2 2 2 2 3" xfId="6436" xr:uid="{00000000-0005-0000-0000-000050020000}"/>
    <cellStyle name="20% - Accent1 2 2 2 2 3 2" xfId="14408" xr:uid="{00000000-0005-0000-0000-000051020000}"/>
    <cellStyle name="20% - Accent1 2 2 2 2 3 3" xfId="22355" xr:uid="{00000000-0005-0000-0000-000052020000}"/>
    <cellStyle name="20% - Accent1 2 2 2 2 4" xfId="10872" xr:uid="{00000000-0005-0000-0000-000053020000}"/>
    <cellStyle name="20% - Accent1 2 2 2 2 5" xfId="18827" xr:uid="{00000000-0005-0000-0000-000054020000}"/>
    <cellStyle name="20% - Accent1 2 2 2 2_Exh G" xfId="1984" xr:uid="{00000000-0005-0000-0000-000055020000}"/>
    <cellStyle name="20% - Accent1 2 2 2 3" xfId="3725" xr:uid="{00000000-0005-0000-0000-000056020000}"/>
    <cellStyle name="20% - Accent1 2 2 2 3 2" xfId="7317" xr:uid="{00000000-0005-0000-0000-000057020000}"/>
    <cellStyle name="20% - Accent1 2 2 2 3 2 2" xfId="15288" xr:uid="{00000000-0005-0000-0000-000058020000}"/>
    <cellStyle name="20% - Accent1 2 2 2 3 2 3" xfId="23234" xr:uid="{00000000-0005-0000-0000-000059020000}"/>
    <cellStyle name="20% - Accent1 2 2 2 3 3" xfId="11750" xr:uid="{00000000-0005-0000-0000-00005A020000}"/>
    <cellStyle name="20% - Accent1 2 2 2 3 4" xfId="19705" xr:uid="{00000000-0005-0000-0000-00005B020000}"/>
    <cellStyle name="20% - Accent1 2 2 2 4" xfId="5545" xr:uid="{00000000-0005-0000-0000-00005C020000}"/>
    <cellStyle name="20% - Accent1 2 2 2 4 2" xfId="13529" xr:uid="{00000000-0005-0000-0000-00005D020000}"/>
    <cellStyle name="20% - Accent1 2 2 2 4 3" xfId="21477" xr:uid="{00000000-0005-0000-0000-00005E020000}"/>
    <cellStyle name="20% - Accent1 2 2 2 5" xfId="9098" xr:uid="{00000000-0005-0000-0000-00005F020000}"/>
    <cellStyle name="20% - Accent1 2 2 2 5 2" xfId="17056" xr:uid="{00000000-0005-0000-0000-000060020000}"/>
    <cellStyle name="20% - Accent1 2 2 2 5 3" xfId="25000" xr:uid="{00000000-0005-0000-0000-000061020000}"/>
    <cellStyle name="20% - Accent1 2 2 2 6" xfId="9994" xr:uid="{00000000-0005-0000-0000-000062020000}"/>
    <cellStyle name="20% - Accent1 2 2 2 7" xfId="17949" xr:uid="{00000000-0005-0000-0000-000063020000}"/>
    <cellStyle name="20% - Accent1 2 2 2_Exh G" xfId="1983" xr:uid="{00000000-0005-0000-0000-000064020000}"/>
    <cellStyle name="20% - Accent1 2 2 3" xfId="864" xr:uid="{00000000-0005-0000-0000-000065020000}"/>
    <cellStyle name="20% - Accent1 2 2 3 2" xfId="1800" xr:uid="{00000000-0005-0000-0000-000066020000}"/>
    <cellStyle name="20% - Accent1 2 2 3 2 2" xfId="5318" xr:uid="{00000000-0005-0000-0000-000067020000}"/>
    <cellStyle name="20% - Accent1 2 2 3 2 2 2" xfId="8909" xr:uid="{00000000-0005-0000-0000-000068020000}"/>
    <cellStyle name="20% - Accent1 2 2 3 2 2 2 2" xfId="16880" xr:uid="{00000000-0005-0000-0000-000069020000}"/>
    <cellStyle name="20% - Accent1 2 2 3 2 2 2 3" xfId="24826" xr:uid="{00000000-0005-0000-0000-00006A020000}"/>
    <cellStyle name="20% - Accent1 2 2 3 2 2 3" xfId="13342" xr:uid="{00000000-0005-0000-0000-00006B020000}"/>
    <cellStyle name="20% - Accent1 2 2 3 2 2 4" xfId="21297" xr:uid="{00000000-0005-0000-0000-00006C020000}"/>
    <cellStyle name="20% - Accent1 2 2 3 2 3" xfId="7150" xr:uid="{00000000-0005-0000-0000-00006D020000}"/>
    <cellStyle name="20% - Accent1 2 2 3 2 3 2" xfId="15122" xr:uid="{00000000-0005-0000-0000-00006E020000}"/>
    <cellStyle name="20% - Accent1 2 2 3 2 3 3" xfId="23069" xr:uid="{00000000-0005-0000-0000-00006F020000}"/>
    <cellStyle name="20% - Accent1 2 2 3 2 4" xfId="11586" xr:uid="{00000000-0005-0000-0000-000070020000}"/>
    <cellStyle name="20% - Accent1 2 2 3 2 5" xfId="19541" xr:uid="{00000000-0005-0000-0000-000071020000}"/>
    <cellStyle name="20% - Accent1 2 2 3 2_Exh G" xfId="1986" xr:uid="{00000000-0005-0000-0000-000072020000}"/>
    <cellStyle name="20% - Accent1 2 2 3 3" xfId="4439" xr:uid="{00000000-0005-0000-0000-000073020000}"/>
    <cellStyle name="20% - Accent1 2 2 3 3 2" xfId="8031" xr:uid="{00000000-0005-0000-0000-000074020000}"/>
    <cellStyle name="20% - Accent1 2 2 3 3 2 2" xfId="16002" xr:uid="{00000000-0005-0000-0000-000075020000}"/>
    <cellStyle name="20% - Accent1 2 2 3 3 2 3" xfId="23948" xr:uid="{00000000-0005-0000-0000-000076020000}"/>
    <cellStyle name="20% - Accent1 2 2 3 3 3" xfId="12464" xr:uid="{00000000-0005-0000-0000-000077020000}"/>
    <cellStyle name="20% - Accent1 2 2 3 3 4" xfId="20419" xr:uid="{00000000-0005-0000-0000-000078020000}"/>
    <cellStyle name="20% - Accent1 2 2 3 4" xfId="6269" xr:uid="{00000000-0005-0000-0000-000079020000}"/>
    <cellStyle name="20% - Accent1 2 2 3 4 2" xfId="14244" xr:uid="{00000000-0005-0000-0000-00007A020000}"/>
    <cellStyle name="20% - Accent1 2 2 3 4 3" xfId="22191" xr:uid="{00000000-0005-0000-0000-00007B020000}"/>
    <cellStyle name="20% - Accent1 2 2 3 5" xfId="9812" xr:uid="{00000000-0005-0000-0000-00007C020000}"/>
    <cellStyle name="20% - Accent1 2 2 3 5 2" xfId="17770" xr:uid="{00000000-0005-0000-0000-00007D020000}"/>
    <cellStyle name="20% - Accent1 2 2 3 5 3" xfId="25714" xr:uid="{00000000-0005-0000-0000-00007E020000}"/>
    <cellStyle name="20% - Accent1 2 2 3 6" xfId="10708" xr:uid="{00000000-0005-0000-0000-00007F020000}"/>
    <cellStyle name="20% - Accent1 2 2 3 7" xfId="18663" xr:uid="{00000000-0005-0000-0000-000080020000}"/>
    <cellStyle name="20% - Accent1 2 2 3_Exh G" xfId="1985" xr:uid="{00000000-0005-0000-0000-000081020000}"/>
    <cellStyle name="20% - Accent1 2 2 4" xfId="1073" xr:uid="{00000000-0005-0000-0000-000082020000}"/>
    <cellStyle name="20% - Accent1 2 2 4 2" xfId="4603" xr:uid="{00000000-0005-0000-0000-000083020000}"/>
    <cellStyle name="20% - Accent1 2 2 4 2 2" xfId="8194" xr:uid="{00000000-0005-0000-0000-000084020000}"/>
    <cellStyle name="20% - Accent1 2 2 4 2 2 2" xfId="16165" xr:uid="{00000000-0005-0000-0000-000085020000}"/>
    <cellStyle name="20% - Accent1 2 2 4 2 2 3" xfId="24111" xr:uid="{00000000-0005-0000-0000-000086020000}"/>
    <cellStyle name="20% - Accent1 2 2 4 2 3" xfId="12627" xr:uid="{00000000-0005-0000-0000-000087020000}"/>
    <cellStyle name="20% - Accent1 2 2 4 2 4" xfId="20582" xr:uid="{00000000-0005-0000-0000-000088020000}"/>
    <cellStyle name="20% - Accent1 2 2 4 3" xfId="6435" xr:uid="{00000000-0005-0000-0000-000089020000}"/>
    <cellStyle name="20% - Accent1 2 2 4 3 2" xfId="14407" xr:uid="{00000000-0005-0000-0000-00008A020000}"/>
    <cellStyle name="20% - Accent1 2 2 4 3 3" xfId="22354" xr:uid="{00000000-0005-0000-0000-00008B020000}"/>
    <cellStyle name="20% - Accent1 2 2 4 4" xfId="10871" xr:uid="{00000000-0005-0000-0000-00008C020000}"/>
    <cellStyle name="20% - Accent1 2 2 4 5" xfId="18826" xr:uid="{00000000-0005-0000-0000-00008D020000}"/>
    <cellStyle name="20% - Accent1 2 2 4_Exh G" xfId="1987" xr:uid="{00000000-0005-0000-0000-00008E020000}"/>
    <cellStyle name="20% - Accent1 2 2 5" xfId="3724" xr:uid="{00000000-0005-0000-0000-00008F020000}"/>
    <cellStyle name="20% - Accent1 2 2 5 2" xfId="7316" xr:uid="{00000000-0005-0000-0000-000090020000}"/>
    <cellStyle name="20% - Accent1 2 2 5 2 2" xfId="15287" xr:uid="{00000000-0005-0000-0000-000091020000}"/>
    <cellStyle name="20% - Accent1 2 2 5 2 3" xfId="23233" xr:uid="{00000000-0005-0000-0000-000092020000}"/>
    <cellStyle name="20% - Accent1 2 2 5 3" xfId="11749" xr:uid="{00000000-0005-0000-0000-000093020000}"/>
    <cellStyle name="20% - Accent1 2 2 5 4" xfId="19704" xr:uid="{00000000-0005-0000-0000-000094020000}"/>
    <cellStyle name="20% - Accent1 2 2 6" xfId="5544" xr:uid="{00000000-0005-0000-0000-000095020000}"/>
    <cellStyle name="20% - Accent1 2 2 6 2" xfId="13528" xr:uid="{00000000-0005-0000-0000-000096020000}"/>
    <cellStyle name="20% - Accent1 2 2 6 3" xfId="21476" xr:uid="{00000000-0005-0000-0000-000097020000}"/>
    <cellStyle name="20% - Accent1 2 2 7" xfId="9097" xr:uid="{00000000-0005-0000-0000-000098020000}"/>
    <cellStyle name="20% - Accent1 2 2 7 2" xfId="17055" xr:uid="{00000000-0005-0000-0000-000099020000}"/>
    <cellStyle name="20% - Accent1 2 2 7 3" xfId="24999" xr:uid="{00000000-0005-0000-0000-00009A020000}"/>
    <cellStyle name="20% - Accent1 2 2 8" xfId="9993" xr:uid="{00000000-0005-0000-0000-00009B020000}"/>
    <cellStyle name="20% - Accent1 2 2 9" xfId="17948" xr:uid="{00000000-0005-0000-0000-00009C020000}"/>
    <cellStyle name="20% - Accent1 2 2_Exh G" xfId="1982" xr:uid="{00000000-0005-0000-0000-00009D020000}"/>
    <cellStyle name="20% - Accent1 2 3" xfId="47" xr:uid="{00000000-0005-0000-0000-00009E020000}"/>
    <cellStyle name="20% - Accent1 2 3 2" xfId="1075" xr:uid="{00000000-0005-0000-0000-00009F020000}"/>
    <cellStyle name="20% - Accent1 2 3 2 2" xfId="4605" xr:uid="{00000000-0005-0000-0000-0000A0020000}"/>
    <cellStyle name="20% - Accent1 2 3 2 2 2" xfId="8196" xr:uid="{00000000-0005-0000-0000-0000A1020000}"/>
    <cellStyle name="20% - Accent1 2 3 2 2 2 2" xfId="16167" xr:uid="{00000000-0005-0000-0000-0000A2020000}"/>
    <cellStyle name="20% - Accent1 2 3 2 2 2 3" xfId="24113" xr:uid="{00000000-0005-0000-0000-0000A3020000}"/>
    <cellStyle name="20% - Accent1 2 3 2 2 3" xfId="12629" xr:uid="{00000000-0005-0000-0000-0000A4020000}"/>
    <cellStyle name="20% - Accent1 2 3 2 2 4" xfId="20584" xr:uid="{00000000-0005-0000-0000-0000A5020000}"/>
    <cellStyle name="20% - Accent1 2 3 2 3" xfId="6437" xr:uid="{00000000-0005-0000-0000-0000A6020000}"/>
    <cellStyle name="20% - Accent1 2 3 2 3 2" xfId="14409" xr:uid="{00000000-0005-0000-0000-0000A7020000}"/>
    <cellStyle name="20% - Accent1 2 3 2 3 3" xfId="22356" xr:uid="{00000000-0005-0000-0000-0000A8020000}"/>
    <cellStyle name="20% - Accent1 2 3 2 4" xfId="10873" xr:uid="{00000000-0005-0000-0000-0000A9020000}"/>
    <cellStyle name="20% - Accent1 2 3 2 5" xfId="18828" xr:uid="{00000000-0005-0000-0000-0000AA020000}"/>
    <cellStyle name="20% - Accent1 2 3 2_Exh G" xfId="1989" xr:uid="{00000000-0005-0000-0000-0000AB020000}"/>
    <cellStyle name="20% - Accent1 2 3 3" xfId="3726" xr:uid="{00000000-0005-0000-0000-0000AC020000}"/>
    <cellStyle name="20% - Accent1 2 3 3 2" xfId="7318" xr:uid="{00000000-0005-0000-0000-0000AD020000}"/>
    <cellStyle name="20% - Accent1 2 3 3 2 2" xfId="15289" xr:uid="{00000000-0005-0000-0000-0000AE020000}"/>
    <cellStyle name="20% - Accent1 2 3 3 2 3" xfId="23235" xr:uid="{00000000-0005-0000-0000-0000AF020000}"/>
    <cellStyle name="20% - Accent1 2 3 3 3" xfId="11751" xr:uid="{00000000-0005-0000-0000-0000B0020000}"/>
    <cellStyle name="20% - Accent1 2 3 3 4" xfId="19706" xr:uid="{00000000-0005-0000-0000-0000B1020000}"/>
    <cellStyle name="20% - Accent1 2 3 4" xfId="5546" xr:uid="{00000000-0005-0000-0000-0000B2020000}"/>
    <cellStyle name="20% - Accent1 2 3 4 2" xfId="13530" xr:uid="{00000000-0005-0000-0000-0000B3020000}"/>
    <cellStyle name="20% - Accent1 2 3 4 3" xfId="21478" xr:uid="{00000000-0005-0000-0000-0000B4020000}"/>
    <cellStyle name="20% - Accent1 2 3 5" xfId="9099" xr:uid="{00000000-0005-0000-0000-0000B5020000}"/>
    <cellStyle name="20% - Accent1 2 3 5 2" xfId="17057" xr:uid="{00000000-0005-0000-0000-0000B6020000}"/>
    <cellStyle name="20% - Accent1 2 3 5 3" xfId="25001" xr:uid="{00000000-0005-0000-0000-0000B7020000}"/>
    <cellStyle name="20% - Accent1 2 3 6" xfId="9995" xr:uid="{00000000-0005-0000-0000-0000B8020000}"/>
    <cellStyle name="20% - Accent1 2 3 7" xfId="17950" xr:uid="{00000000-0005-0000-0000-0000B9020000}"/>
    <cellStyle name="20% - Accent1 2 3_Exh G" xfId="1988" xr:uid="{00000000-0005-0000-0000-0000BA020000}"/>
    <cellStyle name="20% - Accent1 2 4" xfId="863" xr:uid="{00000000-0005-0000-0000-0000BB020000}"/>
    <cellStyle name="20% - Accent1 2 4 2" xfId="1799" xr:uid="{00000000-0005-0000-0000-0000BC020000}"/>
    <cellStyle name="20% - Accent1 2 4 2 2" xfId="5317" xr:uid="{00000000-0005-0000-0000-0000BD020000}"/>
    <cellStyle name="20% - Accent1 2 4 2 2 2" xfId="8908" xr:uid="{00000000-0005-0000-0000-0000BE020000}"/>
    <cellStyle name="20% - Accent1 2 4 2 2 2 2" xfId="16879" xr:uid="{00000000-0005-0000-0000-0000BF020000}"/>
    <cellStyle name="20% - Accent1 2 4 2 2 2 3" xfId="24825" xr:uid="{00000000-0005-0000-0000-0000C0020000}"/>
    <cellStyle name="20% - Accent1 2 4 2 2 3" xfId="13341" xr:uid="{00000000-0005-0000-0000-0000C1020000}"/>
    <cellStyle name="20% - Accent1 2 4 2 2 4" xfId="21296" xr:uid="{00000000-0005-0000-0000-0000C2020000}"/>
    <cellStyle name="20% - Accent1 2 4 2 3" xfId="7149" xr:uid="{00000000-0005-0000-0000-0000C3020000}"/>
    <cellStyle name="20% - Accent1 2 4 2 3 2" xfId="15121" xr:uid="{00000000-0005-0000-0000-0000C4020000}"/>
    <cellStyle name="20% - Accent1 2 4 2 3 3" xfId="23068" xr:uid="{00000000-0005-0000-0000-0000C5020000}"/>
    <cellStyle name="20% - Accent1 2 4 2 4" xfId="11585" xr:uid="{00000000-0005-0000-0000-0000C6020000}"/>
    <cellStyle name="20% - Accent1 2 4 2 5" xfId="19540" xr:uid="{00000000-0005-0000-0000-0000C7020000}"/>
    <cellStyle name="20% - Accent1 2 4 2_Exh G" xfId="1991" xr:uid="{00000000-0005-0000-0000-0000C8020000}"/>
    <cellStyle name="20% - Accent1 2 4 3" xfId="4438" xr:uid="{00000000-0005-0000-0000-0000C9020000}"/>
    <cellStyle name="20% - Accent1 2 4 3 2" xfId="8030" xr:uid="{00000000-0005-0000-0000-0000CA020000}"/>
    <cellStyle name="20% - Accent1 2 4 3 2 2" xfId="16001" xr:uid="{00000000-0005-0000-0000-0000CB020000}"/>
    <cellStyle name="20% - Accent1 2 4 3 2 3" xfId="23947" xr:uid="{00000000-0005-0000-0000-0000CC020000}"/>
    <cellStyle name="20% - Accent1 2 4 3 3" xfId="12463" xr:uid="{00000000-0005-0000-0000-0000CD020000}"/>
    <cellStyle name="20% - Accent1 2 4 3 4" xfId="20418" xr:uid="{00000000-0005-0000-0000-0000CE020000}"/>
    <cellStyle name="20% - Accent1 2 4 4" xfId="6268" xr:uid="{00000000-0005-0000-0000-0000CF020000}"/>
    <cellStyle name="20% - Accent1 2 4 4 2" xfId="14243" xr:uid="{00000000-0005-0000-0000-0000D0020000}"/>
    <cellStyle name="20% - Accent1 2 4 4 3" xfId="22190" xr:uid="{00000000-0005-0000-0000-0000D1020000}"/>
    <cellStyle name="20% - Accent1 2 4 5" xfId="9811" xr:uid="{00000000-0005-0000-0000-0000D2020000}"/>
    <cellStyle name="20% - Accent1 2 4 5 2" xfId="17769" xr:uid="{00000000-0005-0000-0000-0000D3020000}"/>
    <cellStyle name="20% - Accent1 2 4 5 3" xfId="25713" xr:uid="{00000000-0005-0000-0000-0000D4020000}"/>
    <cellStyle name="20% - Accent1 2 4 6" xfId="10707" xr:uid="{00000000-0005-0000-0000-0000D5020000}"/>
    <cellStyle name="20% - Accent1 2 4 7" xfId="18662" xr:uid="{00000000-0005-0000-0000-0000D6020000}"/>
    <cellStyle name="20% - Accent1 2 4_Exh G" xfId="1990" xr:uid="{00000000-0005-0000-0000-0000D7020000}"/>
    <cellStyle name="20% - Accent1 2 5" xfId="1072" xr:uid="{00000000-0005-0000-0000-0000D8020000}"/>
    <cellStyle name="20% - Accent1 2 5 2" xfId="4602" xr:uid="{00000000-0005-0000-0000-0000D9020000}"/>
    <cellStyle name="20% - Accent1 2 5 2 2" xfId="8193" xr:uid="{00000000-0005-0000-0000-0000DA020000}"/>
    <cellStyle name="20% - Accent1 2 5 2 2 2" xfId="16164" xr:uid="{00000000-0005-0000-0000-0000DB020000}"/>
    <cellStyle name="20% - Accent1 2 5 2 2 3" xfId="24110" xr:uid="{00000000-0005-0000-0000-0000DC020000}"/>
    <cellStyle name="20% - Accent1 2 5 2 3" xfId="12626" xr:uid="{00000000-0005-0000-0000-0000DD020000}"/>
    <cellStyle name="20% - Accent1 2 5 2 4" xfId="20581" xr:uid="{00000000-0005-0000-0000-0000DE020000}"/>
    <cellStyle name="20% - Accent1 2 5 3" xfId="6434" xr:uid="{00000000-0005-0000-0000-0000DF020000}"/>
    <cellStyle name="20% - Accent1 2 5 3 2" xfId="14406" xr:uid="{00000000-0005-0000-0000-0000E0020000}"/>
    <cellStyle name="20% - Accent1 2 5 3 3" xfId="22353" xr:uid="{00000000-0005-0000-0000-0000E1020000}"/>
    <cellStyle name="20% - Accent1 2 5 4" xfId="10870" xr:uid="{00000000-0005-0000-0000-0000E2020000}"/>
    <cellStyle name="20% - Accent1 2 5 5" xfId="18825" xr:uid="{00000000-0005-0000-0000-0000E3020000}"/>
    <cellStyle name="20% - Accent1 2 5_Exh G" xfId="1992" xr:uid="{00000000-0005-0000-0000-0000E4020000}"/>
    <cellStyle name="20% - Accent1 2 6" xfId="3723" xr:uid="{00000000-0005-0000-0000-0000E5020000}"/>
    <cellStyle name="20% - Accent1 2 6 2" xfId="7315" xr:uid="{00000000-0005-0000-0000-0000E6020000}"/>
    <cellStyle name="20% - Accent1 2 6 2 2" xfId="15286" xr:uid="{00000000-0005-0000-0000-0000E7020000}"/>
    <cellStyle name="20% - Accent1 2 6 2 3" xfId="23232" xr:uid="{00000000-0005-0000-0000-0000E8020000}"/>
    <cellStyle name="20% - Accent1 2 6 3" xfId="11748" xr:uid="{00000000-0005-0000-0000-0000E9020000}"/>
    <cellStyle name="20% - Accent1 2 6 4" xfId="19703" xr:uid="{00000000-0005-0000-0000-0000EA020000}"/>
    <cellStyle name="20% - Accent1 2 7" xfId="5543" xr:uid="{00000000-0005-0000-0000-0000EB020000}"/>
    <cellStyle name="20% - Accent1 2 7 2" xfId="13527" xr:uid="{00000000-0005-0000-0000-0000EC020000}"/>
    <cellStyle name="20% - Accent1 2 7 3" xfId="21475" xr:uid="{00000000-0005-0000-0000-0000ED020000}"/>
    <cellStyle name="20% - Accent1 2 8" xfId="9096" xr:uid="{00000000-0005-0000-0000-0000EE020000}"/>
    <cellStyle name="20% - Accent1 2 8 2" xfId="17054" xr:uid="{00000000-0005-0000-0000-0000EF020000}"/>
    <cellStyle name="20% - Accent1 2 8 3" xfId="24998" xr:uid="{00000000-0005-0000-0000-0000F0020000}"/>
    <cellStyle name="20% - Accent1 2 9" xfId="9992" xr:uid="{00000000-0005-0000-0000-0000F1020000}"/>
    <cellStyle name="20% - Accent1 2_Exh G" xfId="1981" xr:uid="{00000000-0005-0000-0000-0000F2020000}"/>
    <cellStyle name="20% - Accent1 3" xfId="48" xr:uid="{00000000-0005-0000-0000-0000F3020000}"/>
    <cellStyle name="20% - Accent1 3 10" xfId="17951" xr:uid="{00000000-0005-0000-0000-0000F4020000}"/>
    <cellStyle name="20% - Accent1 3 2" xfId="49" xr:uid="{00000000-0005-0000-0000-0000F5020000}"/>
    <cellStyle name="20% - Accent1 3 2 2" xfId="50" xr:uid="{00000000-0005-0000-0000-0000F6020000}"/>
    <cellStyle name="20% - Accent1 3 2 2 2" xfId="1078" xr:uid="{00000000-0005-0000-0000-0000F7020000}"/>
    <cellStyle name="20% - Accent1 3 2 2 2 2" xfId="4608" xr:uid="{00000000-0005-0000-0000-0000F8020000}"/>
    <cellStyle name="20% - Accent1 3 2 2 2 2 2" xfId="8199" xr:uid="{00000000-0005-0000-0000-0000F9020000}"/>
    <cellStyle name="20% - Accent1 3 2 2 2 2 2 2" xfId="16170" xr:uid="{00000000-0005-0000-0000-0000FA020000}"/>
    <cellStyle name="20% - Accent1 3 2 2 2 2 2 3" xfId="24116" xr:uid="{00000000-0005-0000-0000-0000FB020000}"/>
    <cellStyle name="20% - Accent1 3 2 2 2 2 3" xfId="12632" xr:uid="{00000000-0005-0000-0000-0000FC020000}"/>
    <cellStyle name="20% - Accent1 3 2 2 2 2 4" xfId="20587" xr:uid="{00000000-0005-0000-0000-0000FD020000}"/>
    <cellStyle name="20% - Accent1 3 2 2 2 3" xfId="6440" xr:uid="{00000000-0005-0000-0000-0000FE020000}"/>
    <cellStyle name="20% - Accent1 3 2 2 2 3 2" xfId="14412" xr:uid="{00000000-0005-0000-0000-0000FF020000}"/>
    <cellStyle name="20% - Accent1 3 2 2 2 3 3" xfId="22359" xr:uid="{00000000-0005-0000-0000-000000030000}"/>
    <cellStyle name="20% - Accent1 3 2 2 2 4" xfId="10876" xr:uid="{00000000-0005-0000-0000-000001030000}"/>
    <cellStyle name="20% - Accent1 3 2 2 2 5" xfId="18831" xr:uid="{00000000-0005-0000-0000-000002030000}"/>
    <cellStyle name="20% - Accent1 3 2 2 2_Exh G" xfId="1996" xr:uid="{00000000-0005-0000-0000-000003030000}"/>
    <cellStyle name="20% - Accent1 3 2 2 3" xfId="3729" xr:uid="{00000000-0005-0000-0000-000004030000}"/>
    <cellStyle name="20% - Accent1 3 2 2 3 2" xfId="7321" xr:uid="{00000000-0005-0000-0000-000005030000}"/>
    <cellStyle name="20% - Accent1 3 2 2 3 2 2" xfId="15292" xr:uid="{00000000-0005-0000-0000-000006030000}"/>
    <cellStyle name="20% - Accent1 3 2 2 3 2 3" xfId="23238" xr:uid="{00000000-0005-0000-0000-000007030000}"/>
    <cellStyle name="20% - Accent1 3 2 2 3 3" xfId="11754" xr:uid="{00000000-0005-0000-0000-000008030000}"/>
    <cellStyle name="20% - Accent1 3 2 2 3 4" xfId="19709" xr:uid="{00000000-0005-0000-0000-000009030000}"/>
    <cellStyle name="20% - Accent1 3 2 2 4" xfId="5549" xr:uid="{00000000-0005-0000-0000-00000A030000}"/>
    <cellStyle name="20% - Accent1 3 2 2 4 2" xfId="13533" xr:uid="{00000000-0005-0000-0000-00000B030000}"/>
    <cellStyle name="20% - Accent1 3 2 2 4 3" xfId="21481" xr:uid="{00000000-0005-0000-0000-00000C030000}"/>
    <cellStyle name="20% - Accent1 3 2 2 5" xfId="9102" xr:uid="{00000000-0005-0000-0000-00000D030000}"/>
    <cellStyle name="20% - Accent1 3 2 2 5 2" xfId="17060" xr:uid="{00000000-0005-0000-0000-00000E030000}"/>
    <cellStyle name="20% - Accent1 3 2 2 5 3" xfId="25004" xr:uid="{00000000-0005-0000-0000-00000F030000}"/>
    <cellStyle name="20% - Accent1 3 2 2 6" xfId="9998" xr:uid="{00000000-0005-0000-0000-000010030000}"/>
    <cellStyle name="20% - Accent1 3 2 2 7" xfId="17953" xr:uid="{00000000-0005-0000-0000-000011030000}"/>
    <cellStyle name="20% - Accent1 3 2 2_Exh G" xfId="1995" xr:uid="{00000000-0005-0000-0000-000012030000}"/>
    <cellStyle name="20% - Accent1 3 2 3" xfId="866" xr:uid="{00000000-0005-0000-0000-000013030000}"/>
    <cellStyle name="20% - Accent1 3 2 3 2" xfId="1802" xr:uid="{00000000-0005-0000-0000-000014030000}"/>
    <cellStyle name="20% - Accent1 3 2 3 2 2" xfId="5320" xr:uid="{00000000-0005-0000-0000-000015030000}"/>
    <cellStyle name="20% - Accent1 3 2 3 2 2 2" xfId="8911" xr:uid="{00000000-0005-0000-0000-000016030000}"/>
    <cellStyle name="20% - Accent1 3 2 3 2 2 2 2" xfId="16882" xr:uid="{00000000-0005-0000-0000-000017030000}"/>
    <cellStyle name="20% - Accent1 3 2 3 2 2 2 3" xfId="24828" xr:uid="{00000000-0005-0000-0000-000018030000}"/>
    <cellStyle name="20% - Accent1 3 2 3 2 2 3" xfId="13344" xr:uid="{00000000-0005-0000-0000-000019030000}"/>
    <cellStyle name="20% - Accent1 3 2 3 2 2 4" xfId="21299" xr:uid="{00000000-0005-0000-0000-00001A030000}"/>
    <cellStyle name="20% - Accent1 3 2 3 2 3" xfId="7152" xr:uid="{00000000-0005-0000-0000-00001B030000}"/>
    <cellStyle name="20% - Accent1 3 2 3 2 3 2" xfId="15124" xr:uid="{00000000-0005-0000-0000-00001C030000}"/>
    <cellStyle name="20% - Accent1 3 2 3 2 3 3" xfId="23071" xr:uid="{00000000-0005-0000-0000-00001D030000}"/>
    <cellStyle name="20% - Accent1 3 2 3 2 4" xfId="11588" xr:uid="{00000000-0005-0000-0000-00001E030000}"/>
    <cellStyle name="20% - Accent1 3 2 3 2 5" xfId="19543" xr:uid="{00000000-0005-0000-0000-00001F030000}"/>
    <cellStyle name="20% - Accent1 3 2 3 2_Exh G" xfId="1998" xr:uid="{00000000-0005-0000-0000-000020030000}"/>
    <cellStyle name="20% - Accent1 3 2 3 3" xfId="4441" xr:uid="{00000000-0005-0000-0000-000021030000}"/>
    <cellStyle name="20% - Accent1 3 2 3 3 2" xfId="8033" xr:uid="{00000000-0005-0000-0000-000022030000}"/>
    <cellStyle name="20% - Accent1 3 2 3 3 2 2" xfId="16004" xr:uid="{00000000-0005-0000-0000-000023030000}"/>
    <cellStyle name="20% - Accent1 3 2 3 3 2 3" xfId="23950" xr:uid="{00000000-0005-0000-0000-000024030000}"/>
    <cellStyle name="20% - Accent1 3 2 3 3 3" xfId="12466" xr:uid="{00000000-0005-0000-0000-000025030000}"/>
    <cellStyle name="20% - Accent1 3 2 3 3 4" xfId="20421" xr:uid="{00000000-0005-0000-0000-000026030000}"/>
    <cellStyle name="20% - Accent1 3 2 3 4" xfId="6271" xr:uid="{00000000-0005-0000-0000-000027030000}"/>
    <cellStyle name="20% - Accent1 3 2 3 4 2" xfId="14246" xr:uid="{00000000-0005-0000-0000-000028030000}"/>
    <cellStyle name="20% - Accent1 3 2 3 4 3" xfId="22193" xr:uid="{00000000-0005-0000-0000-000029030000}"/>
    <cellStyle name="20% - Accent1 3 2 3 5" xfId="9814" xr:uid="{00000000-0005-0000-0000-00002A030000}"/>
    <cellStyle name="20% - Accent1 3 2 3 5 2" xfId="17772" xr:uid="{00000000-0005-0000-0000-00002B030000}"/>
    <cellStyle name="20% - Accent1 3 2 3 5 3" xfId="25716" xr:uid="{00000000-0005-0000-0000-00002C030000}"/>
    <cellStyle name="20% - Accent1 3 2 3 6" xfId="10710" xr:uid="{00000000-0005-0000-0000-00002D030000}"/>
    <cellStyle name="20% - Accent1 3 2 3 7" xfId="18665" xr:uid="{00000000-0005-0000-0000-00002E030000}"/>
    <cellStyle name="20% - Accent1 3 2 3_Exh G" xfId="1997" xr:uid="{00000000-0005-0000-0000-00002F030000}"/>
    <cellStyle name="20% - Accent1 3 2 4" xfId="1077" xr:uid="{00000000-0005-0000-0000-000030030000}"/>
    <cellStyle name="20% - Accent1 3 2 4 2" xfId="4607" xr:uid="{00000000-0005-0000-0000-000031030000}"/>
    <cellStyle name="20% - Accent1 3 2 4 2 2" xfId="8198" xr:uid="{00000000-0005-0000-0000-000032030000}"/>
    <cellStyle name="20% - Accent1 3 2 4 2 2 2" xfId="16169" xr:uid="{00000000-0005-0000-0000-000033030000}"/>
    <cellStyle name="20% - Accent1 3 2 4 2 2 3" xfId="24115" xr:uid="{00000000-0005-0000-0000-000034030000}"/>
    <cellStyle name="20% - Accent1 3 2 4 2 3" xfId="12631" xr:uid="{00000000-0005-0000-0000-000035030000}"/>
    <cellStyle name="20% - Accent1 3 2 4 2 4" xfId="20586" xr:uid="{00000000-0005-0000-0000-000036030000}"/>
    <cellStyle name="20% - Accent1 3 2 4 3" xfId="6439" xr:uid="{00000000-0005-0000-0000-000037030000}"/>
    <cellStyle name="20% - Accent1 3 2 4 3 2" xfId="14411" xr:uid="{00000000-0005-0000-0000-000038030000}"/>
    <cellStyle name="20% - Accent1 3 2 4 3 3" xfId="22358" xr:uid="{00000000-0005-0000-0000-000039030000}"/>
    <cellStyle name="20% - Accent1 3 2 4 4" xfId="10875" xr:uid="{00000000-0005-0000-0000-00003A030000}"/>
    <cellStyle name="20% - Accent1 3 2 4 5" xfId="18830" xr:uid="{00000000-0005-0000-0000-00003B030000}"/>
    <cellStyle name="20% - Accent1 3 2 4_Exh G" xfId="1999" xr:uid="{00000000-0005-0000-0000-00003C030000}"/>
    <cellStyle name="20% - Accent1 3 2 5" xfId="3728" xr:uid="{00000000-0005-0000-0000-00003D030000}"/>
    <cellStyle name="20% - Accent1 3 2 5 2" xfId="7320" xr:uid="{00000000-0005-0000-0000-00003E030000}"/>
    <cellStyle name="20% - Accent1 3 2 5 2 2" xfId="15291" xr:uid="{00000000-0005-0000-0000-00003F030000}"/>
    <cellStyle name="20% - Accent1 3 2 5 2 3" xfId="23237" xr:uid="{00000000-0005-0000-0000-000040030000}"/>
    <cellStyle name="20% - Accent1 3 2 5 3" xfId="11753" xr:uid="{00000000-0005-0000-0000-000041030000}"/>
    <cellStyle name="20% - Accent1 3 2 5 4" xfId="19708" xr:uid="{00000000-0005-0000-0000-000042030000}"/>
    <cellStyle name="20% - Accent1 3 2 6" xfId="5548" xr:uid="{00000000-0005-0000-0000-000043030000}"/>
    <cellStyle name="20% - Accent1 3 2 6 2" xfId="13532" xr:uid="{00000000-0005-0000-0000-000044030000}"/>
    <cellStyle name="20% - Accent1 3 2 6 3" xfId="21480" xr:uid="{00000000-0005-0000-0000-000045030000}"/>
    <cellStyle name="20% - Accent1 3 2 7" xfId="9101" xr:uid="{00000000-0005-0000-0000-000046030000}"/>
    <cellStyle name="20% - Accent1 3 2 7 2" xfId="17059" xr:uid="{00000000-0005-0000-0000-000047030000}"/>
    <cellStyle name="20% - Accent1 3 2 7 3" xfId="25003" xr:uid="{00000000-0005-0000-0000-000048030000}"/>
    <cellStyle name="20% - Accent1 3 2 8" xfId="9997" xr:uid="{00000000-0005-0000-0000-000049030000}"/>
    <cellStyle name="20% - Accent1 3 2 9" xfId="17952" xr:uid="{00000000-0005-0000-0000-00004A030000}"/>
    <cellStyle name="20% - Accent1 3 2_Exh G" xfId="1994" xr:uid="{00000000-0005-0000-0000-00004B030000}"/>
    <cellStyle name="20% - Accent1 3 3" xfId="51" xr:uid="{00000000-0005-0000-0000-00004C030000}"/>
    <cellStyle name="20% - Accent1 3 3 2" xfId="1079" xr:uid="{00000000-0005-0000-0000-00004D030000}"/>
    <cellStyle name="20% - Accent1 3 3 2 2" xfId="4609" xr:uid="{00000000-0005-0000-0000-00004E030000}"/>
    <cellStyle name="20% - Accent1 3 3 2 2 2" xfId="8200" xr:uid="{00000000-0005-0000-0000-00004F030000}"/>
    <cellStyle name="20% - Accent1 3 3 2 2 2 2" xfId="16171" xr:uid="{00000000-0005-0000-0000-000050030000}"/>
    <cellStyle name="20% - Accent1 3 3 2 2 2 3" xfId="24117" xr:uid="{00000000-0005-0000-0000-000051030000}"/>
    <cellStyle name="20% - Accent1 3 3 2 2 3" xfId="12633" xr:uid="{00000000-0005-0000-0000-000052030000}"/>
    <cellStyle name="20% - Accent1 3 3 2 2 4" xfId="20588" xr:uid="{00000000-0005-0000-0000-000053030000}"/>
    <cellStyle name="20% - Accent1 3 3 2 3" xfId="6441" xr:uid="{00000000-0005-0000-0000-000054030000}"/>
    <cellStyle name="20% - Accent1 3 3 2 3 2" xfId="14413" xr:uid="{00000000-0005-0000-0000-000055030000}"/>
    <cellStyle name="20% - Accent1 3 3 2 3 3" xfId="22360" xr:uid="{00000000-0005-0000-0000-000056030000}"/>
    <cellStyle name="20% - Accent1 3 3 2 4" xfId="10877" xr:uid="{00000000-0005-0000-0000-000057030000}"/>
    <cellStyle name="20% - Accent1 3 3 2 5" xfId="18832" xr:uid="{00000000-0005-0000-0000-000058030000}"/>
    <cellStyle name="20% - Accent1 3 3 2_Exh G" xfId="2001" xr:uid="{00000000-0005-0000-0000-000059030000}"/>
    <cellStyle name="20% - Accent1 3 3 3" xfId="3730" xr:uid="{00000000-0005-0000-0000-00005A030000}"/>
    <cellStyle name="20% - Accent1 3 3 3 2" xfId="7322" xr:uid="{00000000-0005-0000-0000-00005B030000}"/>
    <cellStyle name="20% - Accent1 3 3 3 2 2" xfId="15293" xr:uid="{00000000-0005-0000-0000-00005C030000}"/>
    <cellStyle name="20% - Accent1 3 3 3 2 3" xfId="23239" xr:uid="{00000000-0005-0000-0000-00005D030000}"/>
    <cellStyle name="20% - Accent1 3 3 3 3" xfId="11755" xr:uid="{00000000-0005-0000-0000-00005E030000}"/>
    <cellStyle name="20% - Accent1 3 3 3 4" xfId="19710" xr:uid="{00000000-0005-0000-0000-00005F030000}"/>
    <cellStyle name="20% - Accent1 3 3 4" xfId="5550" xr:uid="{00000000-0005-0000-0000-000060030000}"/>
    <cellStyle name="20% - Accent1 3 3 4 2" xfId="13534" xr:uid="{00000000-0005-0000-0000-000061030000}"/>
    <cellStyle name="20% - Accent1 3 3 4 3" xfId="21482" xr:uid="{00000000-0005-0000-0000-000062030000}"/>
    <cellStyle name="20% - Accent1 3 3 5" xfId="9103" xr:uid="{00000000-0005-0000-0000-000063030000}"/>
    <cellStyle name="20% - Accent1 3 3 5 2" xfId="17061" xr:uid="{00000000-0005-0000-0000-000064030000}"/>
    <cellStyle name="20% - Accent1 3 3 5 3" xfId="25005" xr:uid="{00000000-0005-0000-0000-000065030000}"/>
    <cellStyle name="20% - Accent1 3 3 6" xfId="9999" xr:uid="{00000000-0005-0000-0000-000066030000}"/>
    <cellStyle name="20% - Accent1 3 3 7" xfId="17954" xr:uid="{00000000-0005-0000-0000-000067030000}"/>
    <cellStyle name="20% - Accent1 3 3_Exh G" xfId="2000" xr:uid="{00000000-0005-0000-0000-000068030000}"/>
    <cellStyle name="20% - Accent1 3 4" xfId="865" xr:uid="{00000000-0005-0000-0000-000069030000}"/>
    <cellStyle name="20% - Accent1 3 4 2" xfId="1801" xr:uid="{00000000-0005-0000-0000-00006A030000}"/>
    <cellStyle name="20% - Accent1 3 4 2 2" xfId="5319" xr:uid="{00000000-0005-0000-0000-00006B030000}"/>
    <cellStyle name="20% - Accent1 3 4 2 2 2" xfId="8910" xr:uid="{00000000-0005-0000-0000-00006C030000}"/>
    <cellStyle name="20% - Accent1 3 4 2 2 2 2" xfId="16881" xr:uid="{00000000-0005-0000-0000-00006D030000}"/>
    <cellStyle name="20% - Accent1 3 4 2 2 2 3" xfId="24827" xr:uid="{00000000-0005-0000-0000-00006E030000}"/>
    <cellStyle name="20% - Accent1 3 4 2 2 3" xfId="13343" xr:uid="{00000000-0005-0000-0000-00006F030000}"/>
    <cellStyle name="20% - Accent1 3 4 2 2 4" xfId="21298" xr:uid="{00000000-0005-0000-0000-000070030000}"/>
    <cellStyle name="20% - Accent1 3 4 2 3" xfId="7151" xr:uid="{00000000-0005-0000-0000-000071030000}"/>
    <cellStyle name="20% - Accent1 3 4 2 3 2" xfId="15123" xr:uid="{00000000-0005-0000-0000-000072030000}"/>
    <cellStyle name="20% - Accent1 3 4 2 3 3" xfId="23070" xr:uid="{00000000-0005-0000-0000-000073030000}"/>
    <cellStyle name="20% - Accent1 3 4 2 4" xfId="11587" xr:uid="{00000000-0005-0000-0000-000074030000}"/>
    <cellStyle name="20% - Accent1 3 4 2 5" xfId="19542" xr:uid="{00000000-0005-0000-0000-000075030000}"/>
    <cellStyle name="20% - Accent1 3 4 2_Exh G" xfId="2003" xr:uid="{00000000-0005-0000-0000-000076030000}"/>
    <cellStyle name="20% - Accent1 3 4 3" xfId="4440" xr:uid="{00000000-0005-0000-0000-000077030000}"/>
    <cellStyle name="20% - Accent1 3 4 3 2" xfId="8032" xr:uid="{00000000-0005-0000-0000-000078030000}"/>
    <cellStyle name="20% - Accent1 3 4 3 2 2" xfId="16003" xr:uid="{00000000-0005-0000-0000-000079030000}"/>
    <cellStyle name="20% - Accent1 3 4 3 2 3" xfId="23949" xr:uid="{00000000-0005-0000-0000-00007A030000}"/>
    <cellStyle name="20% - Accent1 3 4 3 3" xfId="12465" xr:uid="{00000000-0005-0000-0000-00007B030000}"/>
    <cellStyle name="20% - Accent1 3 4 3 4" xfId="20420" xr:uid="{00000000-0005-0000-0000-00007C030000}"/>
    <cellStyle name="20% - Accent1 3 4 4" xfId="6270" xr:uid="{00000000-0005-0000-0000-00007D030000}"/>
    <cellStyle name="20% - Accent1 3 4 4 2" xfId="14245" xr:uid="{00000000-0005-0000-0000-00007E030000}"/>
    <cellStyle name="20% - Accent1 3 4 4 3" xfId="22192" xr:uid="{00000000-0005-0000-0000-00007F030000}"/>
    <cellStyle name="20% - Accent1 3 4 5" xfId="9813" xr:uid="{00000000-0005-0000-0000-000080030000}"/>
    <cellStyle name="20% - Accent1 3 4 5 2" xfId="17771" xr:uid="{00000000-0005-0000-0000-000081030000}"/>
    <cellStyle name="20% - Accent1 3 4 5 3" xfId="25715" xr:uid="{00000000-0005-0000-0000-000082030000}"/>
    <cellStyle name="20% - Accent1 3 4 6" xfId="10709" xr:uid="{00000000-0005-0000-0000-000083030000}"/>
    <cellStyle name="20% - Accent1 3 4 7" xfId="18664" xr:uid="{00000000-0005-0000-0000-000084030000}"/>
    <cellStyle name="20% - Accent1 3 4_Exh G" xfId="2002" xr:uid="{00000000-0005-0000-0000-000085030000}"/>
    <cellStyle name="20% - Accent1 3 5" xfId="1076" xr:uid="{00000000-0005-0000-0000-000086030000}"/>
    <cellStyle name="20% - Accent1 3 5 2" xfId="4606" xr:uid="{00000000-0005-0000-0000-000087030000}"/>
    <cellStyle name="20% - Accent1 3 5 2 2" xfId="8197" xr:uid="{00000000-0005-0000-0000-000088030000}"/>
    <cellStyle name="20% - Accent1 3 5 2 2 2" xfId="16168" xr:uid="{00000000-0005-0000-0000-000089030000}"/>
    <cellStyle name="20% - Accent1 3 5 2 2 3" xfId="24114" xr:uid="{00000000-0005-0000-0000-00008A030000}"/>
    <cellStyle name="20% - Accent1 3 5 2 3" xfId="12630" xr:uid="{00000000-0005-0000-0000-00008B030000}"/>
    <cellStyle name="20% - Accent1 3 5 2 4" xfId="20585" xr:uid="{00000000-0005-0000-0000-00008C030000}"/>
    <cellStyle name="20% - Accent1 3 5 3" xfId="6438" xr:uid="{00000000-0005-0000-0000-00008D030000}"/>
    <cellStyle name="20% - Accent1 3 5 3 2" xfId="14410" xr:uid="{00000000-0005-0000-0000-00008E030000}"/>
    <cellStyle name="20% - Accent1 3 5 3 3" xfId="22357" xr:uid="{00000000-0005-0000-0000-00008F030000}"/>
    <cellStyle name="20% - Accent1 3 5 4" xfId="10874" xr:uid="{00000000-0005-0000-0000-000090030000}"/>
    <cellStyle name="20% - Accent1 3 5 5" xfId="18829" xr:uid="{00000000-0005-0000-0000-000091030000}"/>
    <cellStyle name="20% - Accent1 3 5_Exh G" xfId="2004" xr:uid="{00000000-0005-0000-0000-000092030000}"/>
    <cellStyle name="20% - Accent1 3 6" xfId="3727" xr:uid="{00000000-0005-0000-0000-000093030000}"/>
    <cellStyle name="20% - Accent1 3 6 2" xfId="7319" xr:uid="{00000000-0005-0000-0000-000094030000}"/>
    <cellStyle name="20% - Accent1 3 6 2 2" xfId="15290" xr:uid="{00000000-0005-0000-0000-000095030000}"/>
    <cellStyle name="20% - Accent1 3 6 2 3" xfId="23236" xr:uid="{00000000-0005-0000-0000-000096030000}"/>
    <cellStyle name="20% - Accent1 3 6 3" xfId="11752" xr:uid="{00000000-0005-0000-0000-000097030000}"/>
    <cellStyle name="20% - Accent1 3 6 4" xfId="19707" xr:uid="{00000000-0005-0000-0000-000098030000}"/>
    <cellStyle name="20% - Accent1 3 7" xfId="5547" xr:uid="{00000000-0005-0000-0000-000099030000}"/>
    <cellStyle name="20% - Accent1 3 7 2" xfId="13531" xr:uid="{00000000-0005-0000-0000-00009A030000}"/>
    <cellStyle name="20% - Accent1 3 7 3" xfId="21479" xr:uid="{00000000-0005-0000-0000-00009B030000}"/>
    <cellStyle name="20% - Accent1 3 8" xfId="9100" xr:uid="{00000000-0005-0000-0000-00009C030000}"/>
    <cellStyle name="20% - Accent1 3 8 2" xfId="17058" xr:uid="{00000000-0005-0000-0000-00009D030000}"/>
    <cellStyle name="20% - Accent1 3 8 3" xfId="25002" xr:uid="{00000000-0005-0000-0000-00009E030000}"/>
    <cellStyle name="20% - Accent1 3 9" xfId="9996" xr:uid="{00000000-0005-0000-0000-00009F030000}"/>
    <cellStyle name="20% - Accent1 3_Exh G" xfId="1993" xr:uid="{00000000-0005-0000-0000-0000A0030000}"/>
    <cellStyle name="20% - Accent1 4" xfId="52" xr:uid="{00000000-0005-0000-0000-0000A1030000}"/>
    <cellStyle name="20% - Accent1 4 10" xfId="17955" xr:uid="{00000000-0005-0000-0000-0000A2030000}"/>
    <cellStyle name="20% - Accent1 4 2" xfId="53" xr:uid="{00000000-0005-0000-0000-0000A3030000}"/>
    <cellStyle name="20% - Accent1 4 2 2" xfId="54" xr:uid="{00000000-0005-0000-0000-0000A4030000}"/>
    <cellStyle name="20% - Accent1 4 2 2 2" xfId="1082" xr:uid="{00000000-0005-0000-0000-0000A5030000}"/>
    <cellStyle name="20% - Accent1 4 2 2 2 2" xfId="4612" xr:uid="{00000000-0005-0000-0000-0000A6030000}"/>
    <cellStyle name="20% - Accent1 4 2 2 2 2 2" xfId="8203" xr:uid="{00000000-0005-0000-0000-0000A7030000}"/>
    <cellStyle name="20% - Accent1 4 2 2 2 2 2 2" xfId="16174" xr:uid="{00000000-0005-0000-0000-0000A8030000}"/>
    <cellStyle name="20% - Accent1 4 2 2 2 2 2 3" xfId="24120" xr:uid="{00000000-0005-0000-0000-0000A9030000}"/>
    <cellStyle name="20% - Accent1 4 2 2 2 2 3" xfId="12636" xr:uid="{00000000-0005-0000-0000-0000AA030000}"/>
    <cellStyle name="20% - Accent1 4 2 2 2 2 4" xfId="20591" xr:uid="{00000000-0005-0000-0000-0000AB030000}"/>
    <cellStyle name="20% - Accent1 4 2 2 2 3" xfId="6444" xr:uid="{00000000-0005-0000-0000-0000AC030000}"/>
    <cellStyle name="20% - Accent1 4 2 2 2 3 2" xfId="14416" xr:uid="{00000000-0005-0000-0000-0000AD030000}"/>
    <cellStyle name="20% - Accent1 4 2 2 2 3 3" xfId="22363" xr:uid="{00000000-0005-0000-0000-0000AE030000}"/>
    <cellStyle name="20% - Accent1 4 2 2 2 4" xfId="10880" xr:uid="{00000000-0005-0000-0000-0000AF030000}"/>
    <cellStyle name="20% - Accent1 4 2 2 2 5" xfId="18835" xr:uid="{00000000-0005-0000-0000-0000B0030000}"/>
    <cellStyle name="20% - Accent1 4 2 2 2_Exh G" xfId="2008" xr:uid="{00000000-0005-0000-0000-0000B1030000}"/>
    <cellStyle name="20% - Accent1 4 2 2 3" xfId="3733" xr:uid="{00000000-0005-0000-0000-0000B2030000}"/>
    <cellStyle name="20% - Accent1 4 2 2 3 2" xfId="7325" xr:uid="{00000000-0005-0000-0000-0000B3030000}"/>
    <cellStyle name="20% - Accent1 4 2 2 3 2 2" xfId="15296" xr:uid="{00000000-0005-0000-0000-0000B4030000}"/>
    <cellStyle name="20% - Accent1 4 2 2 3 2 3" xfId="23242" xr:uid="{00000000-0005-0000-0000-0000B5030000}"/>
    <cellStyle name="20% - Accent1 4 2 2 3 3" xfId="11758" xr:uid="{00000000-0005-0000-0000-0000B6030000}"/>
    <cellStyle name="20% - Accent1 4 2 2 3 4" xfId="19713" xr:uid="{00000000-0005-0000-0000-0000B7030000}"/>
    <cellStyle name="20% - Accent1 4 2 2 4" xfId="5553" xr:uid="{00000000-0005-0000-0000-0000B8030000}"/>
    <cellStyle name="20% - Accent1 4 2 2 4 2" xfId="13537" xr:uid="{00000000-0005-0000-0000-0000B9030000}"/>
    <cellStyle name="20% - Accent1 4 2 2 4 3" xfId="21485" xr:uid="{00000000-0005-0000-0000-0000BA030000}"/>
    <cellStyle name="20% - Accent1 4 2 2 5" xfId="9106" xr:uid="{00000000-0005-0000-0000-0000BB030000}"/>
    <cellStyle name="20% - Accent1 4 2 2 5 2" xfId="17064" xr:uid="{00000000-0005-0000-0000-0000BC030000}"/>
    <cellStyle name="20% - Accent1 4 2 2 5 3" xfId="25008" xr:uid="{00000000-0005-0000-0000-0000BD030000}"/>
    <cellStyle name="20% - Accent1 4 2 2 6" xfId="10002" xr:uid="{00000000-0005-0000-0000-0000BE030000}"/>
    <cellStyle name="20% - Accent1 4 2 2 7" xfId="17957" xr:uid="{00000000-0005-0000-0000-0000BF030000}"/>
    <cellStyle name="20% - Accent1 4 2 2_Exh G" xfId="2007" xr:uid="{00000000-0005-0000-0000-0000C0030000}"/>
    <cellStyle name="20% - Accent1 4 2 3" xfId="868" xr:uid="{00000000-0005-0000-0000-0000C1030000}"/>
    <cellStyle name="20% - Accent1 4 2 3 2" xfId="1804" xr:uid="{00000000-0005-0000-0000-0000C2030000}"/>
    <cellStyle name="20% - Accent1 4 2 3 2 2" xfId="5322" xr:uid="{00000000-0005-0000-0000-0000C3030000}"/>
    <cellStyle name="20% - Accent1 4 2 3 2 2 2" xfId="8913" xr:uid="{00000000-0005-0000-0000-0000C4030000}"/>
    <cellStyle name="20% - Accent1 4 2 3 2 2 2 2" xfId="16884" xr:uid="{00000000-0005-0000-0000-0000C5030000}"/>
    <cellStyle name="20% - Accent1 4 2 3 2 2 2 3" xfId="24830" xr:uid="{00000000-0005-0000-0000-0000C6030000}"/>
    <cellStyle name="20% - Accent1 4 2 3 2 2 3" xfId="13346" xr:uid="{00000000-0005-0000-0000-0000C7030000}"/>
    <cellStyle name="20% - Accent1 4 2 3 2 2 4" xfId="21301" xr:uid="{00000000-0005-0000-0000-0000C8030000}"/>
    <cellStyle name="20% - Accent1 4 2 3 2 3" xfId="7154" xr:uid="{00000000-0005-0000-0000-0000C9030000}"/>
    <cellStyle name="20% - Accent1 4 2 3 2 3 2" xfId="15126" xr:uid="{00000000-0005-0000-0000-0000CA030000}"/>
    <cellStyle name="20% - Accent1 4 2 3 2 3 3" xfId="23073" xr:uid="{00000000-0005-0000-0000-0000CB030000}"/>
    <cellStyle name="20% - Accent1 4 2 3 2 4" xfId="11590" xr:uid="{00000000-0005-0000-0000-0000CC030000}"/>
    <cellStyle name="20% - Accent1 4 2 3 2 5" xfId="19545" xr:uid="{00000000-0005-0000-0000-0000CD030000}"/>
    <cellStyle name="20% - Accent1 4 2 3 2_Exh G" xfId="2010" xr:uid="{00000000-0005-0000-0000-0000CE030000}"/>
    <cellStyle name="20% - Accent1 4 2 3 3" xfId="4443" xr:uid="{00000000-0005-0000-0000-0000CF030000}"/>
    <cellStyle name="20% - Accent1 4 2 3 3 2" xfId="8035" xr:uid="{00000000-0005-0000-0000-0000D0030000}"/>
    <cellStyle name="20% - Accent1 4 2 3 3 2 2" xfId="16006" xr:uid="{00000000-0005-0000-0000-0000D1030000}"/>
    <cellStyle name="20% - Accent1 4 2 3 3 2 3" xfId="23952" xr:uid="{00000000-0005-0000-0000-0000D2030000}"/>
    <cellStyle name="20% - Accent1 4 2 3 3 3" xfId="12468" xr:uid="{00000000-0005-0000-0000-0000D3030000}"/>
    <cellStyle name="20% - Accent1 4 2 3 3 4" xfId="20423" xr:uid="{00000000-0005-0000-0000-0000D4030000}"/>
    <cellStyle name="20% - Accent1 4 2 3 4" xfId="6273" xr:uid="{00000000-0005-0000-0000-0000D5030000}"/>
    <cellStyle name="20% - Accent1 4 2 3 4 2" xfId="14248" xr:uid="{00000000-0005-0000-0000-0000D6030000}"/>
    <cellStyle name="20% - Accent1 4 2 3 4 3" xfId="22195" xr:uid="{00000000-0005-0000-0000-0000D7030000}"/>
    <cellStyle name="20% - Accent1 4 2 3 5" xfId="9816" xr:uid="{00000000-0005-0000-0000-0000D8030000}"/>
    <cellStyle name="20% - Accent1 4 2 3 5 2" xfId="17774" xr:uid="{00000000-0005-0000-0000-0000D9030000}"/>
    <cellStyle name="20% - Accent1 4 2 3 5 3" xfId="25718" xr:uid="{00000000-0005-0000-0000-0000DA030000}"/>
    <cellStyle name="20% - Accent1 4 2 3 6" xfId="10712" xr:uid="{00000000-0005-0000-0000-0000DB030000}"/>
    <cellStyle name="20% - Accent1 4 2 3 7" xfId="18667" xr:uid="{00000000-0005-0000-0000-0000DC030000}"/>
    <cellStyle name="20% - Accent1 4 2 3_Exh G" xfId="2009" xr:uid="{00000000-0005-0000-0000-0000DD030000}"/>
    <cellStyle name="20% - Accent1 4 2 4" xfId="1081" xr:uid="{00000000-0005-0000-0000-0000DE030000}"/>
    <cellStyle name="20% - Accent1 4 2 4 2" xfId="4611" xr:uid="{00000000-0005-0000-0000-0000DF030000}"/>
    <cellStyle name="20% - Accent1 4 2 4 2 2" xfId="8202" xr:uid="{00000000-0005-0000-0000-0000E0030000}"/>
    <cellStyle name="20% - Accent1 4 2 4 2 2 2" xfId="16173" xr:uid="{00000000-0005-0000-0000-0000E1030000}"/>
    <cellStyle name="20% - Accent1 4 2 4 2 2 3" xfId="24119" xr:uid="{00000000-0005-0000-0000-0000E2030000}"/>
    <cellStyle name="20% - Accent1 4 2 4 2 3" xfId="12635" xr:uid="{00000000-0005-0000-0000-0000E3030000}"/>
    <cellStyle name="20% - Accent1 4 2 4 2 4" xfId="20590" xr:uid="{00000000-0005-0000-0000-0000E4030000}"/>
    <cellStyle name="20% - Accent1 4 2 4 3" xfId="6443" xr:uid="{00000000-0005-0000-0000-0000E5030000}"/>
    <cellStyle name="20% - Accent1 4 2 4 3 2" xfId="14415" xr:uid="{00000000-0005-0000-0000-0000E6030000}"/>
    <cellStyle name="20% - Accent1 4 2 4 3 3" xfId="22362" xr:uid="{00000000-0005-0000-0000-0000E7030000}"/>
    <cellStyle name="20% - Accent1 4 2 4 4" xfId="10879" xr:uid="{00000000-0005-0000-0000-0000E8030000}"/>
    <cellStyle name="20% - Accent1 4 2 4 5" xfId="18834" xr:uid="{00000000-0005-0000-0000-0000E9030000}"/>
    <cellStyle name="20% - Accent1 4 2 4_Exh G" xfId="2011" xr:uid="{00000000-0005-0000-0000-0000EA030000}"/>
    <cellStyle name="20% - Accent1 4 2 5" xfId="3732" xr:uid="{00000000-0005-0000-0000-0000EB030000}"/>
    <cellStyle name="20% - Accent1 4 2 5 2" xfId="7324" xr:uid="{00000000-0005-0000-0000-0000EC030000}"/>
    <cellStyle name="20% - Accent1 4 2 5 2 2" xfId="15295" xr:uid="{00000000-0005-0000-0000-0000ED030000}"/>
    <cellStyle name="20% - Accent1 4 2 5 2 3" xfId="23241" xr:uid="{00000000-0005-0000-0000-0000EE030000}"/>
    <cellStyle name="20% - Accent1 4 2 5 3" xfId="11757" xr:uid="{00000000-0005-0000-0000-0000EF030000}"/>
    <cellStyle name="20% - Accent1 4 2 5 4" xfId="19712" xr:uid="{00000000-0005-0000-0000-0000F0030000}"/>
    <cellStyle name="20% - Accent1 4 2 6" xfId="5552" xr:uid="{00000000-0005-0000-0000-0000F1030000}"/>
    <cellStyle name="20% - Accent1 4 2 6 2" xfId="13536" xr:uid="{00000000-0005-0000-0000-0000F2030000}"/>
    <cellStyle name="20% - Accent1 4 2 6 3" xfId="21484" xr:uid="{00000000-0005-0000-0000-0000F3030000}"/>
    <cellStyle name="20% - Accent1 4 2 7" xfId="9105" xr:uid="{00000000-0005-0000-0000-0000F4030000}"/>
    <cellStyle name="20% - Accent1 4 2 7 2" xfId="17063" xr:uid="{00000000-0005-0000-0000-0000F5030000}"/>
    <cellStyle name="20% - Accent1 4 2 7 3" xfId="25007" xr:uid="{00000000-0005-0000-0000-0000F6030000}"/>
    <cellStyle name="20% - Accent1 4 2 8" xfId="10001" xr:uid="{00000000-0005-0000-0000-0000F7030000}"/>
    <cellStyle name="20% - Accent1 4 2 9" xfId="17956" xr:uid="{00000000-0005-0000-0000-0000F8030000}"/>
    <cellStyle name="20% - Accent1 4 2_Exh G" xfId="2006" xr:uid="{00000000-0005-0000-0000-0000F9030000}"/>
    <cellStyle name="20% - Accent1 4 3" xfId="55" xr:uid="{00000000-0005-0000-0000-0000FA030000}"/>
    <cellStyle name="20% - Accent1 4 3 2" xfId="1083" xr:uid="{00000000-0005-0000-0000-0000FB030000}"/>
    <cellStyle name="20% - Accent1 4 3 2 2" xfId="4613" xr:uid="{00000000-0005-0000-0000-0000FC030000}"/>
    <cellStyle name="20% - Accent1 4 3 2 2 2" xfId="8204" xr:uid="{00000000-0005-0000-0000-0000FD030000}"/>
    <cellStyle name="20% - Accent1 4 3 2 2 2 2" xfId="16175" xr:uid="{00000000-0005-0000-0000-0000FE030000}"/>
    <cellStyle name="20% - Accent1 4 3 2 2 2 3" xfId="24121" xr:uid="{00000000-0005-0000-0000-0000FF030000}"/>
    <cellStyle name="20% - Accent1 4 3 2 2 3" xfId="12637" xr:uid="{00000000-0005-0000-0000-000000040000}"/>
    <cellStyle name="20% - Accent1 4 3 2 2 4" xfId="20592" xr:uid="{00000000-0005-0000-0000-000001040000}"/>
    <cellStyle name="20% - Accent1 4 3 2 3" xfId="6445" xr:uid="{00000000-0005-0000-0000-000002040000}"/>
    <cellStyle name="20% - Accent1 4 3 2 3 2" xfId="14417" xr:uid="{00000000-0005-0000-0000-000003040000}"/>
    <cellStyle name="20% - Accent1 4 3 2 3 3" xfId="22364" xr:uid="{00000000-0005-0000-0000-000004040000}"/>
    <cellStyle name="20% - Accent1 4 3 2 4" xfId="10881" xr:uid="{00000000-0005-0000-0000-000005040000}"/>
    <cellStyle name="20% - Accent1 4 3 2 5" xfId="18836" xr:uid="{00000000-0005-0000-0000-000006040000}"/>
    <cellStyle name="20% - Accent1 4 3 2_Exh G" xfId="2013" xr:uid="{00000000-0005-0000-0000-000007040000}"/>
    <cellStyle name="20% - Accent1 4 3 3" xfId="3734" xr:uid="{00000000-0005-0000-0000-000008040000}"/>
    <cellStyle name="20% - Accent1 4 3 3 2" xfId="7326" xr:uid="{00000000-0005-0000-0000-000009040000}"/>
    <cellStyle name="20% - Accent1 4 3 3 2 2" xfId="15297" xr:uid="{00000000-0005-0000-0000-00000A040000}"/>
    <cellStyle name="20% - Accent1 4 3 3 2 3" xfId="23243" xr:uid="{00000000-0005-0000-0000-00000B040000}"/>
    <cellStyle name="20% - Accent1 4 3 3 3" xfId="11759" xr:uid="{00000000-0005-0000-0000-00000C040000}"/>
    <cellStyle name="20% - Accent1 4 3 3 4" xfId="19714" xr:uid="{00000000-0005-0000-0000-00000D040000}"/>
    <cellStyle name="20% - Accent1 4 3 4" xfId="5554" xr:uid="{00000000-0005-0000-0000-00000E040000}"/>
    <cellStyle name="20% - Accent1 4 3 4 2" xfId="13538" xr:uid="{00000000-0005-0000-0000-00000F040000}"/>
    <cellStyle name="20% - Accent1 4 3 4 3" xfId="21486" xr:uid="{00000000-0005-0000-0000-000010040000}"/>
    <cellStyle name="20% - Accent1 4 3 5" xfId="9107" xr:uid="{00000000-0005-0000-0000-000011040000}"/>
    <cellStyle name="20% - Accent1 4 3 5 2" xfId="17065" xr:uid="{00000000-0005-0000-0000-000012040000}"/>
    <cellStyle name="20% - Accent1 4 3 5 3" xfId="25009" xr:uid="{00000000-0005-0000-0000-000013040000}"/>
    <cellStyle name="20% - Accent1 4 3 6" xfId="10003" xr:uid="{00000000-0005-0000-0000-000014040000}"/>
    <cellStyle name="20% - Accent1 4 3 7" xfId="17958" xr:uid="{00000000-0005-0000-0000-000015040000}"/>
    <cellStyle name="20% - Accent1 4 3_Exh G" xfId="2012" xr:uid="{00000000-0005-0000-0000-000016040000}"/>
    <cellStyle name="20% - Accent1 4 4" xfId="867" xr:uid="{00000000-0005-0000-0000-000017040000}"/>
    <cellStyle name="20% - Accent1 4 4 2" xfId="1803" xr:uid="{00000000-0005-0000-0000-000018040000}"/>
    <cellStyle name="20% - Accent1 4 4 2 2" xfId="5321" xr:uid="{00000000-0005-0000-0000-000019040000}"/>
    <cellStyle name="20% - Accent1 4 4 2 2 2" xfId="8912" xr:uid="{00000000-0005-0000-0000-00001A040000}"/>
    <cellStyle name="20% - Accent1 4 4 2 2 2 2" xfId="16883" xr:uid="{00000000-0005-0000-0000-00001B040000}"/>
    <cellStyle name="20% - Accent1 4 4 2 2 2 3" xfId="24829" xr:uid="{00000000-0005-0000-0000-00001C040000}"/>
    <cellStyle name="20% - Accent1 4 4 2 2 3" xfId="13345" xr:uid="{00000000-0005-0000-0000-00001D040000}"/>
    <cellStyle name="20% - Accent1 4 4 2 2 4" xfId="21300" xr:uid="{00000000-0005-0000-0000-00001E040000}"/>
    <cellStyle name="20% - Accent1 4 4 2 3" xfId="7153" xr:uid="{00000000-0005-0000-0000-00001F040000}"/>
    <cellStyle name="20% - Accent1 4 4 2 3 2" xfId="15125" xr:uid="{00000000-0005-0000-0000-000020040000}"/>
    <cellStyle name="20% - Accent1 4 4 2 3 3" xfId="23072" xr:uid="{00000000-0005-0000-0000-000021040000}"/>
    <cellStyle name="20% - Accent1 4 4 2 4" xfId="11589" xr:uid="{00000000-0005-0000-0000-000022040000}"/>
    <cellStyle name="20% - Accent1 4 4 2 5" xfId="19544" xr:uid="{00000000-0005-0000-0000-000023040000}"/>
    <cellStyle name="20% - Accent1 4 4 2_Exh G" xfId="2015" xr:uid="{00000000-0005-0000-0000-000024040000}"/>
    <cellStyle name="20% - Accent1 4 4 3" xfId="4442" xr:uid="{00000000-0005-0000-0000-000025040000}"/>
    <cellStyle name="20% - Accent1 4 4 3 2" xfId="8034" xr:uid="{00000000-0005-0000-0000-000026040000}"/>
    <cellStyle name="20% - Accent1 4 4 3 2 2" xfId="16005" xr:uid="{00000000-0005-0000-0000-000027040000}"/>
    <cellStyle name="20% - Accent1 4 4 3 2 3" xfId="23951" xr:uid="{00000000-0005-0000-0000-000028040000}"/>
    <cellStyle name="20% - Accent1 4 4 3 3" xfId="12467" xr:uid="{00000000-0005-0000-0000-000029040000}"/>
    <cellStyle name="20% - Accent1 4 4 3 4" xfId="20422" xr:uid="{00000000-0005-0000-0000-00002A040000}"/>
    <cellStyle name="20% - Accent1 4 4 4" xfId="6272" xr:uid="{00000000-0005-0000-0000-00002B040000}"/>
    <cellStyle name="20% - Accent1 4 4 4 2" xfId="14247" xr:uid="{00000000-0005-0000-0000-00002C040000}"/>
    <cellStyle name="20% - Accent1 4 4 4 3" xfId="22194" xr:uid="{00000000-0005-0000-0000-00002D040000}"/>
    <cellStyle name="20% - Accent1 4 4 5" xfId="9815" xr:uid="{00000000-0005-0000-0000-00002E040000}"/>
    <cellStyle name="20% - Accent1 4 4 5 2" xfId="17773" xr:uid="{00000000-0005-0000-0000-00002F040000}"/>
    <cellStyle name="20% - Accent1 4 4 5 3" xfId="25717" xr:uid="{00000000-0005-0000-0000-000030040000}"/>
    <cellStyle name="20% - Accent1 4 4 6" xfId="10711" xr:uid="{00000000-0005-0000-0000-000031040000}"/>
    <cellStyle name="20% - Accent1 4 4 7" xfId="18666" xr:uid="{00000000-0005-0000-0000-000032040000}"/>
    <cellStyle name="20% - Accent1 4 4_Exh G" xfId="2014" xr:uid="{00000000-0005-0000-0000-000033040000}"/>
    <cellStyle name="20% - Accent1 4 5" xfId="1080" xr:uid="{00000000-0005-0000-0000-000034040000}"/>
    <cellStyle name="20% - Accent1 4 5 2" xfId="4610" xr:uid="{00000000-0005-0000-0000-000035040000}"/>
    <cellStyle name="20% - Accent1 4 5 2 2" xfId="8201" xr:uid="{00000000-0005-0000-0000-000036040000}"/>
    <cellStyle name="20% - Accent1 4 5 2 2 2" xfId="16172" xr:uid="{00000000-0005-0000-0000-000037040000}"/>
    <cellStyle name="20% - Accent1 4 5 2 2 3" xfId="24118" xr:uid="{00000000-0005-0000-0000-000038040000}"/>
    <cellStyle name="20% - Accent1 4 5 2 3" xfId="12634" xr:uid="{00000000-0005-0000-0000-000039040000}"/>
    <cellStyle name="20% - Accent1 4 5 2 4" xfId="20589" xr:uid="{00000000-0005-0000-0000-00003A040000}"/>
    <cellStyle name="20% - Accent1 4 5 3" xfId="6442" xr:uid="{00000000-0005-0000-0000-00003B040000}"/>
    <cellStyle name="20% - Accent1 4 5 3 2" xfId="14414" xr:uid="{00000000-0005-0000-0000-00003C040000}"/>
    <cellStyle name="20% - Accent1 4 5 3 3" xfId="22361" xr:uid="{00000000-0005-0000-0000-00003D040000}"/>
    <cellStyle name="20% - Accent1 4 5 4" xfId="10878" xr:uid="{00000000-0005-0000-0000-00003E040000}"/>
    <cellStyle name="20% - Accent1 4 5 5" xfId="18833" xr:uid="{00000000-0005-0000-0000-00003F040000}"/>
    <cellStyle name="20% - Accent1 4 5_Exh G" xfId="2016" xr:uid="{00000000-0005-0000-0000-000040040000}"/>
    <cellStyle name="20% - Accent1 4 6" xfId="3731" xr:uid="{00000000-0005-0000-0000-000041040000}"/>
    <cellStyle name="20% - Accent1 4 6 2" xfId="7323" xr:uid="{00000000-0005-0000-0000-000042040000}"/>
    <cellStyle name="20% - Accent1 4 6 2 2" xfId="15294" xr:uid="{00000000-0005-0000-0000-000043040000}"/>
    <cellStyle name="20% - Accent1 4 6 2 3" xfId="23240" xr:uid="{00000000-0005-0000-0000-000044040000}"/>
    <cellStyle name="20% - Accent1 4 6 3" xfId="11756" xr:uid="{00000000-0005-0000-0000-000045040000}"/>
    <cellStyle name="20% - Accent1 4 6 4" xfId="19711" xr:uid="{00000000-0005-0000-0000-000046040000}"/>
    <cellStyle name="20% - Accent1 4 7" xfId="5551" xr:uid="{00000000-0005-0000-0000-000047040000}"/>
    <cellStyle name="20% - Accent1 4 7 2" xfId="13535" xr:uid="{00000000-0005-0000-0000-000048040000}"/>
    <cellStyle name="20% - Accent1 4 7 3" xfId="21483" xr:uid="{00000000-0005-0000-0000-000049040000}"/>
    <cellStyle name="20% - Accent1 4 8" xfId="9104" xr:uid="{00000000-0005-0000-0000-00004A040000}"/>
    <cellStyle name="20% - Accent1 4 8 2" xfId="17062" xr:uid="{00000000-0005-0000-0000-00004B040000}"/>
    <cellStyle name="20% - Accent1 4 8 3" xfId="25006" xr:uid="{00000000-0005-0000-0000-00004C040000}"/>
    <cellStyle name="20% - Accent1 4 9" xfId="10000" xr:uid="{00000000-0005-0000-0000-00004D040000}"/>
    <cellStyle name="20% - Accent1 4_Exh G" xfId="2005" xr:uid="{00000000-0005-0000-0000-00004E040000}"/>
    <cellStyle name="20% - Accent1 5" xfId="56" xr:uid="{00000000-0005-0000-0000-00004F040000}"/>
    <cellStyle name="20% - Accent1 5 10" xfId="17959" xr:uid="{00000000-0005-0000-0000-000050040000}"/>
    <cellStyle name="20% - Accent1 5 2" xfId="57" xr:uid="{00000000-0005-0000-0000-000051040000}"/>
    <cellStyle name="20% - Accent1 5 2 2" xfId="58" xr:uid="{00000000-0005-0000-0000-000052040000}"/>
    <cellStyle name="20% - Accent1 5 2 2 2" xfId="1086" xr:uid="{00000000-0005-0000-0000-000053040000}"/>
    <cellStyle name="20% - Accent1 5 2 2 2 2" xfId="4616" xr:uid="{00000000-0005-0000-0000-000054040000}"/>
    <cellStyle name="20% - Accent1 5 2 2 2 2 2" xfId="8207" xr:uid="{00000000-0005-0000-0000-000055040000}"/>
    <cellStyle name="20% - Accent1 5 2 2 2 2 2 2" xfId="16178" xr:uid="{00000000-0005-0000-0000-000056040000}"/>
    <cellStyle name="20% - Accent1 5 2 2 2 2 2 3" xfId="24124" xr:uid="{00000000-0005-0000-0000-000057040000}"/>
    <cellStyle name="20% - Accent1 5 2 2 2 2 3" xfId="12640" xr:uid="{00000000-0005-0000-0000-000058040000}"/>
    <cellStyle name="20% - Accent1 5 2 2 2 2 4" xfId="20595" xr:uid="{00000000-0005-0000-0000-000059040000}"/>
    <cellStyle name="20% - Accent1 5 2 2 2 3" xfId="6448" xr:uid="{00000000-0005-0000-0000-00005A040000}"/>
    <cellStyle name="20% - Accent1 5 2 2 2 3 2" xfId="14420" xr:uid="{00000000-0005-0000-0000-00005B040000}"/>
    <cellStyle name="20% - Accent1 5 2 2 2 3 3" xfId="22367" xr:uid="{00000000-0005-0000-0000-00005C040000}"/>
    <cellStyle name="20% - Accent1 5 2 2 2 4" xfId="10884" xr:uid="{00000000-0005-0000-0000-00005D040000}"/>
    <cellStyle name="20% - Accent1 5 2 2 2 5" xfId="18839" xr:uid="{00000000-0005-0000-0000-00005E040000}"/>
    <cellStyle name="20% - Accent1 5 2 2 2_Exh G" xfId="2020" xr:uid="{00000000-0005-0000-0000-00005F040000}"/>
    <cellStyle name="20% - Accent1 5 2 2 3" xfId="3737" xr:uid="{00000000-0005-0000-0000-000060040000}"/>
    <cellStyle name="20% - Accent1 5 2 2 3 2" xfId="7329" xr:uid="{00000000-0005-0000-0000-000061040000}"/>
    <cellStyle name="20% - Accent1 5 2 2 3 2 2" xfId="15300" xr:uid="{00000000-0005-0000-0000-000062040000}"/>
    <cellStyle name="20% - Accent1 5 2 2 3 2 3" xfId="23246" xr:uid="{00000000-0005-0000-0000-000063040000}"/>
    <cellStyle name="20% - Accent1 5 2 2 3 3" xfId="11762" xr:uid="{00000000-0005-0000-0000-000064040000}"/>
    <cellStyle name="20% - Accent1 5 2 2 3 4" xfId="19717" xr:uid="{00000000-0005-0000-0000-000065040000}"/>
    <cellStyle name="20% - Accent1 5 2 2 4" xfId="5557" xr:uid="{00000000-0005-0000-0000-000066040000}"/>
    <cellStyle name="20% - Accent1 5 2 2 4 2" xfId="13541" xr:uid="{00000000-0005-0000-0000-000067040000}"/>
    <cellStyle name="20% - Accent1 5 2 2 4 3" xfId="21489" xr:uid="{00000000-0005-0000-0000-000068040000}"/>
    <cellStyle name="20% - Accent1 5 2 2 5" xfId="9110" xr:uid="{00000000-0005-0000-0000-000069040000}"/>
    <cellStyle name="20% - Accent1 5 2 2 5 2" xfId="17068" xr:uid="{00000000-0005-0000-0000-00006A040000}"/>
    <cellStyle name="20% - Accent1 5 2 2 5 3" xfId="25012" xr:uid="{00000000-0005-0000-0000-00006B040000}"/>
    <cellStyle name="20% - Accent1 5 2 2 6" xfId="10006" xr:uid="{00000000-0005-0000-0000-00006C040000}"/>
    <cellStyle name="20% - Accent1 5 2 2 7" xfId="17961" xr:uid="{00000000-0005-0000-0000-00006D040000}"/>
    <cellStyle name="20% - Accent1 5 2 2_Exh G" xfId="2019" xr:uid="{00000000-0005-0000-0000-00006E040000}"/>
    <cellStyle name="20% - Accent1 5 2 3" xfId="1085" xr:uid="{00000000-0005-0000-0000-00006F040000}"/>
    <cellStyle name="20% - Accent1 5 2 3 2" xfId="4615" xr:uid="{00000000-0005-0000-0000-000070040000}"/>
    <cellStyle name="20% - Accent1 5 2 3 2 2" xfId="8206" xr:uid="{00000000-0005-0000-0000-000071040000}"/>
    <cellStyle name="20% - Accent1 5 2 3 2 2 2" xfId="16177" xr:uid="{00000000-0005-0000-0000-000072040000}"/>
    <cellStyle name="20% - Accent1 5 2 3 2 2 3" xfId="24123" xr:uid="{00000000-0005-0000-0000-000073040000}"/>
    <cellStyle name="20% - Accent1 5 2 3 2 3" xfId="12639" xr:uid="{00000000-0005-0000-0000-000074040000}"/>
    <cellStyle name="20% - Accent1 5 2 3 2 4" xfId="20594" xr:uid="{00000000-0005-0000-0000-000075040000}"/>
    <cellStyle name="20% - Accent1 5 2 3 3" xfId="6447" xr:uid="{00000000-0005-0000-0000-000076040000}"/>
    <cellStyle name="20% - Accent1 5 2 3 3 2" xfId="14419" xr:uid="{00000000-0005-0000-0000-000077040000}"/>
    <cellStyle name="20% - Accent1 5 2 3 3 3" xfId="22366" xr:uid="{00000000-0005-0000-0000-000078040000}"/>
    <cellStyle name="20% - Accent1 5 2 3 4" xfId="10883" xr:uid="{00000000-0005-0000-0000-000079040000}"/>
    <cellStyle name="20% - Accent1 5 2 3 5" xfId="18838" xr:uid="{00000000-0005-0000-0000-00007A040000}"/>
    <cellStyle name="20% - Accent1 5 2 3_Exh G" xfId="2021" xr:uid="{00000000-0005-0000-0000-00007B040000}"/>
    <cellStyle name="20% - Accent1 5 2 4" xfId="3736" xr:uid="{00000000-0005-0000-0000-00007C040000}"/>
    <cellStyle name="20% - Accent1 5 2 4 2" xfId="7328" xr:uid="{00000000-0005-0000-0000-00007D040000}"/>
    <cellStyle name="20% - Accent1 5 2 4 2 2" xfId="15299" xr:uid="{00000000-0005-0000-0000-00007E040000}"/>
    <cellStyle name="20% - Accent1 5 2 4 2 3" xfId="23245" xr:uid="{00000000-0005-0000-0000-00007F040000}"/>
    <cellStyle name="20% - Accent1 5 2 4 3" xfId="11761" xr:uid="{00000000-0005-0000-0000-000080040000}"/>
    <cellStyle name="20% - Accent1 5 2 4 4" xfId="19716" xr:uid="{00000000-0005-0000-0000-000081040000}"/>
    <cellStyle name="20% - Accent1 5 2 5" xfId="5556" xr:uid="{00000000-0005-0000-0000-000082040000}"/>
    <cellStyle name="20% - Accent1 5 2 5 2" xfId="13540" xr:uid="{00000000-0005-0000-0000-000083040000}"/>
    <cellStyle name="20% - Accent1 5 2 5 3" xfId="21488" xr:uid="{00000000-0005-0000-0000-000084040000}"/>
    <cellStyle name="20% - Accent1 5 2 6" xfId="9109" xr:uid="{00000000-0005-0000-0000-000085040000}"/>
    <cellStyle name="20% - Accent1 5 2 6 2" xfId="17067" xr:uid="{00000000-0005-0000-0000-000086040000}"/>
    <cellStyle name="20% - Accent1 5 2 6 3" xfId="25011" xr:uid="{00000000-0005-0000-0000-000087040000}"/>
    <cellStyle name="20% - Accent1 5 2 7" xfId="10005" xr:uid="{00000000-0005-0000-0000-000088040000}"/>
    <cellStyle name="20% - Accent1 5 2 8" xfId="17960" xr:uid="{00000000-0005-0000-0000-000089040000}"/>
    <cellStyle name="20% - Accent1 5 2_Exh G" xfId="2018" xr:uid="{00000000-0005-0000-0000-00008A040000}"/>
    <cellStyle name="20% - Accent1 5 3" xfId="59" xr:uid="{00000000-0005-0000-0000-00008B040000}"/>
    <cellStyle name="20% - Accent1 5 3 2" xfId="1087" xr:uid="{00000000-0005-0000-0000-00008C040000}"/>
    <cellStyle name="20% - Accent1 5 3 2 2" xfId="4617" xr:uid="{00000000-0005-0000-0000-00008D040000}"/>
    <cellStyle name="20% - Accent1 5 3 2 2 2" xfId="8208" xr:uid="{00000000-0005-0000-0000-00008E040000}"/>
    <cellStyle name="20% - Accent1 5 3 2 2 2 2" xfId="16179" xr:uid="{00000000-0005-0000-0000-00008F040000}"/>
    <cellStyle name="20% - Accent1 5 3 2 2 2 3" xfId="24125" xr:uid="{00000000-0005-0000-0000-000090040000}"/>
    <cellStyle name="20% - Accent1 5 3 2 2 3" xfId="12641" xr:uid="{00000000-0005-0000-0000-000091040000}"/>
    <cellStyle name="20% - Accent1 5 3 2 2 4" xfId="20596" xr:uid="{00000000-0005-0000-0000-000092040000}"/>
    <cellStyle name="20% - Accent1 5 3 2 3" xfId="6449" xr:uid="{00000000-0005-0000-0000-000093040000}"/>
    <cellStyle name="20% - Accent1 5 3 2 3 2" xfId="14421" xr:uid="{00000000-0005-0000-0000-000094040000}"/>
    <cellStyle name="20% - Accent1 5 3 2 3 3" xfId="22368" xr:uid="{00000000-0005-0000-0000-000095040000}"/>
    <cellStyle name="20% - Accent1 5 3 2 4" xfId="10885" xr:uid="{00000000-0005-0000-0000-000096040000}"/>
    <cellStyle name="20% - Accent1 5 3 2 5" xfId="18840" xr:uid="{00000000-0005-0000-0000-000097040000}"/>
    <cellStyle name="20% - Accent1 5 3 2_Exh G" xfId="2023" xr:uid="{00000000-0005-0000-0000-000098040000}"/>
    <cellStyle name="20% - Accent1 5 3 3" xfId="3738" xr:uid="{00000000-0005-0000-0000-000099040000}"/>
    <cellStyle name="20% - Accent1 5 3 3 2" xfId="7330" xr:uid="{00000000-0005-0000-0000-00009A040000}"/>
    <cellStyle name="20% - Accent1 5 3 3 2 2" xfId="15301" xr:uid="{00000000-0005-0000-0000-00009B040000}"/>
    <cellStyle name="20% - Accent1 5 3 3 2 3" xfId="23247" xr:uid="{00000000-0005-0000-0000-00009C040000}"/>
    <cellStyle name="20% - Accent1 5 3 3 3" xfId="11763" xr:uid="{00000000-0005-0000-0000-00009D040000}"/>
    <cellStyle name="20% - Accent1 5 3 3 4" xfId="19718" xr:uid="{00000000-0005-0000-0000-00009E040000}"/>
    <cellStyle name="20% - Accent1 5 3 4" xfId="5558" xr:uid="{00000000-0005-0000-0000-00009F040000}"/>
    <cellStyle name="20% - Accent1 5 3 4 2" xfId="13542" xr:uid="{00000000-0005-0000-0000-0000A0040000}"/>
    <cellStyle name="20% - Accent1 5 3 4 3" xfId="21490" xr:uid="{00000000-0005-0000-0000-0000A1040000}"/>
    <cellStyle name="20% - Accent1 5 3 5" xfId="9111" xr:uid="{00000000-0005-0000-0000-0000A2040000}"/>
    <cellStyle name="20% - Accent1 5 3 5 2" xfId="17069" xr:uid="{00000000-0005-0000-0000-0000A3040000}"/>
    <cellStyle name="20% - Accent1 5 3 5 3" xfId="25013" xr:uid="{00000000-0005-0000-0000-0000A4040000}"/>
    <cellStyle name="20% - Accent1 5 3 6" xfId="10007" xr:uid="{00000000-0005-0000-0000-0000A5040000}"/>
    <cellStyle name="20% - Accent1 5 3 7" xfId="17962" xr:uid="{00000000-0005-0000-0000-0000A6040000}"/>
    <cellStyle name="20% - Accent1 5 3_Exh G" xfId="2022" xr:uid="{00000000-0005-0000-0000-0000A7040000}"/>
    <cellStyle name="20% - Accent1 5 4" xfId="869" xr:uid="{00000000-0005-0000-0000-0000A8040000}"/>
    <cellStyle name="20% - Accent1 5 5" xfId="1084" xr:uid="{00000000-0005-0000-0000-0000A9040000}"/>
    <cellStyle name="20% - Accent1 5 5 2" xfId="4614" xr:uid="{00000000-0005-0000-0000-0000AA040000}"/>
    <cellStyle name="20% - Accent1 5 5 2 2" xfId="8205" xr:uid="{00000000-0005-0000-0000-0000AB040000}"/>
    <cellStyle name="20% - Accent1 5 5 2 2 2" xfId="16176" xr:uid="{00000000-0005-0000-0000-0000AC040000}"/>
    <cellStyle name="20% - Accent1 5 5 2 2 3" xfId="24122" xr:uid="{00000000-0005-0000-0000-0000AD040000}"/>
    <cellStyle name="20% - Accent1 5 5 2 3" xfId="12638" xr:uid="{00000000-0005-0000-0000-0000AE040000}"/>
    <cellStyle name="20% - Accent1 5 5 2 4" xfId="20593" xr:uid="{00000000-0005-0000-0000-0000AF040000}"/>
    <cellStyle name="20% - Accent1 5 5 3" xfId="6446" xr:uid="{00000000-0005-0000-0000-0000B0040000}"/>
    <cellStyle name="20% - Accent1 5 5 3 2" xfId="14418" xr:uid="{00000000-0005-0000-0000-0000B1040000}"/>
    <cellStyle name="20% - Accent1 5 5 3 3" xfId="22365" xr:uid="{00000000-0005-0000-0000-0000B2040000}"/>
    <cellStyle name="20% - Accent1 5 5 4" xfId="10882" xr:uid="{00000000-0005-0000-0000-0000B3040000}"/>
    <cellStyle name="20% - Accent1 5 5 5" xfId="18837" xr:uid="{00000000-0005-0000-0000-0000B4040000}"/>
    <cellStyle name="20% - Accent1 5 5_Exh G" xfId="2024" xr:uid="{00000000-0005-0000-0000-0000B5040000}"/>
    <cellStyle name="20% - Accent1 5 6" xfId="3735" xr:uid="{00000000-0005-0000-0000-0000B6040000}"/>
    <cellStyle name="20% - Accent1 5 6 2" xfId="7327" xr:uid="{00000000-0005-0000-0000-0000B7040000}"/>
    <cellStyle name="20% - Accent1 5 6 2 2" xfId="15298" xr:uid="{00000000-0005-0000-0000-0000B8040000}"/>
    <cellStyle name="20% - Accent1 5 6 2 3" xfId="23244" xr:uid="{00000000-0005-0000-0000-0000B9040000}"/>
    <cellStyle name="20% - Accent1 5 6 3" xfId="11760" xr:uid="{00000000-0005-0000-0000-0000BA040000}"/>
    <cellStyle name="20% - Accent1 5 6 4" xfId="19715" xr:uid="{00000000-0005-0000-0000-0000BB040000}"/>
    <cellStyle name="20% - Accent1 5 7" xfId="5555" xr:uid="{00000000-0005-0000-0000-0000BC040000}"/>
    <cellStyle name="20% - Accent1 5 7 2" xfId="13539" xr:uid="{00000000-0005-0000-0000-0000BD040000}"/>
    <cellStyle name="20% - Accent1 5 7 3" xfId="21487" xr:uid="{00000000-0005-0000-0000-0000BE040000}"/>
    <cellStyle name="20% - Accent1 5 8" xfId="9108" xr:uid="{00000000-0005-0000-0000-0000BF040000}"/>
    <cellStyle name="20% - Accent1 5 8 2" xfId="17066" xr:uid="{00000000-0005-0000-0000-0000C0040000}"/>
    <cellStyle name="20% - Accent1 5 8 3" xfId="25010" xr:uid="{00000000-0005-0000-0000-0000C1040000}"/>
    <cellStyle name="20% - Accent1 5 9" xfId="10004" xr:uid="{00000000-0005-0000-0000-0000C2040000}"/>
    <cellStyle name="20% - Accent1 5_Exh G" xfId="2017" xr:uid="{00000000-0005-0000-0000-0000C3040000}"/>
    <cellStyle name="20% - Accent1 6" xfId="60" xr:uid="{00000000-0005-0000-0000-0000C4040000}"/>
    <cellStyle name="20% - Accent1 6 10" xfId="17963" xr:uid="{00000000-0005-0000-0000-0000C5040000}"/>
    <cellStyle name="20% - Accent1 6 2" xfId="61" xr:uid="{00000000-0005-0000-0000-0000C6040000}"/>
    <cellStyle name="20% - Accent1 6 2 2" xfId="62" xr:uid="{00000000-0005-0000-0000-0000C7040000}"/>
    <cellStyle name="20% - Accent1 6 2 2 2" xfId="1090" xr:uid="{00000000-0005-0000-0000-0000C8040000}"/>
    <cellStyle name="20% - Accent1 6 2 2 2 2" xfId="4620" xr:uid="{00000000-0005-0000-0000-0000C9040000}"/>
    <cellStyle name="20% - Accent1 6 2 2 2 2 2" xfId="8211" xr:uid="{00000000-0005-0000-0000-0000CA040000}"/>
    <cellStyle name="20% - Accent1 6 2 2 2 2 2 2" xfId="16182" xr:uid="{00000000-0005-0000-0000-0000CB040000}"/>
    <cellStyle name="20% - Accent1 6 2 2 2 2 2 3" xfId="24128" xr:uid="{00000000-0005-0000-0000-0000CC040000}"/>
    <cellStyle name="20% - Accent1 6 2 2 2 2 3" xfId="12644" xr:uid="{00000000-0005-0000-0000-0000CD040000}"/>
    <cellStyle name="20% - Accent1 6 2 2 2 2 4" xfId="20599" xr:uid="{00000000-0005-0000-0000-0000CE040000}"/>
    <cellStyle name="20% - Accent1 6 2 2 2 3" xfId="6452" xr:uid="{00000000-0005-0000-0000-0000CF040000}"/>
    <cellStyle name="20% - Accent1 6 2 2 2 3 2" xfId="14424" xr:uid="{00000000-0005-0000-0000-0000D0040000}"/>
    <cellStyle name="20% - Accent1 6 2 2 2 3 3" xfId="22371" xr:uid="{00000000-0005-0000-0000-0000D1040000}"/>
    <cellStyle name="20% - Accent1 6 2 2 2 4" xfId="10888" xr:uid="{00000000-0005-0000-0000-0000D2040000}"/>
    <cellStyle name="20% - Accent1 6 2 2 2 5" xfId="18843" xr:uid="{00000000-0005-0000-0000-0000D3040000}"/>
    <cellStyle name="20% - Accent1 6 2 2 2_Exh G" xfId="2028" xr:uid="{00000000-0005-0000-0000-0000D4040000}"/>
    <cellStyle name="20% - Accent1 6 2 2 3" xfId="3741" xr:uid="{00000000-0005-0000-0000-0000D5040000}"/>
    <cellStyle name="20% - Accent1 6 2 2 3 2" xfId="7333" xr:uid="{00000000-0005-0000-0000-0000D6040000}"/>
    <cellStyle name="20% - Accent1 6 2 2 3 2 2" xfId="15304" xr:uid="{00000000-0005-0000-0000-0000D7040000}"/>
    <cellStyle name="20% - Accent1 6 2 2 3 2 3" xfId="23250" xr:uid="{00000000-0005-0000-0000-0000D8040000}"/>
    <cellStyle name="20% - Accent1 6 2 2 3 3" xfId="11766" xr:uid="{00000000-0005-0000-0000-0000D9040000}"/>
    <cellStyle name="20% - Accent1 6 2 2 3 4" xfId="19721" xr:uid="{00000000-0005-0000-0000-0000DA040000}"/>
    <cellStyle name="20% - Accent1 6 2 2 4" xfId="5561" xr:uid="{00000000-0005-0000-0000-0000DB040000}"/>
    <cellStyle name="20% - Accent1 6 2 2 4 2" xfId="13545" xr:uid="{00000000-0005-0000-0000-0000DC040000}"/>
    <cellStyle name="20% - Accent1 6 2 2 4 3" xfId="21493" xr:uid="{00000000-0005-0000-0000-0000DD040000}"/>
    <cellStyle name="20% - Accent1 6 2 2 5" xfId="9114" xr:uid="{00000000-0005-0000-0000-0000DE040000}"/>
    <cellStyle name="20% - Accent1 6 2 2 5 2" xfId="17072" xr:uid="{00000000-0005-0000-0000-0000DF040000}"/>
    <cellStyle name="20% - Accent1 6 2 2 5 3" xfId="25016" xr:uid="{00000000-0005-0000-0000-0000E0040000}"/>
    <cellStyle name="20% - Accent1 6 2 2 6" xfId="10010" xr:uid="{00000000-0005-0000-0000-0000E1040000}"/>
    <cellStyle name="20% - Accent1 6 2 2 7" xfId="17965" xr:uid="{00000000-0005-0000-0000-0000E2040000}"/>
    <cellStyle name="20% - Accent1 6 2 2_Exh G" xfId="2027" xr:uid="{00000000-0005-0000-0000-0000E3040000}"/>
    <cellStyle name="20% - Accent1 6 2 3" xfId="1089" xr:uid="{00000000-0005-0000-0000-0000E4040000}"/>
    <cellStyle name="20% - Accent1 6 2 3 2" xfId="4619" xr:uid="{00000000-0005-0000-0000-0000E5040000}"/>
    <cellStyle name="20% - Accent1 6 2 3 2 2" xfId="8210" xr:uid="{00000000-0005-0000-0000-0000E6040000}"/>
    <cellStyle name="20% - Accent1 6 2 3 2 2 2" xfId="16181" xr:uid="{00000000-0005-0000-0000-0000E7040000}"/>
    <cellStyle name="20% - Accent1 6 2 3 2 2 3" xfId="24127" xr:uid="{00000000-0005-0000-0000-0000E8040000}"/>
    <cellStyle name="20% - Accent1 6 2 3 2 3" xfId="12643" xr:uid="{00000000-0005-0000-0000-0000E9040000}"/>
    <cellStyle name="20% - Accent1 6 2 3 2 4" xfId="20598" xr:uid="{00000000-0005-0000-0000-0000EA040000}"/>
    <cellStyle name="20% - Accent1 6 2 3 3" xfId="6451" xr:uid="{00000000-0005-0000-0000-0000EB040000}"/>
    <cellStyle name="20% - Accent1 6 2 3 3 2" xfId="14423" xr:uid="{00000000-0005-0000-0000-0000EC040000}"/>
    <cellStyle name="20% - Accent1 6 2 3 3 3" xfId="22370" xr:uid="{00000000-0005-0000-0000-0000ED040000}"/>
    <cellStyle name="20% - Accent1 6 2 3 4" xfId="10887" xr:uid="{00000000-0005-0000-0000-0000EE040000}"/>
    <cellStyle name="20% - Accent1 6 2 3 5" xfId="18842" xr:uid="{00000000-0005-0000-0000-0000EF040000}"/>
    <cellStyle name="20% - Accent1 6 2 3_Exh G" xfId="2029" xr:uid="{00000000-0005-0000-0000-0000F0040000}"/>
    <cellStyle name="20% - Accent1 6 2 4" xfId="3740" xr:uid="{00000000-0005-0000-0000-0000F1040000}"/>
    <cellStyle name="20% - Accent1 6 2 4 2" xfId="7332" xr:uid="{00000000-0005-0000-0000-0000F2040000}"/>
    <cellStyle name="20% - Accent1 6 2 4 2 2" xfId="15303" xr:uid="{00000000-0005-0000-0000-0000F3040000}"/>
    <cellStyle name="20% - Accent1 6 2 4 2 3" xfId="23249" xr:uid="{00000000-0005-0000-0000-0000F4040000}"/>
    <cellStyle name="20% - Accent1 6 2 4 3" xfId="11765" xr:uid="{00000000-0005-0000-0000-0000F5040000}"/>
    <cellStyle name="20% - Accent1 6 2 4 4" xfId="19720" xr:uid="{00000000-0005-0000-0000-0000F6040000}"/>
    <cellStyle name="20% - Accent1 6 2 5" xfId="5560" xr:uid="{00000000-0005-0000-0000-0000F7040000}"/>
    <cellStyle name="20% - Accent1 6 2 5 2" xfId="13544" xr:uid="{00000000-0005-0000-0000-0000F8040000}"/>
    <cellStyle name="20% - Accent1 6 2 5 3" xfId="21492" xr:uid="{00000000-0005-0000-0000-0000F9040000}"/>
    <cellStyle name="20% - Accent1 6 2 6" xfId="9113" xr:uid="{00000000-0005-0000-0000-0000FA040000}"/>
    <cellStyle name="20% - Accent1 6 2 6 2" xfId="17071" xr:uid="{00000000-0005-0000-0000-0000FB040000}"/>
    <cellStyle name="20% - Accent1 6 2 6 3" xfId="25015" xr:uid="{00000000-0005-0000-0000-0000FC040000}"/>
    <cellStyle name="20% - Accent1 6 2 7" xfId="10009" xr:uid="{00000000-0005-0000-0000-0000FD040000}"/>
    <cellStyle name="20% - Accent1 6 2 8" xfId="17964" xr:uid="{00000000-0005-0000-0000-0000FE040000}"/>
    <cellStyle name="20% - Accent1 6 2_Exh G" xfId="2026" xr:uid="{00000000-0005-0000-0000-0000FF040000}"/>
    <cellStyle name="20% - Accent1 6 3" xfId="63" xr:uid="{00000000-0005-0000-0000-000000050000}"/>
    <cellStyle name="20% - Accent1 6 3 2" xfId="1091" xr:uid="{00000000-0005-0000-0000-000001050000}"/>
    <cellStyle name="20% - Accent1 6 3 2 2" xfId="4621" xr:uid="{00000000-0005-0000-0000-000002050000}"/>
    <cellStyle name="20% - Accent1 6 3 2 2 2" xfId="8212" xr:uid="{00000000-0005-0000-0000-000003050000}"/>
    <cellStyle name="20% - Accent1 6 3 2 2 2 2" xfId="16183" xr:uid="{00000000-0005-0000-0000-000004050000}"/>
    <cellStyle name="20% - Accent1 6 3 2 2 2 3" xfId="24129" xr:uid="{00000000-0005-0000-0000-000005050000}"/>
    <cellStyle name="20% - Accent1 6 3 2 2 3" xfId="12645" xr:uid="{00000000-0005-0000-0000-000006050000}"/>
    <cellStyle name="20% - Accent1 6 3 2 2 4" xfId="20600" xr:uid="{00000000-0005-0000-0000-000007050000}"/>
    <cellStyle name="20% - Accent1 6 3 2 3" xfId="6453" xr:uid="{00000000-0005-0000-0000-000008050000}"/>
    <cellStyle name="20% - Accent1 6 3 2 3 2" xfId="14425" xr:uid="{00000000-0005-0000-0000-000009050000}"/>
    <cellStyle name="20% - Accent1 6 3 2 3 3" xfId="22372" xr:uid="{00000000-0005-0000-0000-00000A050000}"/>
    <cellStyle name="20% - Accent1 6 3 2 4" xfId="10889" xr:uid="{00000000-0005-0000-0000-00000B050000}"/>
    <cellStyle name="20% - Accent1 6 3 2 5" xfId="18844" xr:uid="{00000000-0005-0000-0000-00000C050000}"/>
    <cellStyle name="20% - Accent1 6 3 2_Exh G" xfId="2031" xr:uid="{00000000-0005-0000-0000-00000D050000}"/>
    <cellStyle name="20% - Accent1 6 3 3" xfId="3742" xr:uid="{00000000-0005-0000-0000-00000E050000}"/>
    <cellStyle name="20% - Accent1 6 3 3 2" xfId="7334" xr:uid="{00000000-0005-0000-0000-00000F050000}"/>
    <cellStyle name="20% - Accent1 6 3 3 2 2" xfId="15305" xr:uid="{00000000-0005-0000-0000-000010050000}"/>
    <cellStyle name="20% - Accent1 6 3 3 2 3" xfId="23251" xr:uid="{00000000-0005-0000-0000-000011050000}"/>
    <cellStyle name="20% - Accent1 6 3 3 3" xfId="11767" xr:uid="{00000000-0005-0000-0000-000012050000}"/>
    <cellStyle name="20% - Accent1 6 3 3 4" xfId="19722" xr:uid="{00000000-0005-0000-0000-000013050000}"/>
    <cellStyle name="20% - Accent1 6 3 4" xfId="5562" xr:uid="{00000000-0005-0000-0000-000014050000}"/>
    <cellStyle name="20% - Accent1 6 3 4 2" xfId="13546" xr:uid="{00000000-0005-0000-0000-000015050000}"/>
    <cellStyle name="20% - Accent1 6 3 4 3" xfId="21494" xr:uid="{00000000-0005-0000-0000-000016050000}"/>
    <cellStyle name="20% - Accent1 6 3 5" xfId="9115" xr:uid="{00000000-0005-0000-0000-000017050000}"/>
    <cellStyle name="20% - Accent1 6 3 5 2" xfId="17073" xr:uid="{00000000-0005-0000-0000-000018050000}"/>
    <cellStyle name="20% - Accent1 6 3 5 3" xfId="25017" xr:uid="{00000000-0005-0000-0000-000019050000}"/>
    <cellStyle name="20% - Accent1 6 3 6" xfId="10011" xr:uid="{00000000-0005-0000-0000-00001A050000}"/>
    <cellStyle name="20% - Accent1 6 3 7" xfId="17966" xr:uid="{00000000-0005-0000-0000-00001B050000}"/>
    <cellStyle name="20% - Accent1 6 3_Exh G" xfId="2030" xr:uid="{00000000-0005-0000-0000-00001C050000}"/>
    <cellStyle name="20% - Accent1 6 4" xfId="870" xr:uid="{00000000-0005-0000-0000-00001D050000}"/>
    <cellStyle name="20% - Accent1 6 4 2" xfId="1805" xr:uid="{00000000-0005-0000-0000-00001E050000}"/>
    <cellStyle name="20% - Accent1 6 4 2 2" xfId="5323" xr:uid="{00000000-0005-0000-0000-00001F050000}"/>
    <cellStyle name="20% - Accent1 6 4 2 2 2" xfId="8914" xr:uid="{00000000-0005-0000-0000-000020050000}"/>
    <cellStyle name="20% - Accent1 6 4 2 2 2 2" xfId="16885" xr:uid="{00000000-0005-0000-0000-000021050000}"/>
    <cellStyle name="20% - Accent1 6 4 2 2 2 3" xfId="24831" xr:uid="{00000000-0005-0000-0000-000022050000}"/>
    <cellStyle name="20% - Accent1 6 4 2 2 3" xfId="13347" xr:uid="{00000000-0005-0000-0000-000023050000}"/>
    <cellStyle name="20% - Accent1 6 4 2 2 4" xfId="21302" xr:uid="{00000000-0005-0000-0000-000024050000}"/>
    <cellStyle name="20% - Accent1 6 4 2 3" xfId="7155" xr:uid="{00000000-0005-0000-0000-000025050000}"/>
    <cellStyle name="20% - Accent1 6 4 2 3 2" xfId="15127" xr:uid="{00000000-0005-0000-0000-000026050000}"/>
    <cellStyle name="20% - Accent1 6 4 2 3 3" xfId="23074" xr:uid="{00000000-0005-0000-0000-000027050000}"/>
    <cellStyle name="20% - Accent1 6 4 2 4" xfId="11591" xr:uid="{00000000-0005-0000-0000-000028050000}"/>
    <cellStyle name="20% - Accent1 6 4 2 5" xfId="19546" xr:uid="{00000000-0005-0000-0000-000029050000}"/>
    <cellStyle name="20% - Accent1 6 4 2_Exh G" xfId="2033" xr:uid="{00000000-0005-0000-0000-00002A050000}"/>
    <cellStyle name="20% - Accent1 6 4 3" xfId="4444" xr:uid="{00000000-0005-0000-0000-00002B050000}"/>
    <cellStyle name="20% - Accent1 6 4 3 2" xfId="8036" xr:uid="{00000000-0005-0000-0000-00002C050000}"/>
    <cellStyle name="20% - Accent1 6 4 3 2 2" xfId="16007" xr:uid="{00000000-0005-0000-0000-00002D050000}"/>
    <cellStyle name="20% - Accent1 6 4 3 2 3" xfId="23953" xr:uid="{00000000-0005-0000-0000-00002E050000}"/>
    <cellStyle name="20% - Accent1 6 4 3 3" xfId="12469" xr:uid="{00000000-0005-0000-0000-00002F050000}"/>
    <cellStyle name="20% - Accent1 6 4 3 4" xfId="20424" xr:uid="{00000000-0005-0000-0000-000030050000}"/>
    <cellStyle name="20% - Accent1 6 4 4" xfId="6274" xr:uid="{00000000-0005-0000-0000-000031050000}"/>
    <cellStyle name="20% - Accent1 6 4 4 2" xfId="14249" xr:uid="{00000000-0005-0000-0000-000032050000}"/>
    <cellStyle name="20% - Accent1 6 4 4 3" xfId="22196" xr:uid="{00000000-0005-0000-0000-000033050000}"/>
    <cellStyle name="20% - Accent1 6 4 5" xfId="9817" xr:uid="{00000000-0005-0000-0000-000034050000}"/>
    <cellStyle name="20% - Accent1 6 4 5 2" xfId="17775" xr:uid="{00000000-0005-0000-0000-000035050000}"/>
    <cellStyle name="20% - Accent1 6 4 5 3" xfId="25719" xr:uid="{00000000-0005-0000-0000-000036050000}"/>
    <cellStyle name="20% - Accent1 6 4 6" xfId="10713" xr:uid="{00000000-0005-0000-0000-000037050000}"/>
    <cellStyle name="20% - Accent1 6 4 7" xfId="18668" xr:uid="{00000000-0005-0000-0000-000038050000}"/>
    <cellStyle name="20% - Accent1 6 4_Exh G" xfId="2032" xr:uid="{00000000-0005-0000-0000-000039050000}"/>
    <cellStyle name="20% - Accent1 6 5" xfId="1088" xr:uid="{00000000-0005-0000-0000-00003A050000}"/>
    <cellStyle name="20% - Accent1 6 5 2" xfId="4618" xr:uid="{00000000-0005-0000-0000-00003B050000}"/>
    <cellStyle name="20% - Accent1 6 5 2 2" xfId="8209" xr:uid="{00000000-0005-0000-0000-00003C050000}"/>
    <cellStyle name="20% - Accent1 6 5 2 2 2" xfId="16180" xr:uid="{00000000-0005-0000-0000-00003D050000}"/>
    <cellStyle name="20% - Accent1 6 5 2 2 3" xfId="24126" xr:uid="{00000000-0005-0000-0000-00003E050000}"/>
    <cellStyle name="20% - Accent1 6 5 2 3" xfId="12642" xr:uid="{00000000-0005-0000-0000-00003F050000}"/>
    <cellStyle name="20% - Accent1 6 5 2 4" xfId="20597" xr:uid="{00000000-0005-0000-0000-000040050000}"/>
    <cellStyle name="20% - Accent1 6 5 3" xfId="6450" xr:uid="{00000000-0005-0000-0000-000041050000}"/>
    <cellStyle name="20% - Accent1 6 5 3 2" xfId="14422" xr:uid="{00000000-0005-0000-0000-000042050000}"/>
    <cellStyle name="20% - Accent1 6 5 3 3" xfId="22369" xr:uid="{00000000-0005-0000-0000-000043050000}"/>
    <cellStyle name="20% - Accent1 6 5 4" xfId="10886" xr:uid="{00000000-0005-0000-0000-000044050000}"/>
    <cellStyle name="20% - Accent1 6 5 5" xfId="18841" xr:uid="{00000000-0005-0000-0000-000045050000}"/>
    <cellStyle name="20% - Accent1 6 5_Exh G" xfId="2034" xr:uid="{00000000-0005-0000-0000-000046050000}"/>
    <cellStyle name="20% - Accent1 6 6" xfId="3739" xr:uid="{00000000-0005-0000-0000-000047050000}"/>
    <cellStyle name="20% - Accent1 6 6 2" xfId="7331" xr:uid="{00000000-0005-0000-0000-000048050000}"/>
    <cellStyle name="20% - Accent1 6 6 2 2" xfId="15302" xr:uid="{00000000-0005-0000-0000-000049050000}"/>
    <cellStyle name="20% - Accent1 6 6 2 3" xfId="23248" xr:uid="{00000000-0005-0000-0000-00004A050000}"/>
    <cellStyle name="20% - Accent1 6 6 3" xfId="11764" xr:uid="{00000000-0005-0000-0000-00004B050000}"/>
    <cellStyle name="20% - Accent1 6 6 4" xfId="19719" xr:uid="{00000000-0005-0000-0000-00004C050000}"/>
    <cellStyle name="20% - Accent1 6 7" xfId="5559" xr:uid="{00000000-0005-0000-0000-00004D050000}"/>
    <cellStyle name="20% - Accent1 6 7 2" xfId="13543" xr:uid="{00000000-0005-0000-0000-00004E050000}"/>
    <cellStyle name="20% - Accent1 6 7 3" xfId="21491" xr:uid="{00000000-0005-0000-0000-00004F050000}"/>
    <cellStyle name="20% - Accent1 6 8" xfId="9112" xr:uid="{00000000-0005-0000-0000-000050050000}"/>
    <cellStyle name="20% - Accent1 6 8 2" xfId="17070" xr:uid="{00000000-0005-0000-0000-000051050000}"/>
    <cellStyle name="20% - Accent1 6 8 3" xfId="25014" xr:uid="{00000000-0005-0000-0000-000052050000}"/>
    <cellStyle name="20% - Accent1 6 9" xfId="10008" xr:uid="{00000000-0005-0000-0000-000053050000}"/>
    <cellStyle name="20% - Accent1 6_Exh G" xfId="2025" xr:uid="{00000000-0005-0000-0000-000054050000}"/>
    <cellStyle name="20% - Accent1 7" xfId="64" xr:uid="{00000000-0005-0000-0000-000055050000}"/>
    <cellStyle name="20% - Accent1 7 10" xfId="17967" xr:uid="{00000000-0005-0000-0000-000056050000}"/>
    <cellStyle name="20% - Accent1 7 2" xfId="65" xr:uid="{00000000-0005-0000-0000-000057050000}"/>
    <cellStyle name="20% - Accent1 7 2 2" xfId="66" xr:uid="{00000000-0005-0000-0000-000058050000}"/>
    <cellStyle name="20% - Accent1 7 2 2 2" xfId="1094" xr:uid="{00000000-0005-0000-0000-000059050000}"/>
    <cellStyle name="20% - Accent1 7 2 2 2 2" xfId="4624" xr:uid="{00000000-0005-0000-0000-00005A050000}"/>
    <cellStyle name="20% - Accent1 7 2 2 2 2 2" xfId="8215" xr:uid="{00000000-0005-0000-0000-00005B050000}"/>
    <cellStyle name="20% - Accent1 7 2 2 2 2 2 2" xfId="16186" xr:uid="{00000000-0005-0000-0000-00005C050000}"/>
    <cellStyle name="20% - Accent1 7 2 2 2 2 2 3" xfId="24132" xr:uid="{00000000-0005-0000-0000-00005D050000}"/>
    <cellStyle name="20% - Accent1 7 2 2 2 2 3" xfId="12648" xr:uid="{00000000-0005-0000-0000-00005E050000}"/>
    <cellStyle name="20% - Accent1 7 2 2 2 2 4" xfId="20603" xr:uid="{00000000-0005-0000-0000-00005F050000}"/>
    <cellStyle name="20% - Accent1 7 2 2 2 3" xfId="6456" xr:uid="{00000000-0005-0000-0000-000060050000}"/>
    <cellStyle name="20% - Accent1 7 2 2 2 3 2" xfId="14428" xr:uid="{00000000-0005-0000-0000-000061050000}"/>
    <cellStyle name="20% - Accent1 7 2 2 2 3 3" xfId="22375" xr:uid="{00000000-0005-0000-0000-000062050000}"/>
    <cellStyle name="20% - Accent1 7 2 2 2 4" xfId="10892" xr:uid="{00000000-0005-0000-0000-000063050000}"/>
    <cellStyle name="20% - Accent1 7 2 2 2 5" xfId="18847" xr:uid="{00000000-0005-0000-0000-000064050000}"/>
    <cellStyle name="20% - Accent1 7 2 2 2_Exh G" xfId="2038" xr:uid="{00000000-0005-0000-0000-000065050000}"/>
    <cellStyle name="20% - Accent1 7 2 2 3" xfId="3745" xr:uid="{00000000-0005-0000-0000-000066050000}"/>
    <cellStyle name="20% - Accent1 7 2 2 3 2" xfId="7337" xr:uid="{00000000-0005-0000-0000-000067050000}"/>
    <cellStyle name="20% - Accent1 7 2 2 3 2 2" xfId="15308" xr:uid="{00000000-0005-0000-0000-000068050000}"/>
    <cellStyle name="20% - Accent1 7 2 2 3 2 3" xfId="23254" xr:uid="{00000000-0005-0000-0000-000069050000}"/>
    <cellStyle name="20% - Accent1 7 2 2 3 3" xfId="11770" xr:uid="{00000000-0005-0000-0000-00006A050000}"/>
    <cellStyle name="20% - Accent1 7 2 2 3 4" xfId="19725" xr:uid="{00000000-0005-0000-0000-00006B050000}"/>
    <cellStyle name="20% - Accent1 7 2 2 4" xfId="5565" xr:uid="{00000000-0005-0000-0000-00006C050000}"/>
    <cellStyle name="20% - Accent1 7 2 2 4 2" xfId="13549" xr:uid="{00000000-0005-0000-0000-00006D050000}"/>
    <cellStyle name="20% - Accent1 7 2 2 4 3" xfId="21497" xr:uid="{00000000-0005-0000-0000-00006E050000}"/>
    <cellStyle name="20% - Accent1 7 2 2 5" xfId="9118" xr:uid="{00000000-0005-0000-0000-00006F050000}"/>
    <cellStyle name="20% - Accent1 7 2 2 5 2" xfId="17076" xr:uid="{00000000-0005-0000-0000-000070050000}"/>
    <cellStyle name="20% - Accent1 7 2 2 5 3" xfId="25020" xr:uid="{00000000-0005-0000-0000-000071050000}"/>
    <cellStyle name="20% - Accent1 7 2 2 6" xfId="10014" xr:uid="{00000000-0005-0000-0000-000072050000}"/>
    <cellStyle name="20% - Accent1 7 2 2 7" xfId="17969" xr:uid="{00000000-0005-0000-0000-000073050000}"/>
    <cellStyle name="20% - Accent1 7 2 2_Exh G" xfId="2037" xr:uid="{00000000-0005-0000-0000-000074050000}"/>
    <cellStyle name="20% - Accent1 7 2 3" xfId="1093" xr:uid="{00000000-0005-0000-0000-000075050000}"/>
    <cellStyle name="20% - Accent1 7 2 3 2" xfId="4623" xr:uid="{00000000-0005-0000-0000-000076050000}"/>
    <cellStyle name="20% - Accent1 7 2 3 2 2" xfId="8214" xr:uid="{00000000-0005-0000-0000-000077050000}"/>
    <cellStyle name="20% - Accent1 7 2 3 2 2 2" xfId="16185" xr:uid="{00000000-0005-0000-0000-000078050000}"/>
    <cellStyle name="20% - Accent1 7 2 3 2 2 3" xfId="24131" xr:uid="{00000000-0005-0000-0000-000079050000}"/>
    <cellStyle name="20% - Accent1 7 2 3 2 3" xfId="12647" xr:uid="{00000000-0005-0000-0000-00007A050000}"/>
    <cellStyle name="20% - Accent1 7 2 3 2 4" xfId="20602" xr:uid="{00000000-0005-0000-0000-00007B050000}"/>
    <cellStyle name="20% - Accent1 7 2 3 3" xfId="6455" xr:uid="{00000000-0005-0000-0000-00007C050000}"/>
    <cellStyle name="20% - Accent1 7 2 3 3 2" xfId="14427" xr:uid="{00000000-0005-0000-0000-00007D050000}"/>
    <cellStyle name="20% - Accent1 7 2 3 3 3" xfId="22374" xr:uid="{00000000-0005-0000-0000-00007E050000}"/>
    <cellStyle name="20% - Accent1 7 2 3 4" xfId="10891" xr:uid="{00000000-0005-0000-0000-00007F050000}"/>
    <cellStyle name="20% - Accent1 7 2 3 5" xfId="18846" xr:uid="{00000000-0005-0000-0000-000080050000}"/>
    <cellStyle name="20% - Accent1 7 2 3_Exh G" xfId="2039" xr:uid="{00000000-0005-0000-0000-000081050000}"/>
    <cellStyle name="20% - Accent1 7 2 4" xfId="3744" xr:uid="{00000000-0005-0000-0000-000082050000}"/>
    <cellStyle name="20% - Accent1 7 2 4 2" xfId="7336" xr:uid="{00000000-0005-0000-0000-000083050000}"/>
    <cellStyle name="20% - Accent1 7 2 4 2 2" xfId="15307" xr:uid="{00000000-0005-0000-0000-000084050000}"/>
    <cellStyle name="20% - Accent1 7 2 4 2 3" xfId="23253" xr:uid="{00000000-0005-0000-0000-000085050000}"/>
    <cellStyle name="20% - Accent1 7 2 4 3" xfId="11769" xr:uid="{00000000-0005-0000-0000-000086050000}"/>
    <cellStyle name="20% - Accent1 7 2 4 4" xfId="19724" xr:uid="{00000000-0005-0000-0000-000087050000}"/>
    <cellStyle name="20% - Accent1 7 2 5" xfId="5564" xr:uid="{00000000-0005-0000-0000-000088050000}"/>
    <cellStyle name="20% - Accent1 7 2 5 2" xfId="13548" xr:uid="{00000000-0005-0000-0000-000089050000}"/>
    <cellStyle name="20% - Accent1 7 2 5 3" xfId="21496" xr:uid="{00000000-0005-0000-0000-00008A050000}"/>
    <cellStyle name="20% - Accent1 7 2 6" xfId="9117" xr:uid="{00000000-0005-0000-0000-00008B050000}"/>
    <cellStyle name="20% - Accent1 7 2 6 2" xfId="17075" xr:uid="{00000000-0005-0000-0000-00008C050000}"/>
    <cellStyle name="20% - Accent1 7 2 6 3" xfId="25019" xr:uid="{00000000-0005-0000-0000-00008D050000}"/>
    <cellStyle name="20% - Accent1 7 2 7" xfId="10013" xr:uid="{00000000-0005-0000-0000-00008E050000}"/>
    <cellStyle name="20% - Accent1 7 2 8" xfId="17968" xr:uid="{00000000-0005-0000-0000-00008F050000}"/>
    <cellStyle name="20% - Accent1 7 2_Exh G" xfId="2036" xr:uid="{00000000-0005-0000-0000-000090050000}"/>
    <cellStyle name="20% - Accent1 7 3" xfId="67" xr:uid="{00000000-0005-0000-0000-000091050000}"/>
    <cellStyle name="20% - Accent1 7 3 2" xfId="1095" xr:uid="{00000000-0005-0000-0000-000092050000}"/>
    <cellStyle name="20% - Accent1 7 3 2 2" xfId="4625" xr:uid="{00000000-0005-0000-0000-000093050000}"/>
    <cellStyle name="20% - Accent1 7 3 2 2 2" xfId="8216" xr:uid="{00000000-0005-0000-0000-000094050000}"/>
    <cellStyle name="20% - Accent1 7 3 2 2 2 2" xfId="16187" xr:uid="{00000000-0005-0000-0000-000095050000}"/>
    <cellStyle name="20% - Accent1 7 3 2 2 2 3" xfId="24133" xr:uid="{00000000-0005-0000-0000-000096050000}"/>
    <cellStyle name="20% - Accent1 7 3 2 2 3" xfId="12649" xr:uid="{00000000-0005-0000-0000-000097050000}"/>
    <cellStyle name="20% - Accent1 7 3 2 2 4" xfId="20604" xr:uid="{00000000-0005-0000-0000-000098050000}"/>
    <cellStyle name="20% - Accent1 7 3 2 3" xfId="6457" xr:uid="{00000000-0005-0000-0000-000099050000}"/>
    <cellStyle name="20% - Accent1 7 3 2 3 2" xfId="14429" xr:uid="{00000000-0005-0000-0000-00009A050000}"/>
    <cellStyle name="20% - Accent1 7 3 2 3 3" xfId="22376" xr:uid="{00000000-0005-0000-0000-00009B050000}"/>
    <cellStyle name="20% - Accent1 7 3 2 4" xfId="10893" xr:uid="{00000000-0005-0000-0000-00009C050000}"/>
    <cellStyle name="20% - Accent1 7 3 2 5" xfId="18848" xr:uid="{00000000-0005-0000-0000-00009D050000}"/>
    <cellStyle name="20% - Accent1 7 3 2_Exh G" xfId="2041" xr:uid="{00000000-0005-0000-0000-00009E050000}"/>
    <cellStyle name="20% - Accent1 7 3 3" xfId="3746" xr:uid="{00000000-0005-0000-0000-00009F050000}"/>
    <cellStyle name="20% - Accent1 7 3 3 2" xfId="7338" xr:uid="{00000000-0005-0000-0000-0000A0050000}"/>
    <cellStyle name="20% - Accent1 7 3 3 2 2" xfId="15309" xr:uid="{00000000-0005-0000-0000-0000A1050000}"/>
    <cellStyle name="20% - Accent1 7 3 3 2 3" xfId="23255" xr:uid="{00000000-0005-0000-0000-0000A2050000}"/>
    <cellStyle name="20% - Accent1 7 3 3 3" xfId="11771" xr:uid="{00000000-0005-0000-0000-0000A3050000}"/>
    <cellStyle name="20% - Accent1 7 3 3 4" xfId="19726" xr:uid="{00000000-0005-0000-0000-0000A4050000}"/>
    <cellStyle name="20% - Accent1 7 3 4" xfId="5566" xr:uid="{00000000-0005-0000-0000-0000A5050000}"/>
    <cellStyle name="20% - Accent1 7 3 4 2" xfId="13550" xr:uid="{00000000-0005-0000-0000-0000A6050000}"/>
    <cellStyle name="20% - Accent1 7 3 4 3" xfId="21498" xr:uid="{00000000-0005-0000-0000-0000A7050000}"/>
    <cellStyle name="20% - Accent1 7 3 5" xfId="9119" xr:uid="{00000000-0005-0000-0000-0000A8050000}"/>
    <cellStyle name="20% - Accent1 7 3 5 2" xfId="17077" xr:uid="{00000000-0005-0000-0000-0000A9050000}"/>
    <cellStyle name="20% - Accent1 7 3 5 3" xfId="25021" xr:uid="{00000000-0005-0000-0000-0000AA050000}"/>
    <cellStyle name="20% - Accent1 7 3 6" xfId="10015" xr:uid="{00000000-0005-0000-0000-0000AB050000}"/>
    <cellStyle name="20% - Accent1 7 3 7" xfId="17970" xr:uid="{00000000-0005-0000-0000-0000AC050000}"/>
    <cellStyle name="20% - Accent1 7 3_Exh G" xfId="2040" xr:uid="{00000000-0005-0000-0000-0000AD050000}"/>
    <cellStyle name="20% - Accent1 7 4" xfId="871" xr:uid="{00000000-0005-0000-0000-0000AE050000}"/>
    <cellStyle name="20% - Accent1 7 4 2" xfId="1806" xr:uid="{00000000-0005-0000-0000-0000AF050000}"/>
    <cellStyle name="20% - Accent1 7 4 2 2" xfId="5324" xr:uid="{00000000-0005-0000-0000-0000B0050000}"/>
    <cellStyle name="20% - Accent1 7 4 2 2 2" xfId="8915" xr:uid="{00000000-0005-0000-0000-0000B1050000}"/>
    <cellStyle name="20% - Accent1 7 4 2 2 2 2" xfId="16886" xr:uid="{00000000-0005-0000-0000-0000B2050000}"/>
    <cellStyle name="20% - Accent1 7 4 2 2 2 3" xfId="24832" xr:uid="{00000000-0005-0000-0000-0000B3050000}"/>
    <cellStyle name="20% - Accent1 7 4 2 2 3" xfId="13348" xr:uid="{00000000-0005-0000-0000-0000B4050000}"/>
    <cellStyle name="20% - Accent1 7 4 2 2 4" xfId="21303" xr:uid="{00000000-0005-0000-0000-0000B5050000}"/>
    <cellStyle name="20% - Accent1 7 4 2 3" xfId="7156" xr:uid="{00000000-0005-0000-0000-0000B6050000}"/>
    <cellStyle name="20% - Accent1 7 4 2 3 2" xfId="15128" xr:uid="{00000000-0005-0000-0000-0000B7050000}"/>
    <cellStyle name="20% - Accent1 7 4 2 3 3" xfId="23075" xr:uid="{00000000-0005-0000-0000-0000B8050000}"/>
    <cellStyle name="20% - Accent1 7 4 2 4" xfId="11592" xr:uid="{00000000-0005-0000-0000-0000B9050000}"/>
    <cellStyle name="20% - Accent1 7 4 2 5" xfId="19547" xr:uid="{00000000-0005-0000-0000-0000BA050000}"/>
    <cellStyle name="20% - Accent1 7 4 2_Exh G" xfId="2043" xr:uid="{00000000-0005-0000-0000-0000BB050000}"/>
    <cellStyle name="20% - Accent1 7 4 3" xfId="4445" xr:uid="{00000000-0005-0000-0000-0000BC050000}"/>
    <cellStyle name="20% - Accent1 7 4 3 2" xfId="8037" xr:uid="{00000000-0005-0000-0000-0000BD050000}"/>
    <cellStyle name="20% - Accent1 7 4 3 2 2" xfId="16008" xr:uid="{00000000-0005-0000-0000-0000BE050000}"/>
    <cellStyle name="20% - Accent1 7 4 3 2 3" xfId="23954" xr:uid="{00000000-0005-0000-0000-0000BF050000}"/>
    <cellStyle name="20% - Accent1 7 4 3 3" xfId="12470" xr:uid="{00000000-0005-0000-0000-0000C0050000}"/>
    <cellStyle name="20% - Accent1 7 4 3 4" xfId="20425" xr:uid="{00000000-0005-0000-0000-0000C1050000}"/>
    <cellStyle name="20% - Accent1 7 4 4" xfId="6275" xr:uid="{00000000-0005-0000-0000-0000C2050000}"/>
    <cellStyle name="20% - Accent1 7 4 4 2" xfId="14250" xr:uid="{00000000-0005-0000-0000-0000C3050000}"/>
    <cellStyle name="20% - Accent1 7 4 4 3" xfId="22197" xr:uid="{00000000-0005-0000-0000-0000C4050000}"/>
    <cellStyle name="20% - Accent1 7 4 5" xfId="9818" xr:uid="{00000000-0005-0000-0000-0000C5050000}"/>
    <cellStyle name="20% - Accent1 7 4 5 2" xfId="17776" xr:uid="{00000000-0005-0000-0000-0000C6050000}"/>
    <cellStyle name="20% - Accent1 7 4 5 3" xfId="25720" xr:uid="{00000000-0005-0000-0000-0000C7050000}"/>
    <cellStyle name="20% - Accent1 7 4 6" xfId="10714" xr:uid="{00000000-0005-0000-0000-0000C8050000}"/>
    <cellStyle name="20% - Accent1 7 4 7" xfId="18669" xr:uid="{00000000-0005-0000-0000-0000C9050000}"/>
    <cellStyle name="20% - Accent1 7 4_Exh G" xfId="2042" xr:uid="{00000000-0005-0000-0000-0000CA050000}"/>
    <cellStyle name="20% - Accent1 7 5" xfId="1092" xr:uid="{00000000-0005-0000-0000-0000CB050000}"/>
    <cellStyle name="20% - Accent1 7 5 2" xfId="4622" xr:uid="{00000000-0005-0000-0000-0000CC050000}"/>
    <cellStyle name="20% - Accent1 7 5 2 2" xfId="8213" xr:uid="{00000000-0005-0000-0000-0000CD050000}"/>
    <cellStyle name="20% - Accent1 7 5 2 2 2" xfId="16184" xr:uid="{00000000-0005-0000-0000-0000CE050000}"/>
    <cellStyle name="20% - Accent1 7 5 2 2 3" xfId="24130" xr:uid="{00000000-0005-0000-0000-0000CF050000}"/>
    <cellStyle name="20% - Accent1 7 5 2 3" xfId="12646" xr:uid="{00000000-0005-0000-0000-0000D0050000}"/>
    <cellStyle name="20% - Accent1 7 5 2 4" xfId="20601" xr:uid="{00000000-0005-0000-0000-0000D1050000}"/>
    <cellStyle name="20% - Accent1 7 5 3" xfId="6454" xr:uid="{00000000-0005-0000-0000-0000D2050000}"/>
    <cellStyle name="20% - Accent1 7 5 3 2" xfId="14426" xr:uid="{00000000-0005-0000-0000-0000D3050000}"/>
    <cellStyle name="20% - Accent1 7 5 3 3" xfId="22373" xr:uid="{00000000-0005-0000-0000-0000D4050000}"/>
    <cellStyle name="20% - Accent1 7 5 4" xfId="10890" xr:uid="{00000000-0005-0000-0000-0000D5050000}"/>
    <cellStyle name="20% - Accent1 7 5 5" xfId="18845" xr:uid="{00000000-0005-0000-0000-0000D6050000}"/>
    <cellStyle name="20% - Accent1 7 5_Exh G" xfId="2044" xr:uid="{00000000-0005-0000-0000-0000D7050000}"/>
    <cellStyle name="20% - Accent1 7 6" xfId="3743" xr:uid="{00000000-0005-0000-0000-0000D8050000}"/>
    <cellStyle name="20% - Accent1 7 6 2" xfId="7335" xr:uid="{00000000-0005-0000-0000-0000D9050000}"/>
    <cellStyle name="20% - Accent1 7 6 2 2" xfId="15306" xr:uid="{00000000-0005-0000-0000-0000DA050000}"/>
    <cellStyle name="20% - Accent1 7 6 2 3" xfId="23252" xr:uid="{00000000-0005-0000-0000-0000DB050000}"/>
    <cellStyle name="20% - Accent1 7 6 3" xfId="11768" xr:uid="{00000000-0005-0000-0000-0000DC050000}"/>
    <cellStyle name="20% - Accent1 7 6 4" xfId="19723" xr:uid="{00000000-0005-0000-0000-0000DD050000}"/>
    <cellStyle name="20% - Accent1 7 7" xfId="5563" xr:uid="{00000000-0005-0000-0000-0000DE050000}"/>
    <cellStyle name="20% - Accent1 7 7 2" xfId="13547" xr:uid="{00000000-0005-0000-0000-0000DF050000}"/>
    <cellStyle name="20% - Accent1 7 7 3" xfId="21495" xr:uid="{00000000-0005-0000-0000-0000E0050000}"/>
    <cellStyle name="20% - Accent1 7 8" xfId="9116" xr:uid="{00000000-0005-0000-0000-0000E1050000}"/>
    <cellStyle name="20% - Accent1 7 8 2" xfId="17074" xr:uid="{00000000-0005-0000-0000-0000E2050000}"/>
    <cellStyle name="20% - Accent1 7 8 3" xfId="25018" xr:uid="{00000000-0005-0000-0000-0000E3050000}"/>
    <cellStyle name="20% - Accent1 7 9" xfId="10012" xr:uid="{00000000-0005-0000-0000-0000E4050000}"/>
    <cellStyle name="20% - Accent1 7_Exh G" xfId="2035" xr:uid="{00000000-0005-0000-0000-0000E5050000}"/>
    <cellStyle name="20% - Accent1 8" xfId="68" xr:uid="{00000000-0005-0000-0000-0000E6050000}"/>
    <cellStyle name="20% - Accent1 8 10" xfId="17971" xr:uid="{00000000-0005-0000-0000-0000E7050000}"/>
    <cellStyle name="20% - Accent1 8 2" xfId="69" xr:uid="{00000000-0005-0000-0000-0000E8050000}"/>
    <cellStyle name="20% - Accent1 8 2 2" xfId="70" xr:uid="{00000000-0005-0000-0000-0000E9050000}"/>
    <cellStyle name="20% - Accent1 8 2 2 2" xfId="1098" xr:uid="{00000000-0005-0000-0000-0000EA050000}"/>
    <cellStyle name="20% - Accent1 8 2 2 2 2" xfId="4628" xr:uid="{00000000-0005-0000-0000-0000EB050000}"/>
    <cellStyle name="20% - Accent1 8 2 2 2 2 2" xfId="8219" xr:uid="{00000000-0005-0000-0000-0000EC050000}"/>
    <cellStyle name="20% - Accent1 8 2 2 2 2 2 2" xfId="16190" xr:uid="{00000000-0005-0000-0000-0000ED050000}"/>
    <cellStyle name="20% - Accent1 8 2 2 2 2 2 3" xfId="24136" xr:uid="{00000000-0005-0000-0000-0000EE050000}"/>
    <cellStyle name="20% - Accent1 8 2 2 2 2 3" xfId="12652" xr:uid="{00000000-0005-0000-0000-0000EF050000}"/>
    <cellStyle name="20% - Accent1 8 2 2 2 2 4" xfId="20607" xr:uid="{00000000-0005-0000-0000-0000F0050000}"/>
    <cellStyle name="20% - Accent1 8 2 2 2 3" xfId="6460" xr:uid="{00000000-0005-0000-0000-0000F1050000}"/>
    <cellStyle name="20% - Accent1 8 2 2 2 3 2" xfId="14432" xr:uid="{00000000-0005-0000-0000-0000F2050000}"/>
    <cellStyle name="20% - Accent1 8 2 2 2 3 3" xfId="22379" xr:uid="{00000000-0005-0000-0000-0000F3050000}"/>
    <cellStyle name="20% - Accent1 8 2 2 2 4" xfId="10896" xr:uid="{00000000-0005-0000-0000-0000F4050000}"/>
    <cellStyle name="20% - Accent1 8 2 2 2 5" xfId="18851" xr:uid="{00000000-0005-0000-0000-0000F5050000}"/>
    <cellStyle name="20% - Accent1 8 2 2 2_Exh G" xfId="2048" xr:uid="{00000000-0005-0000-0000-0000F6050000}"/>
    <cellStyle name="20% - Accent1 8 2 2 3" xfId="3749" xr:uid="{00000000-0005-0000-0000-0000F7050000}"/>
    <cellStyle name="20% - Accent1 8 2 2 3 2" xfId="7341" xr:uid="{00000000-0005-0000-0000-0000F8050000}"/>
    <cellStyle name="20% - Accent1 8 2 2 3 2 2" xfId="15312" xr:uid="{00000000-0005-0000-0000-0000F9050000}"/>
    <cellStyle name="20% - Accent1 8 2 2 3 2 3" xfId="23258" xr:uid="{00000000-0005-0000-0000-0000FA050000}"/>
    <cellStyle name="20% - Accent1 8 2 2 3 3" xfId="11774" xr:uid="{00000000-0005-0000-0000-0000FB050000}"/>
    <cellStyle name="20% - Accent1 8 2 2 3 4" xfId="19729" xr:uid="{00000000-0005-0000-0000-0000FC050000}"/>
    <cellStyle name="20% - Accent1 8 2 2 4" xfId="5569" xr:uid="{00000000-0005-0000-0000-0000FD050000}"/>
    <cellStyle name="20% - Accent1 8 2 2 4 2" xfId="13553" xr:uid="{00000000-0005-0000-0000-0000FE050000}"/>
    <cellStyle name="20% - Accent1 8 2 2 4 3" xfId="21501" xr:uid="{00000000-0005-0000-0000-0000FF050000}"/>
    <cellStyle name="20% - Accent1 8 2 2 5" xfId="9122" xr:uid="{00000000-0005-0000-0000-000000060000}"/>
    <cellStyle name="20% - Accent1 8 2 2 5 2" xfId="17080" xr:uid="{00000000-0005-0000-0000-000001060000}"/>
    <cellStyle name="20% - Accent1 8 2 2 5 3" xfId="25024" xr:uid="{00000000-0005-0000-0000-000002060000}"/>
    <cellStyle name="20% - Accent1 8 2 2 6" xfId="10018" xr:uid="{00000000-0005-0000-0000-000003060000}"/>
    <cellStyle name="20% - Accent1 8 2 2 7" xfId="17973" xr:uid="{00000000-0005-0000-0000-000004060000}"/>
    <cellStyle name="20% - Accent1 8 2 2_Exh G" xfId="2047" xr:uid="{00000000-0005-0000-0000-000005060000}"/>
    <cellStyle name="20% - Accent1 8 2 3" xfId="1097" xr:uid="{00000000-0005-0000-0000-000006060000}"/>
    <cellStyle name="20% - Accent1 8 2 3 2" xfId="4627" xr:uid="{00000000-0005-0000-0000-000007060000}"/>
    <cellStyle name="20% - Accent1 8 2 3 2 2" xfId="8218" xr:uid="{00000000-0005-0000-0000-000008060000}"/>
    <cellStyle name="20% - Accent1 8 2 3 2 2 2" xfId="16189" xr:uid="{00000000-0005-0000-0000-000009060000}"/>
    <cellStyle name="20% - Accent1 8 2 3 2 2 3" xfId="24135" xr:uid="{00000000-0005-0000-0000-00000A060000}"/>
    <cellStyle name="20% - Accent1 8 2 3 2 3" xfId="12651" xr:uid="{00000000-0005-0000-0000-00000B060000}"/>
    <cellStyle name="20% - Accent1 8 2 3 2 4" xfId="20606" xr:uid="{00000000-0005-0000-0000-00000C060000}"/>
    <cellStyle name="20% - Accent1 8 2 3 3" xfId="6459" xr:uid="{00000000-0005-0000-0000-00000D060000}"/>
    <cellStyle name="20% - Accent1 8 2 3 3 2" xfId="14431" xr:uid="{00000000-0005-0000-0000-00000E060000}"/>
    <cellStyle name="20% - Accent1 8 2 3 3 3" xfId="22378" xr:uid="{00000000-0005-0000-0000-00000F060000}"/>
    <cellStyle name="20% - Accent1 8 2 3 4" xfId="10895" xr:uid="{00000000-0005-0000-0000-000010060000}"/>
    <cellStyle name="20% - Accent1 8 2 3 5" xfId="18850" xr:uid="{00000000-0005-0000-0000-000011060000}"/>
    <cellStyle name="20% - Accent1 8 2 3_Exh G" xfId="2049" xr:uid="{00000000-0005-0000-0000-000012060000}"/>
    <cellStyle name="20% - Accent1 8 2 4" xfId="3748" xr:uid="{00000000-0005-0000-0000-000013060000}"/>
    <cellStyle name="20% - Accent1 8 2 4 2" xfId="7340" xr:uid="{00000000-0005-0000-0000-000014060000}"/>
    <cellStyle name="20% - Accent1 8 2 4 2 2" xfId="15311" xr:uid="{00000000-0005-0000-0000-000015060000}"/>
    <cellStyle name="20% - Accent1 8 2 4 2 3" xfId="23257" xr:uid="{00000000-0005-0000-0000-000016060000}"/>
    <cellStyle name="20% - Accent1 8 2 4 3" xfId="11773" xr:uid="{00000000-0005-0000-0000-000017060000}"/>
    <cellStyle name="20% - Accent1 8 2 4 4" xfId="19728" xr:uid="{00000000-0005-0000-0000-000018060000}"/>
    <cellStyle name="20% - Accent1 8 2 5" xfId="5568" xr:uid="{00000000-0005-0000-0000-000019060000}"/>
    <cellStyle name="20% - Accent1 8 2 5 2" xfId="13552" xr:uid="{00000000-0005-0000-0000-00001A060000}"/>
    <cellStyle name="20% - Accent1 8 2 5 3" xfId="21500" xr:uid="{00000000-0005-0000-0000-00001B060000}"/>
    <cellStyle name="20% - Accent1 8 2 6" xfId="9121" xr:uid="{00000000-0005-0000-0000-00001C060000}"/>
    <cellStyle name="20% - Accent1 8 2 6 2" xfId="17079" xr:uid="{00000000-0005-0000-0000-00001D060000}"/>
    <cellStyle name="20% - Accent1 8 2 6 3" xfId="25023" xr:uid="{00000000-0005-0000-0000-00001E060000}"/>
    <cellStyle name="20% - Accent1 8 2 7" xfId="10017" xr:uid="{00000000-0005-0000-0000-00001F060000}"/>
    <cellStyle name="20% - Accent1 8 2 8" xfId="17972" xr:uid="{00000000-0005-0000-0000-000020060000}"/>
    <cellStyle name="20% - Accent1 8 2_Exh G" xfId="2046" xr:uid="{00000000-0005-0000-0000-000021060000}"/>
    <cellStyle name="20% - Accent1 8 3" xfId="71" xr:uid="{00000000-0005-0000-0000-000022060000}"/>
    <cellStyle name="20% - Accent1 8 3 2" xfId="1099" xr:uid="{00000000-0005-0000-0000-000023060000}"/>
    <cellStyle name="20% - Accent1 8 3 2 2" xfId="4629" xr:uid="{00000000-0005-0000-0000-000024060000}"/>
    <cellStyle name="20% - Accent1 8 3 2 2 2" xfId="8220" xr:uid="{00000000-0005-0000-0000-000025060000}"/>
    <cellStyle name="20% - Accent1 8 3 2 2 2 2" xfId="16191" xr:uid="{00000000-0005-0000-0000-000026060000}"/>
    <cellStyle name="20% - Accent1 8 3 2 2 2 3" xfId="24137" xr:uid="{00000000-0005-0000-0000-000027060000}"/>
    <cellStyle name="20% - Accent1 8 3 2 2 3" xfId="12653" xr:uid="{00000000-0005-0000-0000-000028060000}"/>
    <cellStyle name="20% - Accent1 8 3 2 2 4" xfId="20608" xr:uid="{00000000-0005-0000-0000-000029060000}"/>
    <cellStyle name="20% - Accent1 8 3 2 3" xfId="6461" xr:uid="{00000000-0005-0000-0000-00002A060000}"/>
    <cellStyle name="20% - Accent1 8 3 2 3 2" xfId="14433" xr:uid="{00000000-0005-0000-0000-00002B060000}"/>
    <cellStyle name="20% - Accent1 8 3 2 3 3" xfId="22380" xr:uid="{00000000-0005-0000-0000-00002C060000}"/>
    <cellStyle name="20% - Accent1 8 3 2 4" xfId="10897" xr:uid="{00000000-0005-0000-0000-00002D060000}"/>
    <cellStyle name="20% - Accent1 8 3 2 5" xfId="18852" xr:uid="{00000000-0005-0000-0000-00002E060000}"/>
    <cellStyle name="20% - Accent1 8 3 2_Exh G" xfId="2051" xr:uid="{00000000-0005-0000-0000-00002F060000}"/>
    <cellStyle name="20% - Accent1 8 3 3" xfId="3750" xr:uid="{00000000-0005-0000-0000-000030060000}"/>
    <cellStyle name="20% - Accent1 8 3 3 2" xfId="7342" xr:uid="{00000000-0005-0000-0000-000031060000}"/>
    <cellStyle name="20% - Accent1 8 3 3 2 2" xfId="15313" xr:uid="{00000000-0005-0000-0000-000032060000}"/>
    <cellStyle name="20% - Accent1 8 3 3 2 3" xfId="23259" xr:uid="{00000000-0005-0000-0000-000033060000}"/>
    <cellStyle name="20% - Accent1 8 3 3 3" xfId="11775" xr:uid="{00000000-0005-0000-0000-000034060000}"/>
    <cellStyle name="20% - Accent1 8 3 3 4" xfId="19730" xr:uid="{00000000-0005-0000-0000-000035060000}"/>
    <cellStyle name="20% - Accent1 8 3 4" xfId="5570" xr:uid="{00000000-0005-0000-0000-000036060000}"/>
    <cellStyle name="20% - Accent1 8 3 4 2" xfId="13554" xr:uid="{00000000-0005-0000-0000-000037060000}"/>
    <cellStyle name="20% - Accent1 8 3 4 3" xfId="21502" xr:uid="{00000000-0005-0000-0000-000038060000}"/>
    <cellStyle name="20% - Accent1 8 3 5" xfId="9123" xr:uid="{00000000-0005-0000-0000-000039060000}"/>
    <cellStyle name="20% - Accent1 8 3 5 2" xfId="17081" xr:uid="{00000000-0005-0000-0000-00003A060000}"/>
    <cellStyle name="20% - Accent1 8 3 5 3" xfId="25025" xr:uid="{00000000-0005-0000-0000-00003B060000}"/>
    <cellStyle name="20% - Accent1 8 3 6" xfId="10019" xr:uid="{00000000-0005-0000-0000-00003C060000}"/>
    <cellStyle name="20% - Accent1 8 3 7" xfId="17974" xr:uid="{00000000-0005-0000-0000-00003D060000}"/>
    <cellStyle name="20% - Accent1 8 3_Exh G" xfId="2050" xr:uid="{00000000-0005-0000-0000-00003E060000}"/>
    <cellStyle name="20% - Accent1 8 4" xfId="872" xr:uid="{00000000-0005-0000-0000-00003F060000}"/>
    <cellStyle name="20% - Accent1 8 4 2" xfId="1807" xr:uid="{00000000-0005-0000-0000-000040060000}"/>
    <cellStyle name="20% - Accent1 8 4 2 2" xfId="5325" xr:uid="{00000000-0005-0000-0000-000041060000}"/>
    <cellStyle name="20% - Accent1 8 4 2 2 2" xfId="8916" xr:uid="{00000000-0005-0000-0000-000042060000}"/>
    <cellStyle name="20% - Accent1 8 4 2 2 2 2" xfId="16887" xr:uid="{00000000-0005-0000-0000-000043060000}"/>
    <cellStyle name="20% - Accent1 8 4 2 2 2 3" xfId="24833" xr:uid="{00000000-0005-0000-0000-000044060000}"/>
    <cellStyle name="20% - Accent1 8 4 2 2 3" xfId="13349" xr:uid="{00000000-0005-0000-0000-000045060000}"/>
    <cellStyle name="20% - Accent1 8 4 2 2 4" xfId="21304" xr:uid="{00000000-0005-0000-0000-000046060000}"/>
    <cellStyle name="20% - Accent1 8 4 2 3" xfId="7157" xr:uid="{00000000-0005-0000-0000-000047060000}"/>
    <cellStyle name="20% - Accent1 8 4 2 3 2" xfId="15129" xr:uid="{00000000-0005-0000-0000-000048060000}"/>
    <cellStyle name="20% - Accent1 8 4 2 3 3" xfId="23076" xr:uid="{00000000-0005-0000-0000-000049060000}"/>
    <cellStyle name="20% - Accent1 8 4 2 4" xfId="11593" xr:uid="{00000000-0005-0000-0000-00004A060000}"/>
    <cellStyle name="20% - Accent1 8 4 2 5" xfId="19548" xr:uid="{00000000-0005-0000-0000-00004B060000}"/>
    <cellStyle name="20% - Accent1 8 4 2_Exh G" xfId="2053" xr:uid="{00000000-0005-0000-0000-00004C060000}"/>
    <cellStyle name="20% - Accent1 8 4 3" xfId="4446" xr:uid="{00000000-0005-0000-0000-00004D060000}"/>
    <cellStyle name="20% - Accent1 8 4 3 2" xfId="8038" xr:uid="{00000000-0005-0000-0000-00004E060000}"/>
    <cellStyle name="20% - Accent1 8 4 3 2 2" xfId="16009" xr:uid="{00000000-0005-0000-0000-00004F060000}"/>
    <cellStyle name="20% - Accent1 8 4 3 2 3" xfId="23955" xr:uid="{00000000-0005-0000-0000-000050060000}"/>
    <cellStyle name="20% - Accent1 8 4 3 3" xfId="12471" xr:uid="{00000000-0005-0000-0000-000051060000}"/>
    <cellStyle name="20% - Accent1 8 4 3 4" xfId="20426" xr:uid="{00000000-0005-0000-0000-000052060000}"/>
    <cellStyle name="20% - Accent1 8 4 4" xfId="6276" xr:uid="{00000000-0005-0000-0000-000053060000}"/>
    <cellStyle name="20% - Accent1 8 4 4 2" xfId="14251" xr:uid="{00000000-0005-0000-0000-000054060000}"/>
    <cellStyle name="20% - Accent1 8 4 4 3" xfId="22198" xr:uid="{00000000-0005-0000-0000-000055060000}"/>
    <cellStyle name="20% - Accent1 8 4 5" xfId="9819" xr:uid="{00000000-0005-0000-0000-000056060000}"/>
    <cellStyle name="20% - Accent1 8 4 5 2" xfId="17777" xr:uid="{00000000-0005-0000-0000-000057060000}"/>
    <cellStyle name="20% - Accent1 8 4 5 3" xfId="25721" xr:uid="{00000000-0005-0000-0000-000058060000}"/>
    <cellStyle name="20% - Accent1 8 4 6" xfId="10715" xr:uid="{00000000-0005-0000-0000-000059060000}"/>
    <cellStyle name="20% - Accent1 8 4 7" xfId="18670" xr:uid="{00000000-0005-0000-0000-00005A060000}"/>
    <cellStyle name="20% - Accent1 8 4_Exh G" xfId="2052" xr:uid="{00000000-0005-0000-0000-00005B060000}"/>
    <cellStyle name="20% - Accent1 8 5" xfId="1096" xr:uid="{00000000-0005-0000-0000-00005C060000}"/>
    <cellStyle name="20% - Accent1 8 5 2" xfId="4626" xr:uid="{00000000-0005-0000-0000-00005D060000}"/>
    <cellStyle name="20% - Accent1 8 5 2 2" xfId="8217" xr:uid="{00000000-0005-0000-0000-00005E060000}"/>
    <cellStyle name="20% - Accent1 8 5 2 2 2" xfId="16188" xr:uid="{00000000-0005-0000-0000-00005F060000}"/>
    <cellStyle name="20% - Accent1 8 5 2 2 3" xfId="24134" xr:uid="{00000000-0005-0000-0000-000060060000}"/>
    <cellStyle name="20% - Accent1 8 5 2 3" xfId="12650" xr:uid="{00000000-0005-0000-0000-000061060000}"/>
    <cellStyle name="20% - Accent1 8 5 2 4" xfId="20605" xr:uid="{00000000-0005-0000-0000-000062060000}"/>
    <cellStyle name="20% - Accent1 8 5 3" xfId="6458" xr:uid="{00000000-0005-0000-0000-000063060000}"/>
    <cellStyle name="20% - Accent1 8 5 3 2" xfId="14430" xr:uid="{00000000-0005-0000-0000-000064060000}"/>
    <cellStyle name="20% - Accent1 8 5 3 3" xfId="22377" xr:uid="{00000000-0005-0000-0000-000065060000}"/>
    <cellStyle name="20% - Accent1 8 5 4" xfId="10894" xr:uid="{00000000-0005-0000-0000-000066060000}"/>
    <cellStyle name="20% - Accent1 8 5 5" xfId="18849" xr:uid="{00000000-0005-0000-0000-000067060000}"/>
    <cellStyle name="20% - Accent1 8 5_Exh G" xfId="2054" xr:uid="{00000000-0005-0000-0000-000068060000}"/>
    <cellStyle name="20% - Accent1 8 6" xfId="3747" xr:uid="{00000000-0005-0000-0000-000069060000}"/>
    <cellStyle name="20% - Accent1 8 6 2" xfId="7339" xr:uid="{00000000-0005-0000-0000-00006A060000}"/>
    <cellStyle name="20% - Accent1 8 6 2 2" xfId="15310" xr:uid="{00000000-0005-0000-0000-00006B060000}"/>
    <cellStyle name="20% - Accent1 8 6 2 3" xfId="23256" xr:uid="{00000000-0005-0000-0000-00006C060000}"/>
    <cellStyle name="20% - Accent1 8 6 3" xfId="11772" xr:uid="{00000000-0005-0000-0000-00006D060000}"/>
    <cellStyle name="20% - Accent1 8 6 4" xfId="19727" xr:uid="{00000000-0005-0000-0000-00006E060000}"/>
    <cellStyle name="20% - Accent1 8 7" xfId="5567" xr:uid="{00000000-0005-0000-0000-00006F060000}"/>
    <cellStyle name="20% - Accent1 8 7 2" xfId="13551" xr:uid="{00000000-0005-0000-0000-000070060000}"/>
    <cellStyle name="20% - Accent1 8 7 3" xfId="21499" xr:uid="{00000000-0005-0000-0000-000071060000}"/>
    <cellStyle name="20% - Accent1 8 8" xfId="9120" xr:uid="{00000000-0005-0000-0000-000072060000}"/>
    <cellStyle name="20% - Accent1 8 8 2" xfId="17078" xr:uid="{00000000-0005-0000-0000-000073060000}"/>
    <cellStyle name="20% - Accent1 8 8 3" xfId="25022" xr:uid="{00000000-0005-0000-0000-000074060000}"/>
    <cellStyle name="20% - Accent1 8 9" xfId="10016" xr:uid="{00000000-0005-0000-0000-000075060000}"/>
    <cellStyle name="20% - Accent1 8_Exh G" xfId="2045" xr:uid="{00000000-0005-0000-0000-000076060000}"/>
    <cellStyle name="20% - Accent1 9" xfId="72" xr:uid="{00000000-0005-0000-0000-000077060000}"/>
    <cellStyle name="20% - Accent1 9 10" xfId="17975" xr:uid="{00000000-0005-0000-0000-000078060000}"/>
    <cellStyle name="20% - Accent1 9 2" xfId="73" xr:uid="{00000000-0005-0000-0000-000079060000}"/>
    <cellStyle name="20% - Accent1 9 2 2" xfId="74" xr:uid="{00000000-0005-0000-0000-00007A060000}"/>
    <cellStyle name="20% - Accent1 9 2 2 2" xfId="1102" xr:uid="{00000000-0005-0000-0000-00007B060000}"/>
    <cellStyle name="20% - Accent1 9 2 2 2 2" xfId="4632" xr:uid="{00000000-0005-0000-0000-00007C060000}"/>
    <cellStyle name="20% - Accent1 9 2 2 2 2 2" xfId="8223" xr:uid="{00000000-0005-0000-0000-00007D060000}"/>
    <cellStyle name="20% - Accent1 9 2 2 2 2 2 2" xfId="16194" xr:uid="{00000000-0005-0000-0000-00007E060000}"/>
    <cellStyle name="20% - Accent1 9 2 2 2 2 2 3" xfId="24140" xr:uid="{00000000-0005-0000-0000-00007F060000}"/>
    <cellStyle name="20% - Accent1 9 2 2 2 2 3" xfId="12656" xr:uid="{00000000-0005-0000-0000-000080060000}"/>
    <cellStyle name="20% - Accent1 9 2 2 2 2 4" xfId="20611" xr:uid="{00000000-0005-0000-0000-000081060000}"/>
    <cellStyle name="20% - Accent1 9 2 2 2 3" xfId="6464" xr:uid="{00000000-0005-0000-0000-000082060000}"/>
    <cellStyle name="20% - Accent1 9 2 2 2 3 2" xfId="14436" xr:uid="{00000000-0005-0000-0000-000083060000}"/>
    <cellStyle name="20% - Accent1 9 2 2 2 3 3" xfId="22383" xr:uid="{00000000-0005-0000-0000-000084060000}"/>
    <cellStyle name="20% - Accent1 9 2 2 2 4" xfId="10900" xr:uid="{00000000-0005-0000-0000-000085060000}"/>
    <cellStyle name="20% - Accent1 9 2 2 2 5" xfId="18855" xr:uid="{00000000-0005-0000-0000-000086060000}"/>
    <cellStyle name="20% - Accent1 9 2 2 2_Exh G" xfId="2058" xr:uid="{00000000-0005-0000-0000-000087060000}"/>
    <cellStyle name="20% - Accent1 9 2 2 3" xfId="3753" xr:uid="{00000000-0005-0000-0000-000088060000}"/>
    <cellStyle name="20% - Accent1 9 2 2 3 2" xfId="7345" xr:uid="{00000000-0005-0000-0000-000089060000}"/>
    <cellStyle name="20% - Accent1 9 2 2 3 2 2" xfId="15316" xr:uid="{00000000-0005-0000-0000-00008A060000}"/>
    <cellStyle name="20% - Accent1 9 2 2 3 2 3" xfId="23262" xr:uid="{00000000-0005-0000-0000-00008B060000}"/>
    <cellStyle name="20% - Accent1 9 2 2 3 3" xfId="11778" xr:uid="{00000000-0005-0000-0000-00008C060000}"/>
    <cellStyle name="20% - Accent1 9 2 2 3 4" xfId="19733" xr:uid="{00000000-0005-0000-0000-00008D060000}"/>
    <cellStyle name="20% - Accent1 9 2 2 4" xfId="5573" xr:uid="{00000000-0005-0000-0000-00008E060000}"/>
    <cellStyle name="20% - Accent1 9 2 2 4 2" xfId="13557" xr:uid="{00000000-0005-0000-0000-00008F060000}"/>
    <cellStyle name="20% - Accent1 9 2 2 4 3" xfId="21505" xr:uid="{00000000-0005-0000-0000-000090060000}"/>
    <cellStyle name="20% - Accent1 9 2 2 5" xfId="9126" xr:uid="{00000000-0005-0000-0000-000091060000}"/>
    <cellStyle name="20% - Accent1 9 2 2 5 2" xfId="17084" xr:uid="{00000000-0005-0000-0000-000092060000}"/>
    <cellStyle name="20% - Accent1 9 2 2 5 3" xfId="25028" xr:uid="{00000000-0005-0000-0000-000093060000}"/>
    <cellStyle name="20% - Accent1 9 2 2 6" xfId="10022" xr:uid="{00000000-0005-0000-0000-000094060000}"/>
    <cellStyle name="20% - Accent1 9 2 2 7" xfId="17977" xr:uid="{00000000-0005-0000-0000-000095060000}"/>
    <cellStyle name="20% - Accent1 9 2 2_Exh G" xfId="2057" xr:uid="{00000000-0005-0000-0000-000096060000}"/>
    <cellStyle name="20% - Accent1 9 2 3" xfId="1101" xr:uid="{00000000-0005-0000-0000-000097060000}"/>
    <cellStyle name="20% - Accent1 9 2 3 2" xfId="4631" xr:uid="{00000000-0005-0000-0000-000098060000}"/>
    <cellStyle name="20% - Accent1 9 2 3 2 2" xfId="8222" xr:uid="{00000000-0005-0000-0000-000099060000}"/>
    <cellStyle name="20% - Accent1 9 2 3 2 2 2" xfId="16193" xr:uid="{00000000-0005-0000-0000-00009A060000}"/>
    <cellStyle name="20% - Accent1 9 2 3 2 2 3" xfId="24139" xr:uid="{00000000-0005-0000-0000-00009B060000}"/>
    <cellStyle name="20% - Accent1 9 2 3 2 3" xfId="12655" xr:uid="{00000000-0005-0000-0000-00009C060000}"/>
    <cellStyle name="20% - Accent1 9 2 3 2 4" xfId="20610" xr:uid="{00000000-0005-0000-0000-00009D060000}"/>
    <cellStyle name="20% - Accent1 9 2 3 3" xfId="6463" xr:uid="{00000000-0005-0000-0000-00009E060000}"/>
    <cellStyle name="20% - Accent1 9 2 3 3 2" xfId="14435" xr:uid="{00000000-0005-0000-0000-00009F060000}"/>
    <cellStyle name="20% - Accent1 9 2 3 3 3" xfId="22382" xr:uid="{00000000-0005-0000-0000-0000A0060000}"/>
    <cellStyle name="20% - Accent1 9 2 3 4" xfId="10899" xr:uid="{00000000-0005-0000-0000-0000A1060000}"/>
    <cellStyle name="20% - Accent1 9 2 3 5" xfId="18854" xr:uid="{00000000-0005-0000-0000-0000A2060000}"/>
    <cellStyle name="20% - Accent1 9 2 3_Exh G" xfId="2059" xr:uid="{00000000-0005-0000-0000-0000A3060000}"/>
    <cellStyle name="20% - Accent1 9 2 4" xfId="3752" xr:uid="{00000000-0005-0000-0000-0000A4060000}"/>
    <cellStyle name="20% - Accent1 9 2 4 2" xfId="7344" xr:uid="{00000000-0005-0000-0000-0000A5060000}"/>
    <cellStyle name="20% - Accent1 9 2 4 2 2" xfId="15315" xr:uid="{00000000-0005-0000-0000-0000A6060000}"/>
    <cellStyle name="20% - Accent1 9 2 4 2 3" xfId="23261" xr:uid="{00000000-0005-0000-0000-0000A7060000}"/>
    <cellStyle name="20% - Accent1 9 2 4 3" xfId="11777" xr:uid="{00000000-0005-0000-0000-0000A8060000}"/>
    <cellStyle name="20% - Accent1 9 2 4 4" xfId="19732" xr:uid="{00000000-0005-0000-0000-0000A9060000}"/>
    <cellStyle name="20% - Accent1 9 2 5" xfId="5572" xr:uid="{00000000-0005-0000-0000-0000AA060000}"/>
    <cellStyle name="20% - Accent1 9 2 5 2" xfId="13556" xr:uid="{00000000-0005-0000-0000-0000AB060000}"/>
    <cellStyle name="20% - Accent1 9 2 5 3" xfId="21504" xr:uid="{00000000-0005-0000-0000-0000AC060000}"/>
    <cellStyle name="20% - Accent1 9 2 6" xfId="9125" xr:uid="{00000000-0005-0000-0000-0000AD060000}"/>
    <cellStyle name="20% - Accent1 9 2 6 2" xfId="17083" xr:uid="{00000000-0005-0000-0000-0000AE060000}"/>
    <cellStyle name="20% - Accent1 9 2 6 3" xfId="25027" xr:uid="{00000000-0005-0000-0000-0000AF060000}"/>
    <cellStyle name="20% - Accent1 9 2 7" xfId="10021" xr:uid="{00000000-0005-0000-0000-0000B0060000}"/>
    <cellStyle name="20% - Accent1 9 2 8" xfId="17976" xr:uid="{00000000-0005-0000-0000-0000B1060000}"/>
    <cellStyle name="20% - Accent1 9 2_Exh G" xfId="2056" xr:uid="{00000000-0005-0000-0000-0000B2060000}"/>
    <cellStyle name="20% - Accent1 9 3" xfId="75" xr:uid="{00000000-0005-0000-0000-0000B3060000}"/>
    <cellStyle name="20% - Accent1 9 3 2" xfId="1103" xr:uid="{00000000-0005-0000-0000-0000B4060000}"/>
    <cellStyle name="20% - Accent1 9 3 2 2" xfId="4633" xr:uid="{00000000-0005-0000-0000-0000B5060000}"/>
    <cellStyle name="20% - Accent1 9 3 2 2 2" xfId="8224" xr:uid="{00000000-0005-0000-0000-0000B6060000}"/>
    <cellStyle name="20% - Accent1 9 3 2 2 2 2" xfId="16195" xr:uid="{00000000-0005-0000-0000-0000B7060000}"/>
    <cellStyle name="20% - Accent1 9 3 2 2 2 3" xfId="24141" xr:uid="{00000000-0005-0000-0000-0000B8060000}"/>
    <cellStyle name="20% - Accent1 9 3 2 2 3" xfId="12657" xr:uid="{00000000-0005-0000-0000-0000B9060000}"/>
    <cellStyle name="20% - Accent1 9 3 2 2 4" xfId="20612" xr:uid="{00000000-0005-0000-0000-0000BA060000}"/>
    <cellStyle name="20% - Accent1 9 3 2 3" xfId="6465" xr:uid="{00000000-0005-0000-0000-0000BB060000}"/>
    <cellStyle name="20% - Accent1 9 3 2 3 2" xfId="14437" xr:uid="{00000000-0005-0000-0000-0000BC060000}"/>
    <cellStyle name="20% - Accent1 9 3 2 3 3" xfId="22384" xr:uid="{00000000-0005-0000-0000-0000BD060000}"/>
    <cellStyle name="20% - Accent1 9 3 2 4" xfId="10901" xr:uid="{00000000-0005-0000-0000-0000BE060000}"/>
    <cellStyle name="20% - Accent1 9 3 2 5" xfId="18856" xr:uid="{00000000-0005-0000-0000-0000BF060000}"/>
    <cellStyle name="20% - Accent1 9 3 2_Exh G" xfId="2061" xr:uid="{00000000-0005-0000-0000-0000C0060000}"/>
    <cellStyle name="20% - Accent1 9 3 3" xfId="3754" xr:uid="{00000000-0005-0000-0000-0000C1060000}"/>
    <cellStyle name="20% - Accent1 9 3 3 2" xfId="7346" xr:uid="{00000000-0005-0000-0000-0000C2060000}"/>
    <cellStyle name="20% - Accent1 9 3 3 2 2" xfId="15317" xr:uid="{00000000-0005-0000-0000-0000C3060000}"/>
    <cellStyle name="20% - Accent1 9 3 3 2 3" xfId="23263" xr:uid="{00000000-0005-0000-0000-0000C4060000}"/>
    <cellStyle name="20% - Accent1 9 3 3 3" xfId="11779" xr:uid="{00000000-0005-0000-0000-0000C5060000}"/>
    <cellStyle name="20% - Accent1 9 3 3 4" xfId="19734" xr:uid="{00000000-0005-0000-0000-0000C6060000}"/>
    <cellStyle name="20% - Accent1 9 3 4" xfId="5574" xr:uid="{00000000-0005-0000-0000-0000C7060000}"/>
    <cellStyle name="20% - Accent1 9 3 4 2" xfId="13558" xr:uid="{00000000-0005-0000-0000-0000C8060000}"/>
    <cellStyle name="20% - Accent1 9 3 4 3" xfId="21506" xr:uid="{00000000-0005-0000-0000-0000C9060000}"/>
    <cellStyle name="20% - Accent1 9 3 5" xfId="9127" xr:uid="{00000000-0005-0000-0000-0000CA060000}"/>
    <cellStyle name="20% - Accent1 9 3 5 2" xfId="17085" xr:uid="{00000000-0005-0000-0000-0000CB060000}"/>
    <cellStyle name="20% - Accent1 9 3 5 3" xfId="25029" xr:uid="{00000000-0005-0000-0000-0000CC060000}"/>
    <cellStyle name="20% - Accent1 9 3 6" xfId="10023" xr:uid="{00000000-0005-0000-0000-0000CD060000}"/>
    <cellStyle name="20% - Accent1 9 3 7" xfId="17978" xr:uid="{00000000-0005-0000-0000-0000CE060000}"/>
    <cellStyle name="20% - Accent1 9 3_Exh G" xfId="2060" xr:uid="{00000000-0005-0000-0000-0000CF060000}"/>
    <cellStyle name="20% - Accent1 9 4" xfId="873" xr:uid="{00000000-0005-0000-0000-0000D0060000}"/>
    <cellStyle name="20% - Accent1 9 4 2" xfId="1808" xr:uid="{00000000-0005-0000-0000-0000D1060000}"/>
    <cellStyle name="20% - Accent1 9 4 2 2" xfId="5326" xr:uid="{00000000-0005-0000-0000-0000D2060000}"/>
    <cellStyle name="20% - Accent1 9 4 2 2 2" xfId="8917" xr:uid="{00000000-0005-0000-0000-0000D3060000}"/>
    <cellStyle name="20% - Accent1 9 4 2 2 2 2" xfId="16888" xr:uid="{00000000-0005-0000-0000-0000D4060000}"/>
    <cellStyle name="20% - Accent1 9 4 2 2 2 3" xfId="24834" xr:uid="{00000000-0005-0000-0000-0000D5060000}"/>
    <cellStyle name="20% - Accent1 9 4 2 2 3" xfId="13350" xr:uid="{00000000-0005-0000-0000-0000D6060000}"/>
    <cellStyle name="20% - Accent1 9 4 2 2 4" xfId="21305" xr:uid="{00000000-0005-0000-0000-0000D7060000}"/>
    <cellStyle name="20% - Accent1 9 4 2 3" xfId="7158" xr:uid="{00000000-0005-0000-0000-0000D8060000}"/>
    <cellStyle name="20% - Accent1 9 4 2 3 2" xfId="15130" xr:uid="{00000000-0005-0000-0000-0000D9060000}"/>
    <cellStyle name="20% - Accent1 9 4 2 3 3" xfId="23077" xr:uid="{00000000-0005-0000-0000-0000DA060000}"/>
    <cellStyle name="20% - Accent1 9 4 2 4" xfId="11594" xr:uid="{00000000-0005-0000-0000-0000DB060000}"/>
    <cellStyle name="20% - Accent1 9 4 2 5" xfId="19549" xr:uid="{00000000-0005-0000-0000-0000DC060000}"/>
    <cellStyle name="20% - Accent1 9 4 2_Exh G" xfId="2063" xr:uid="{00000000-0005-0000-0000-0000DD060000}"/>
    <cellStyle name="20% - Accent1 9 4 3" xfId="4447" xr:uid="{00000000-0005-0000-0000-0000DE060000}"/>
    <cellStyle name="20% - Accent1 9 4 3 2" xfId="8039" xr:uid="{00000000-0005-0000-0000-0000DF060000}"/>
    <cellStyle name="20% - Accent1 9 4 3 2 2" xfId="16010" xr:uid="{00000000-0005-0000-0000-0000E0060000}"/>
    <cellStyle name="20% - Accent1 9 4 3 2 3" xfId="23956" xr:uid="{00000000-0005-0000-0000-0000E1060000}"/>
    <cellStyle name="20% - Accent1 9 4 3 3" xfId="12472" xr:uid="{00000000-0005-0000-0000-0000E2060000}"/>
    <cellStyle name="20% - Accent1 9 4 3 4" xfId="20427" xr:uid="{00000000-0005-0000-0000-0000E3060000}"/>
    <cellStyle name="20% - Accent1 9 4 4" xfId="6277" xr:uid="{00000000-0005-0000-0000-0000E4060000}"/>
    <cellStyle name="20% - Accent1 9 4 4 2" xfId="14252" xr:uid="{00000000-0005-0000-0000-0000E5060000}"/>
    <cellStyle name="20% - Accent1 9 4 4 3" xfId="22199" xr:uid="{00000000-0005-0000-0000-0000E6060000}"/>
    <cellStyle name="20% - Accent1 9 4 5" xfId="9820" xr:uid="{00000000-0005-0000-0000-0000E7060000}"/>
    <cellStyle name="20% - Accent1 9 4 5 2" xfId="17778" xr:uid="{00000000-0005-0000-0000-0000E8060000}"/>
    <cellStyle name="20% - Accent1 9 4 5 3" xfId="25722" xr:uid="{00000000-0005-0000-0000-0000E9060000}"/>
    <cellStyle name="20% - Accent1 9 4 6" xfId="10716" xr:uid="{00000000-0005-0000-0000-0000EA060000}"/>
    <cellStyle name="20% - Accent1 9 4 7" xfId="18671" xr:uid="{00000000-0005-0000-0000-0000EB060000}"/>
    <cellStyle name="20% - Accent1 9 4_Exh G" xfId="2062" xr:uid="{00000000-0005-0000-0000-0000EC060000}"/>
    <cellStyle name="20% - Accent1 9 5" xfId="1100" xr:uid="{00000000-0005-0000-0000-0000ED060000}"/>
    <cellStyle name="20% - Accent1 9 5 2" xfId="4630" xr:uid="{00000000-0005-0000-0000-0000EE060000}"/>
    <cellStyle name="20% - Accent1 9 5 2 2" xfId="8221" xr:uid="{00000000-0005-0000-0000-0000EF060000}"/>
    <cellStyle name="20% - Accent1 9 5 2 2 2" xfId="16192" xr:uid="{00000000-0005-0000-0000-0000F0060000}"/>
    <cellStyle name="20% - Accent1 9 5 2 2 3" xfId="24138" xr:uid="{00000000-0005-0000-0000-0000F1060000}"/>
    <cellStyle name="20% - Accent1 9 5 2 3" xfId="12654" xr:uid="{00000000-0005-0000-0000-0000F2060000}"/>
    <cellStyle name="20% - Accent1 9 5 2 4" xfId="20609" xr:uid="{00000000-0005-0000-0000-0000F3060000}"/>
    <cellStyle name="20% - Accent1 9 5 3" xfId="6462" xr:uid="{00000000-0005-0000-0000-0000F4060000}"/>
    <cellStyle name="20% - Accent1 9 5 3 2" xfId="14434" xr:uid="{00000000-0005-0000-0000-0000F5060000}"/>
    <cellStyle name="20% - Accent1 9 5 3 3" xfId="22381" xr:uid="{00000000-0005-0000-0000-0000F6060000}"/>
    <cellStyle name="20% - Accent1 9 5 4" xfId="10898" xr:uid="{00000000-0005-0000-0000-0000F7060000}"/>
    <cellStyle name="20% - Accent1 9 5 5" xfId="18853" xr:uid="{00000000-0005-0000-0000-0000F8060000}"/>
    <cellStyle name="20% - Accent1 9 5_Exh G" xfId="2064" xr:uid="{00000000-0005-0000-0000-0000F9060000}"/>
    <cellStyle name="20% - Accent1 9 6" xfId="3751" xr:uid="{00000000-0005-0000-0000-0000FA060000}"/>
    <cellStyle name="20% - Accent1 9 6 2" xfId="7343" xr:uid="{00000000-0005-0000-0000-0000FB060000}"/>
    <cellStyle name="20% - Accent1 9 6 2 2" xfId="15314" xr:uid="{00000000-0005-0000-0000-0000FC060000}"/>
    <cellStyle name="20% - Accent1 9 6 2 3" xfId="23260" xr:uid="{00000000-0005-0000-0000-0000FD060000}"/>
    <cellStyle name="20% - Accent1 9 6 3" xfId="11776" xr:uid="{00000000-0005-0000-0000-0000FE060000}"/>
    <cellStyle name="20% - Accent1 9 6 4" xfId="19731" xr:uid="{00000000-0005-0000-0000-0000FF060000}"/>
    <cellStyle name="20% - Accent1 9 7" xfId="5571" xr:uid="{00000000-0005-0000-0000-000000070000}"/>
    <cellStyle name="20% - Accent1 9 7 2" xfId="13555" xr:uid="{00000000-0005-0000-0000-000001070000}"/>
    <cellStyle name="20% - Accent1 9 7 3" xfId="21503" xr:uid="{00000000-0005-0000-0000-000002070000}"/>
    <cellStyle name="20% - Accent1 9 8" xfId="9124" xr:uid="{00000000-0005-0000-0000-000003070000}"/>
    <cellStyle name="20% - Accent1 9 8 2" xfId="17082" xr:uid="{00000000-0005-0000-0000-000004070000}"/>
    <cellStyle name="20% - Accent1 9 8 3" xfId="25026" xr:uid="{00000000-0005-0000-0000-000005070000}"/>
    <cellStyle name="20% - Accent1 9 9" xfId="10020" xr:uid="{00000000-0005-0000-0000-000006070000}"/>
    <cellStyle name="20% - Accent1 9_Exh G" xfId="2055" xr:uid="{00000000-0005-0000-0000-000007070000}"/>
    <cellStyle name="20% - Accent2 10" xfId="76" xr:uid="{00000000-0005-0000-0000-000008070000}"/>
    <cellStyle name="20% - Accent2 10 10" xfId="17979" xr:uid="{00000000-0005-0000-0000-000009070000}"/>
    <cellStyle name="20% - Accent2 10 2" xfId="77" xr:uid="{00000000-0005-0000-0000-00000A070000}"/>
    <cellStyle name="20% - Accent2 10 2 2" xfId="78" xr:uid="{00000000-0005-0000-0000-00000B070000}"/>
    <cellStyle name="20% - Accent2 10 2 2 2" xfId="1106" xr:uid="{00000000-0005-0000-0000-00000C070000}"/>
    <cellStyle name="20% - Accent2 10 2 2 2 2" xfId="4636" xr:uid="{00000000-0005-0000-0000-00000D070000}"/>
    <cellStyle name="20% - Accent2 10 2 2 2 2 2" xfId="8227" xr:uid="{00000000-0005-0000-0000-00000E070000}"/>
    <cellStyle name="20% - Accent2 10 2 2 2 2 2 2" xfId="16198" xr:uid="{00000000-0005-0000-0000-00000F070000}"/>
    <cellStyle name="20% - Accent2 10 2 2 2 2 2 3" xfId="24144" xr:uid="{00000000-0005-0000-0000-000010070000}"/>
    <cellStyle name="20% - Accent2 10 2 2 2 2 3" xfId="12660" xr:uid="{00000000-0005-0000-0000-000011070000}"/>
    <cellStyle name="20% - Accent2 10 2 2 2 2 4" xfId="20615" xr:uid="{00000000-0005-0000-0000-000012070000}"/>
    <cellStyle name="20% - Accent2 10 2 2 2 3" xfId="6468" xr:uid="{00000000-0005-0000-0000-000013070000}"/>
    <cellStyle name="20% - Accent2 10 2 2 2 3 2" xfId="14440" xr:uid="{00000000-0005-0000-0000-000014070000}"/>
    <cellStyle name="20% - Accent2 10 2 2 2 3 3" xfId="22387" xr:uid="{00000000-0005-0000-0000-000015070000}"/>
    <cellStyle name="20% - Accent2 10 2 2 2 4" xfId="10904" xr:uid="{00000000-0005-0000-0000-000016070000}"/>
    <cellStyle name="20% - Accent2 10 2 2 2 5" xfId="18859" xr:uid="{00000000-0005-0000-0000-000017070000}"/>
    <cellStyle name="20% - Accent2 10 2 2 2_Exh G" xfId="2068" xr:uid="{00000000-0005-0000-0000-000018070000}"/>
    <cellStyle name="20% - Accent2 10 2 2 3" xfId="3757" xr:uid="{00000000-0005-0000-0000-000019070000}"/>
    <cellStyle name="20% - Accent2 10 2 2 3 2" xfId="7349" xr:uid="{00000000-0005-0000-0000-00001A070000}"/>
    <cellStyle name="20% - Accent2 10 2 2 3 2 2" xfId="15320" xr:uid="{00000000-0005-0000-0000-00001B070000}"/>
    <cellStyle name="20% - Accent2 10 2 2 3 2 3" xfId="23266" xr:uid="{00000000-0005-0000-0000-00001C070000}"/>
    <cellStyle name="20% - Accent2 10 2 2 3 3" xfId="11782" xr:uid="{00000000-0005-0000-0000-00001D070000}"/>
    <cellStyle name="20% - Accent2 10 2 2 3 4" xfId="19737" xr:uid="{00000000-0005-0000-0000-00001E070000}"/>
    <cellStyle name="20% - Accent2 10 2 2 4" xfId="5577" xr:uid="{00000000-0005-0000-0000-00001F070000}"/>
    <cellStyle name="20% - Accent2 10 2 2 4 2" xfId="13561" xr:uid="{00000000-0005-0000-0000-000020070000}"/>
    <cellStyle name="20% - Accent2 10 2 2 4 3" xfId="21509" xr:uid="{00000000-0005-0000-0000-000021070000}"/>
    <cellStyle name="20% - Accent2 10 2 2 5" xfId="9130" xr:uid="{00000000-0005-0000-0000-000022070000}"/>
    <cellStyle name="20% - Accent2 10 2 2 5 2" xfId="17088" xr:uid="{00000000-0005-0000-0000-000023070000}"/>
    <cellStyle name="20% - Accent2 10 2 2 5 3" xfId="25032" xr:uid="{00000000-0005-0000-0000-000024070000}"/>
    <cellStyle name="20% - Accent2 10 2 2 6" xfId="10026" xr:uid="{00000000-0005-0000-0000-000025070000}"/>
    <cellStyle name="20% - Accent2 10 2 2 7" xfId="17981" xr:uid="{00000000-0005-0000-0000-000026070000}"/>
    <cellStyle name="20% - Accent2 10 2 2_Exh G" xfId="2067" xr:uid="{00000000-0005-0000-0000-000027070000}"/>
    <cellStyle name="20% - Accent2 10 2 3" xfId="1105" xr:uid="{00000000-0005-0000-0000-000028070000}"/>
    <cellStyle name="20% - Accent2 10 2 3 2" xfId="4635" xr:uid="{00000000-0005-0000-0000-000029070000}"/>
    <cellStyle name="20% - Accent2 10 2 3 2 2" xfId="8226" xr:uid="{00000000-0005-0000-0000-00002A070000}"/>
    <cellStyle name="20% - Accent2 10 2 3 2 2 2" xfId="16197" xr:uid="{00000000-0005-0000-0000-00002B070000}"/>
    <cellStyle name="20% - Accent2 10 2 3 2 2 3" xfId="24143" xr:uid="{00000000-0005-0000-0000-00002C070000}"/>
    <cellStyle name="20% - Accent2 10 2 3 2 3" xfId="12659" xr:uid="{00000000-0005-0000-0000-00002D070000}"/>
    <cellStyle name="20% - Accent2 10 2 3 2 4" xfId="20614" xr:uid="{00000000-0005-0000-0000-00002E070000}"/>
    <cellStyle name="20% - Accent2 10 2 3 3" xfId="6467" xr:uid="{00000000-0005-0000-0000-00002F070000}"/>
    <cellStyle name="20% - Accent2 10 2 3 3 2" xfId="14439" xr:uid="{00000000-0005-0000-0000-000030070000}"/>
    <cellStyle name="20% - Accent2 10 2 3 3 3" xfId="22386" xr:uid="{00000000-0005-0000-0000-000031070000}"/>
    <cellStyle name="20% - Accent2 10 2 3 4" xfId="10903" xr:uid="{00000000-0005-0000-0000-000032070000}"/>
    <cellStyle name="20% - Accent2 10 2 3 5" xfId="18858" xr:uid="{00000000-0005-0000-0000-000033070000}"/>
    <cellStyle name="20% - Accent2 10 2 3_Exh G" xfId="2069" xr:uid="{00000000-0005-0000-0000-000034070000}"/>
    <cellStyle name="20% - Accent2 10 2 4" xfId="3756" xr:uid="{00000000-0005-0000-0000-000035070000}"/>
    <cellStyle name="20% - Accent2 10 2 4 2" xfId="7348" xr:uid="{00000000-0005-0000-0000-000036070000}"/>
    <cellStyle name="20% - Accent2 10 2 4 2 2" xfId="15319" xr:uid="{00000000-0005-0000-0000-000037070000}"/>
    <cellStyle name="20% - Accent2 10 2 4 2 3" xfId="23265" xr:uid="{00000000-0005-0000-0000-000038070000}"/>
    <cellStyle name="20% - Accent2 10 2 4 3" xfId="11781" xr:uid="{00000000-0005-0000-0000-000039070000}"/>
    <cellStyle name="20% - Accent2 10 2 4 4" xfId="19736" xr:uid="{00000000-0005-0000-0000-00003A070000}"/>
    <cellStyle name="20% - Accent2 10 2 5" xfId="5576" xr:uid="{00000000-0005-0000-0000-00003B070000}"/>
    <cellStyle name="20% - Accent2 10 2 5 2" xfId="13560" xr:uid="{00000000-0005-0000-0000-00003C070000}"/>
    <cellStyle name="20% - Accent2 10 2 5 3" xfId="21508" xr:uid="{00000000-0005-0000-0000-00003D070000}"/>
    <cellStyle name="20% - Accent2 10 2 6" xfId="9129" xr:uid="{00000000-0005-0000-0000-00003E070000}"/>
    <cellStyle name="20% - Accent2 10 2 6 2" xfId="17087" xr:uid="{00000000-0005-0000-0000-00003F070000}"/>
    <cellStyle name="20% - Accent2 10 2 6 3" xfId="25031" xr:uid="{00000000-0005-0000-0000-000040070000}"/>
    <cellStyle name="20% - Accent2 10 2 7" xfId="10025" xr:uid="{00000000-0005-0000-0000-000041070000}"/>
    <cellStyle name="20% - Accent2 10 2 8" xfId="17980" xr:uid="{00000000-0005-0000-0000-000042070000}"/>
    <cellStyle name="20% - Accent2 10 2_Exh G" xfId="2066" xr:uid="{00000000-0005-0000-0000-000043070000}"/>
    <cellStyle name="20% - Accent2 10 3" xfId="79" xr:uid="{00000000-0005-0000-0000-000044070000}"/>
    <cellStyle name="20% - Accent2 10 3 2" xfId="1107" xr:uid="{00000000-0005-0000-0000-000045070000}"/>
    <cellStyle name="20% - Accent2 10 3 2 2" xfId="4637" xr:uid="{00000000-0005-0000-0000-000046070000}"/>
    <cellStyle name="20% - Accent2 10 3 2 2 2" xfId="8228" xr:uid="{00000000-0005-0000-0000-000047070000}"/>
    <cellStyle name="20% - Accent2 10 3 2 2 2 2" xfId="16199" xr:uid="{00000000-0005-0000-0000-000048070000}"/>
    <cellStyle name="20% - Accent2 10 3 2 2 2 3" xfId="24145" xr:uid="{00000000-0005-0000-0000-000049070000}"/>
    <cellStyle name="20% - Accent2 10 3 2 2 3" xfId="12661" xr:uid="{00000000-0005-0000-0000-00004A070000}"/>
    <cellStyle name="20% - Accent2 10 3 2 2 4" xfId="20616" xr:uid="{00000000-0005-0000-0000-00004B070000}"/>
    <cellStyle name="20% - Accent2 10 3 2 3" xfId="6469" xr:uid="{00000000-0005-0000-0000-00004C070000}"/>
    <cellStyle name="20% - Accent2 10 3 2 3 2" xfId="14441" xr:uid="{00000000-0005-0000-0000-00004D070000}"/>
    <cellStyle name="20% - Accent2 10 3 2 3 3" xfId="22388" xr:uid="{00000000-0005-0000-0000-00004E070000}"/>
    <cellStyle name="20% - Accent2 10 3 2 4" xfId="10905" xr:uid="{00000000-0005-0000-0000-00004F070000}"/>
    <cellStyle name="20% - Accent2 10 3 2 5" xfId="18860" xr:uid="{00000000-0005-0000-0000-000050070000}"/>
    <cellStyle name="20% - Accent2 10 3 2_Exh G" xfId="2071" xr:uid="{00000000-0005-0000-0000-000051070000}"/>
    <cellStyle name="20% - Accent2 10 3 3" xfId="3758" xr:uid="{00000000-0005-0000-0000-000052070000}"/>
    <cellStyle name="20% - Accent2 10 3 3 2" xfId="7350" xr:uid="{00000000-0005-0000-0000-000053070000}"/>
    <cellStyle name="20% - Accent2 10 3 3 2 2" xfId="15321" xr:uid="{00000000-0005-0000-0000-000054070000}"/>
    <cellStyle name="20% - Accent2 10 3 3 2 3" xfId="23267" xr:uid="{00000000-0005-0000-0000-000055070000}"/>
    <cellStyle name="20% - Accent2 10 3 3 3" xfId="11783" xr:uid="{00000000-0005-0000-0000-000056070000}"/>
    <cellStyle name="20% - Accent2 10 3 3 4" xfId="19738" xr:uid="{00000000-0005-0000-0000-000057070000}"/>
    <cellStyle name="20% - Accent2 10 3 4" xfId="5578" xr:uid="{00000000-0005-0000-0000-000058070000}"/>
    <cellStyle name="20% - Accent2 10 3 4 2" xfId="13562" xr:uid="{00000000-0005-0000-0000-000059070000}"/>
    <cellStyle name="20% - Accent2 10 3 4 3" xfId="21510" xr:uid="{00000000-0005-0000-0000-00005A070000}"/>
    <cellStyle name="20% - Accent2 10 3 5" xfId="9131" xr:uid="{00000000-0005-0000-0000-00005B070000}"/>
    <cellStyle name="20% - Accent2 10 3 5 2" xfId="17089" xr:uid="{00000000-0005-0000-0000-00005C070000}"/>
    <cellStyle name="20% - Accent2 10 3 5 3" xfId="25033" xr:uid="{00000000-0005-0000-0000-00005D070000}"/>
    <cellStyle name="20% - Accent2 10 3 6" xfId="10027" xr:uid="{00000000-0005-0000-0000-00005E070000}"/>
    <cellStyle name="20% - Accent2 10 3 7" xfId="17982" xr:uid="{00000000-0005-0000-0000-00005F070000}"/>
    <cellStyle name="20% - Accent2 10 3_Exh G" xfId="2070" xr:uid="{00000000-0005-0000-0000-000060070000}"/>
    <cellStyle name="20% - Accent2 10 4" xfId="874" xr:uid="{00000000-0005-0000-0000-000061070000}"/>
    <cellStyle name="20% - Accent2 10 5" xfId="1104" xr:uid="{00000000-0005-0000-0000-000062070000}"/>
    <cellStyle name="20% - Accent2 10 5 2" xfId="4634" xr:uid="{00000000-0005-0000-0000-000063070000}"/>
    <cellStyle name="20% - Accent2 10 5 2 2" xfId="8225" xr:uid="{00000000-0005-0000-0000-000064070000}"/>
    <cellStyle name="20% - Accent2 10 5 2 2 2" xfId="16196" xr:uid="{00000000-0005-0000-0000-000065070000}"/>
    <cellStyle name="20% - Accent2 10 5 2 2 3" xfId="24142" xr:uid="{00000000-0005-0000-0000-000066070000}"/>
    <cellStyle name="20% - Accent2 10 5 2 3" xfId="12658" xr:uid="{00000000-0005-0000-0000-000067070000}"/>
    <cellStyle name="20% - Accent2 10 5 2 4" xfId="20613" xr:uid="{00000000-0005-0000-0000-000068070000}"/>
    <cellStyle name="20% - Accent2 10 5 3" xfId="6466" xr:uid="{00000000-0005-0000-0000-000069070000}"/>
    <cellStyle name="20% - Accent2 10 5 3 2" xfId="14438" xr:uid="{00000000-0005-0000-0000-00006A070000}"/>
    <cellStyle name="20% - Accent2 10 5 3 3" xfId="22385" xr:uid="{00000000-0005-0000-0000-00006B070000}"/>
    <cellStyle name="20% - Accent2 10 5 4" xfId="10902" xr:uid="{00000000-0005-0000-0000-00006C070000}"/>
    <cellStyle name="20% - Accent2 10 5 5" xfId="18857" xr:uid="{00000000-0005-0000-0000-00006D070000}"/>
    <cellStyle name="20% - Accent2 10 5_Exh G" xfId="2072" xr:uid="{00000000-0005-0000-0000-00006E070000}"/>
    <cellStyle name="20% - Accent2 10 6" xfId="3755" xr:uid="{00000000-0005-0000-0000-00006F070000}"/>
    <cellStyle name="20% - Accent2 10 6 2" xfId="7347" xr:uid="{00000000-0005-0000-0000-000070070000}"/>
    <cellStyle name="20% - Accent2 10 6 2 2" xfId="15318" xr:uid="{00000000-0005-0000-0000-000071070000}"/>
    <cellStyle name="20% - Accent2 10 6 2 3" xfId="23264" xr:uid="{00000000-0005-0000-0000-000072070000}"/>
    <cellStyle name="20% - Accent2 10 6 3" xfId="11780" xr:uid="{00000000-0005-0000-0000-000073070000}"/>
    <cellStyle name="20% - Accent2 10 6 4" xfId="19735" xr:uid="{00000000-0005-0000-0000-000074070000}"/>
    <cellStyle name="20% - Accent2 10 7" xfId="5575" xr:uid="{00000000-0005-0000-0000-000075070000}"/>
    <cellStyle name="20% - Accent2 10 7 2" xfId="13559" xr:uid="{00000000-0005-0000-0000-000076070000}"/>
    <cellStyle name="20% - Accent2 10 7 3" xfId="21507" xr:uid="{00000000-0005-0000-0000-000077070000}"/>
    <cellStyle name="20% - Accent2 10 8" xfId="9128" xr:uid="{00000000-0005-0000-0000-000078070000}"/>
    <cellStyle name="20% - Accent2 10 8 2" xfId="17086" xr:uid="{00000000-0005-0000-0000-000079070000}"/>
    <cellStyle name="20% - Accent2 10 8 3" xfId="25030" xr:uid="{00000000-0005-0000-0000-00007A070000}"/>
    <cellStyle name="20% - Accent2 10 9" xfId="10024" xr:uid="{00000000-0005-0000-0000-00007B070000}"/>
    <cellStyle name="20% - Accent2 10_Exh G" xfId="2065" xr:uid="{00000000-0005-0000-0000-00007C070000}"/>
    <cellStyle name="20% - Accent2 11" xfId="80" xr:uid="{00000000-0005-0000-0000-00007D070000}"/>
    <cellStyle name="20% - Accent2 11 2" xfId="81" xr:uid="{00000000-0005-0000-0000-00007E070000}"/>
    <cellStyle name="20% - Accent2 11 2 2" xfId="82" xr:uid="{00000000-0005-0000-0000-00007F070000}"/>
    <cellStyle name="20% - Accent2 11 2 2 2" xfId="1110" xr:uid="{00000000-0005-0000-0000-000080070000}"/>
    <cellStyle name="20% - Accent2 11 2 2 2 2" xfId="4640" xr:uid="{00000000-0005-0000-0000-000081070000}"/>
    <cellStyle name="20% - Accent2 11 2 2 2 2 2" xfId="8231" xr:uid="{00000000-0005-0000-0000-000082070000}"/>
    <cellStyle name="20% - Accent2 11 2 2 2 2 2 2" xfId="16202" xr:uid="{00000000-0005-0000-0000-000083070000}"/>
    <cellStyle name="20% - Accent2 11 2 2 2 2 2 3" xfId="24148" xr:uid="{00000000-0005-0000-0000-000084070000}"/>
    <cellStyle name="20% - Accent2 11 2 2 2 2 3" xfId="12664" xr:uid="{00000000-0005-0000-0000-000085070000}"/>
    <cellStyle name="20% - Accent2 11 2 2 2 2 4" xfId="20619" xr:uid="{00000000-0005-0000-0000-000086070000}"/>
    <cellStyle name="20% - Accent2 11 2 2 2 3" xfId="6472" xr:uid="{00000000-0005-0000-0000-000087070000}"/>
    <cellStyle name="20% - Accent2 11 2 2 2 3 2" xfId="14444" xr:uid="{00000000-0005-0000-0000-000088070000}"/>
    <cellStyle name="20% - Accent2 11 2 2 2 3 3" xfId="22391" xr:uid="{00000000-0005-0000-0000-000089070000}"/>
    <cellStyle name="20% - Accent2 11 2 2 2 4" xfId="10908" xr:uid="{00000000-0005-0000-0000-00008A070000}"/>
    <cellStyle name="20% - Accent2 11 2 2 2 5" xfId="18863" xr:uid="{00000000-0005-0000-0000-00008B070000}"/>
    <cellStyle name="20% - Accent2 11 2 2 2_Exh G" xfId="2076" xr:uid="{00000000-0005-0000-0000-00008C070000}"/>
    <cellStyle name="20% - Accent2 11 2 2 3" xfId="3761" xr:uid="{00000000-0005-0000-0000-00008D070000}"/>
    <cellStyle name="20% - Accent2 11 2 2 3 2" xfId="7353" xr:uid="{00000000-0005-0000-0000-00008E070000}"/>
    <cellStyle name="20% - Accent2 11 2 2 3 2 2" xfId="15324" xr:uid="{00000000-0005-0000-0000-00008F070000}"/>
    <cellStyle name="20% - Accent2 11 2 2 3 2 3" xfId="23270" xr:uid="{00000000-0005-0000-0000-000090070000}"/>
    <cellStyle name="20% - Accent2 11 2 2 3 3" xfId="11786" xr:uid="{00000000-0005-0000-0000-000091070000}"/>
    <cellStyle name="20% - Accent2 11 2 2 3 4" xfId="19741" xr:uid="{00000000-0005-0000-0000-000092070000}"/>
    <cellStyle name="20% - Accent2 11 2 2 4" xfId="5581" xr:uid="{00000000-0005-0000-0000-000093070000}"/>
    <cellStyle name="20% - Accent2 11 2 2 4 2" xfId="13565" xr:uid="{00000000-0005-0000-0000-000094070000}"/>
    <cellStyle name="20% - Accent2 11 2 2 4 3" xfId="21513" xr:uid="{00000000-0005-0000-0000-000095070000}"/>
    <cellStyle name="20% - Accent2 11 2 2 5" xfId="9134" xr:uid="{00000000-0005-0000-0000-000096070000}"/>
    <cellStyle name="20% - Accent2 11 2 2 5 2" xfId="17092" xr:uid="{00000000-0005-0000-0000-000097070000}"/>
    <cellStyle name="20% - Accent2 11 2 2 5 3" xfId="25036" xr:uid="{00000000-0005-0000-0000-000098070000}"/>
    <cellStyle name="20% - Accent2 11 2 2 6" xfId="10030" xr:uid="{00000000-0005-0000-0000-000099070000}"/>
    <cellStyle name="20% - Accent2 11 2 2 7" xfId="17985" xr:uid="{00000000-0005-0000-0000-00009A070000}"/>
    <cellStyle name="20% - Accent2 11 2 2_Exh G" xfId="2075" xr:uid="{00000000-0005-0000-0000-00009B070000}"/>
    <cellStyle name="20% - Accent2 11 2 3" xfId="1109" xr:uid="{00000000-0005-0000-0000-00009C070000}"/>
    <cellStyle name="20% - Accent2 11 2 3 2" xfId="4639" xr:uid="{00000000-0005-0000-0000-00009D070000}"/>
    <cellStyle name="20% - Accent2 11 2 3 2 2" xfId="8230" xr:uid="{00000000-0005-0000-0000-00009E070000}"/>
    <cellStyle name="20% - Accent2 11 2 3 2 2 2" xfId="16201" xr:uid="{00000000-0005-0000-0000-00009F070000}"/>
    <cellStyle name="20% - Accent2 11 2 3 2 2 3" xfId="24147" xr:uid="{00000000-0005-0000-0000-0000A0070000}"/>
    <cellStyle name="20% - Accent2 11 2 3 2 3" xfId="12663" xr:uid="{00000000-0005-0000-0000-0000A1070000}"/>
    <cellStyle name="20% - Accent2 11 2 3 2 4" xfId="20618" xr:uid="{00000000-0005-0000-0000-0000A2070000}"/>
    <cellStyle name="20% - Accent2 11 2 3 3" xfId="6471" xr:uid="{00000000-0005-0000-0000-0000A3070000}"/>
    <cellStyle name="20% - Accent2 11 2 3 3 2" xfId="14443" xr:uid="{00000000-0005-0000-0000-0000A4070000}"/>
    <cellStyle name="20% - Accent2 11 2 3 3 3" xfId="22390" xr:uid="{00000000-0005-0000-0000-0000A5070000}"/>
    <cellStyle name="20% - Accent2 11 2 3 4" xfId="10907" xr:uid="{00000000-0005-0000-0000-0000A6070000}"/>
    <cellStyle name="20% - Accent2 11 2 3 5" xfId="18862" xr:uid="{00000000-0005-0000-0000-0000A7070000}"/>
    <cellStyle name="20% - Accent2 11 2 3_Exh G" xfId="2077" xr:uid="{00000000-0005-0000-0000-0000A8070000}"/>
    <cellStyle name="20% - Accent2 11 2 4" xfId="3760" xr:uid="{00000000-0005-0000-0000-0000A9070000}"/>
    <cellStyle name="20% - Accent2 11 2 4 2" xfId="7352" xr:uid="{00000000-0005-0000-0000-0000AA070000}"/>
    <cellStyle name="20% - Accent2 11 2 4 2 2" xfId="15323" xr:uid="{00000000-0005-0000-0000-0000AB070000}"/>
    <cellStyle name="20% - Accent2 11 2 4 2 3" xfId="23269" xr:uid="{00000000-0005-0000-0000-0000AC070000}"/>
    <cellStyle name="20% - Accent2 11 2 4 3" xfId="11785" xr:uid="{00000000-0005-0000-0000-0000AD070000}"/>
    <cellStyle name="20% - Accent2 11 2 4 4" xfId="19740" xr:uid="{00000000-0005-0000-0000-0000AE070000}"/>
    <cellStyle name="20% - Accent2 11 2 5" xfId="5580" xr:uid="{00000000-0005-0000-0000-0000AF070000}"/>
    <cellStyle name="20% - Accent2 11 2 5 2" xfId="13564" xr:uid="{00000000-0005-0000-0000-0000B0070000}"/>
    <cellStyle name="20% - Accent2 11 2 5 3" xfId="21512" xr:uid="{00000000-0005-0000-0000-0000B1070000}"/>
    <cellStyle name="20% - Accent2 11 2 6" xfId="9133" xr:uid="{00000000-0005-0000-0000-0000B2070000}"/>
    <cellStyle name="20% - Accent2 11 2 6 2" xfId="17091" xr:uid="{00000000-0005-0000-0000-0000B3070000}"/>
    <cellStyle name="20% - Accent2 11 2 6 3" xfId="25035" xr:uid="{00000000-0005-0000-0000-0000B4070000}"/>
    <cellStyle name="20% - Accent2 11 2 7" xfId="10029" xr:uid="{00000000-0005-0000-0000-0000B5070000}"/>
    <cellStyle name="20% - Accent2 11 2 8" xfId="17984" xr:uid="{00000000-0005-0000-0000-0000B6070000}"/>
    <cellStyle name="20% - Accent2 11 2_Exh G" xfId="2074" xr:uid="{00000000-0005-0000-0000-0000B7070000}"/>
    <cellStyle name="20% - Accent2 11 3" xfId="83" xr:uid="{00000000-0005-0000-0000-0000B8070000}"/>
    <cellStyle name="20% - Accent2 11 3 2" xfId="1111" xr:uid="{00000000-0005-0000-0000-0000B9070000}"/>
    <cellStyle name="20% - Accent2 11 3 2 2" xfId="4641" xr:uid="{00000000-0005-0000-0000-0000BA070000}"/>
    <cellStyle name="20% - Accent2 11 3 2 2 2" xfId="8232" xr:uid="{00000000-0005-0000-0000-0000BB070000}"/>
    <cellStyle name="20% - Accent2 11 3 2 2 2 2" xfId="16203" xr:uid="{00000000-0005-0000-0000-0000BC070000}"/>
    <cellStyle name="20% - Accent2 11 3 2 2 2 3" xfId="24149" xr:uid="{00000000-0005-0000-0000-0000BD070000}"/>
    <cellStyle name="20% - Accent2 11 3 2 2 3" xfId="12665" xr:uid="{00000000-0005-0000-0000-0000BE070000}"/>
    <cellStyle name="20% - Accent2 11 3 2 2 4" xfId="20620" xr:uid="{00000000-0005-0000-0000-0000BF070000}"/>
    <cellStyle name="20% - Accent2 11 3 2 3" xfId="6473" xr:uid="{00000000-0005-0000-0000-0000C0070000}"/>
    <cellStyle name="20% - Accent2 11 3 2 3 2" xfId="14445" xr:uid="{00000000-0005-0000-0000-0000C1070000}"/>
    <cellStyle name="20% - Accent2 11 3 2 3 3" xfId="22392" xr:uid="{00000000-0005-0000-0000-0000C2070000}"/>
    <cellStyle name="20% - Accent2 11 3 2 4" xfId="10909" xr:uid="{00000000-0005-0000-0000-0000C3070000}"/>
    <cellStyle name="20% - Accent2 11 3 2 5" xfId="18864" xr:uid="{00000000-0005-0000-0000-0000C4070000}"/>
    <cellStyle name="20% - Accent2 11 3 2_Exh G" xfId="2079" xr:uid="{00000000-0005-0000-0000-0000C5070000}"/>
    <cellStyle name="20% - Accent2 11 3 3" xfId="3762" xr:uid="{00000000-0005-0000-0000-0000C6070000}"/>
    <cellStyle name="20% - Accent2 11 3 3 2" xfId="7354" xr:uid="{00000000-0005-0000-0000-0000C7070000}"/>
    <cellStyle name="20% - Accent2 11 3 3 2 2" xfId="15325" xr:uid="{00000000-0005-0000-0000-0000C8070000}"/>
    <cellStyle name="20% - Accent2 11 3 3 2 3" xfId="23271" xr:uid="{00000000-0005-0000-0000-0000C9070000}"/>
    <cellStyle name="20% - Accent2 11 3 3 3" xfId="11787" xr:uid="{00000000-0005-0000-0000-0000CA070000}"/>
    <cellStyle name="20% - Accent2 11 3 3 4" xfId="19742" xr:uid="{00000000-0005-0000-0000-0000CB070000}"/>
    <cellStyle name="20% - Accent2 11 3 4" xfId="5582" xr:uid="{00000000-0005-0000-0000-0000CC070000}"/>
    <cellStyle name="20% - Accent2 11 3 4 2" xfId="13566" xr:uid="{00000000-0005-0000-0000-0000CD070000}"/>
    <cellStyle name="20% - Accent2 11 3 4 3" xfId="21514" xr:uid="{00000000-0005-0000-0000-0000CE070000}"/>
    <cellStyle name="20% - Accent2 11 3 5" xfId="9135" xr:uid="{00000000-0005-0000-0000-0000CF070000}"/>
    <cellStyle name="20% - Accent2 11 3 5 2" xfId="17093" xr:uid="{00000000-0005-0000-0000-0000D0070000}"/>
    <cellStyle name="20% - Accent2 11 3 5 3" xfId="25037" xr:uid="{00000000-0005-0000-0000-0000D1070000}"/>
    <cellStyle name="20% - Accent2 11 3 6" xfId="10031" xr:uid="{00000000-0005-0000-0000-0000D2070000}"/>
    <cellStyle name="20% - Accent2 11 3 7" xfId="17986" xr:uid="{00000000-0005-0000-0000-0000D3070000}"/>
    <cellStyle name="20% - Accent2 11 3_Exh G" xfId="2078" xr:uid="{00000000-0005-0000-0000-0000D4070000}"/>
    <cellStyle name="20% - Accent2 11 4" xfId="1108" xr:uid="{00000000-0005-0000-0000-0000D5070000}"/>
    <cellStyle name="20% - Accent2 11 4 2" xfId="4638" xr:uid="{00000000-0005-0000-0000-0000D6070000}"/>
    <cellStyle name="20% - Accent2 11 4 2 2" xfId="8229" xr:uid="{00000000-0005-0000-0000-0000D7070000}"/>
    <cellStyle name="20% - Accent2 11 4 2 2 2" xfId="16200" xr:uid="{00000000-0005-0000-0000-0000D8070000}"/>
    <cellStyle name="20% - Accent2 11 4 2 2 3" xfId="24146" xr:uid="{00000000-0005-0000-0000-0000D9070000}"/>
    <cellStyle name="20% - Accent2 11 4 2 3" xfId="12662" xr:uid="{00000000-0005-0000-0000-0000DA070000}"/>
    <cellStyle name="20% - Accent2 11 4 2 4" xfId="20617" xr:uid="{00000000-0005-0000-0000-0000DB070000}"/>
    <cellStyle name="20% - Accent2 11 4 3" xfId="6470" xr:uid="{00000000-0005-0000-0000-0000DC070000}"/>
    <cellStyle name="20% - Accent2 11 4 3 2" xfId="14442" xr:uid="{00000000-0005-0000-0000-0000DD070000}"/>
    <cellStyle name="20% - Accent2 11 4 3 3" xfId="22389" xr:uid="{00000000-0005-0000-0000-0000DE070000}"/>
    <cellStyle name="20% - Accent2 11 4 4" xfId="10906" xr:uid="{00000000-0005-0000-0000-0000DF070000}"/>
    <cellStyle name="20% - Accent2 11 4 5" xfId="18861" xr:uid="{00000000-0005-0000-0000-0000E0070000}"/>
    <cellStyle name="20% - Accent2 11 4_Exh G" xfId="2080" xr:uid="{00000000-0005-0000-0000-0000E1070000}"/>
    <cellStyle name="20% - Accent2 11 5" xfId="3759" xr:uid="{00000000-0005-0000-0000-0000E2070000}"/>
    <cellStyle name="20% - Accent2 11 5 2" xfId="7351" xr:uid="{00000000-0005-0000-0000-0000E3070000}"/>
    <cellStyle name="20% - Accent2 11 5 2 2" xfId="15322" xr:uid="{00000000-0005-0000-0000-0000E4070000}"/>
    <cellStyle name="20% - Accent2 11 5 2 3" xfId="23268" xr:uid="{00000000-0005-0000-0000-0000E5070000}"/>
    <cellStyle name="20% - Accent2 11 5 3" xfId="11784" xr:uid="{00000000-0005-0000-0000-0000E6070000}"/>
    <cellStyle name="20% - Accent2 11 5 4" xfId="19739" xr:uid="{00000000-0005-0000-0000-0000E7070000}"/>
    <cellStyle name="20% - Accent2 11 6" xfId="5579" xr:uid="{00000000-0005-0000-0000-0000E8070000}"/>
    <cellStyle name="20% - Accent2 11 6 2" xfId="13563" xr:uid="{00000000-0005-0000-0000-0000E9070000}"/>
    <cellStyle name="20% - Accent2 11 6 3" xfId="21511" xr:uid="{00000000-0005-0000-0000-0000EA070000}"/>
    <cellStyle name="20% - Accent2 11 7" xfId="9132" xr:uid="{00000000-0005-0000-0000-0000EB070000}"/>
    <cellStyle name="20% - Accent2 11 7 2" xfId="17090" xr:uid="{00000000-0005-0000-0000-0000EC070000}"/>
    <cellStyle name="20% - Accent2 11 7 3" xfId="25034" xr:uid="{00000000-0005-0000-0000-0000ED070000}"/>
    <cellStyle name="20% - Accent2 11 8" xfId="10028" xr:uid="{00000000-0005-0000-0000-0000EE070000}"/>
    <cellStyle name="20% - Accent2 11 9" xfId="17983" xr:uid="{00000000-0005-0000-0000-0000EF070000}"/>
    <cellStyle name="20% - Accent2 11_Exh G" xfId="2073" xr:uid="{00000000-0005-0000-0000-0000F0070000}"/>
    <cellStyle name="20% - Accent2 12" xfId="84" xr:uid="{00000000-0005-0000-0000-0000F1070000}"/>
    <cellStyle name="20% - Accent2 12 2" xfId="85" xr:uid="{00000000-0005-0000-0000-0000F2070000}"/>
    <cellStyle name="20% - Accent2 12 2 2" xfId="86" xr:uid="{00000000-0005-0000-0000-0000F3070000}"/>
    <cellStyle name="20% - Accent2 12 2 2 2" xfId="1114" xr:uid="{00000000-0005-0000-0000-0000F4070000}"/>
    <cellStyle name="20% - Accent2 12 2 2 2 2" xfId="4644" xr:uid="{00000000-0005-0000-0000-0000F5070000}"/>
    <cellStyle name="20% - Accent2 12 2 2 2 2 2" xfId="8235" xr:uid="{00000000-0005-0000-0000-0000F6070000}"/>
    <cellStyle name="20% - Accent2 12 2 2 2 2 2 2" xfId="16206" xr:uid="{00000000-0005-0000-0000-0000F7070000}"/>
    <cellStyle name="20% - Accent2 12 2 2 2 2 2 3" xfId="24152" xr:uid="{00000000-0005-0000-0000-0000F8070000}"/>
    <cellStyle name="20% - Accent2 12 2 2 2 2 3" xfId="12668" xr:uid="{00000000-0005-0000-0000-0000F9070000}"/>
    <cellStyle name="20% - Accent2 12 2 2 2 2 4" xfId="20623" xr:uid="{00000000-0005-0000-0000-0000FA070000}"/>
    <cellStyle name="20% - Accent2 12 2 2 2 3" xfId="6476" xr:uid="{00000000-0005-0000-0000-0000FB070000}"/>
    <cellStyle name="20% - Accent2 12 2 2 2 3 2" xfId="14448" xr:uid="{00000000-0005-0000-0000-0000FC070000}"/>
    <cellStyle name="20% - Accent2 12 2 2 2 3 3" xfId="22395" xr:uid="{00000000-0005-0000-0000-0000FD070000}"/>
    <cellStyle name="20% - Accent2 12 2 2 2 4" xfId="10912" xr:uid="{00000000-0005-0000-0000-0000FE070000}"/>
    <cellStyle name="20% - Accent2 12 2 2 2 5" xfId="18867" xr:uid="{00000000-0005-0000-0000-0000FF070000}"/>
    <cellStyle name="20% - Accent2 12 2 2 2_Exh G" xfId="2084" xr:uid="{00000000-0005-0000-0000-000000080000}"/>
    <cellStyle name="20% - Accent2 12 2 2 3" xfId="3765" xr:uid="{00000000-0005-0000-0000-000001080000}"/>
    <cellStyle name="20% - Accent2 12 2 2 3 2" xfId="7357" xr:uid="{00000000-0005-0000-0000-000002080000}"/>
    <cellStyle name="20% - Accent2 12 2 2 3 2 2" xfId="15328" xr:uid="{00000000-0005-0000-0000-000003080000}"/>
    <cellStyle name="20% - Accent2 12 2 2 3 2 3" xfId="23274" xr:uid="{00000000-0005-0000-0000-000004080000}"/>
    <cellStyle name="20% - Accent2 12 2 2 3 3" xfId="11790" xr:uid="{00000000-0005-0000-0000-000005080000}"/>
    <cellStyle name="20% - Accent2 12 2 2 3 4" xfId="19745" xr:uid="{00000000-0005-0000-0000-000006080000}"/>
    <cellStyle name="20% - Accent2 12 2 2 4" xfId="5585" xr:uid="{00000000-0005-0000-0000-000007080000}"/>
    <cellStyle name="20% - Accent2 12 2 2 4 2" xfId="13569" xr:uid="{00000000-0005-0000-0000-000008080000}"/>
    <cellStyle name="20% - Accent2 12 2 2 4 3" xfId="21517" xr:uid="{00000000-0005-0000-0000-000009080000}"/>
    <cellStyle name="20% - Accent2 12 2 2 5" xfId="9138" xr:uid="{00000000-0005-0000-0000-00000A080000}"/>
    <cellStyle name="20% - Accent2 12 2 2 5 2" xfId="17096" xr:uid="{00000000-0005-0000-0000-00000B080000}"/>
    <cellStyle name="20% - Accent2 12 2 2 5 3" xfId="25040" xr:uid="{00000000-0005-0000-0000-00000C080000}"/>
    <cellStyle name="20% - Accent2 12 2 2 6" xfId="10034" xr:uid="{00000000-0005-0000-0000-00000D080000}"/>
    <cellStyle name="20% - Accent2 12 2 2 7" xfId="17989" xr:uid="{00000000-0005-0000-0000-00000E080000}"/>
    <cellStyle name="20% - Accent2 12 2 2_Exh G" xfId="2083" xr:uid="{00000000-0005-0000-0000-00000F080000}"/>
    <cellStyle name="20% - Accent2 12 2 3" xfId="1113" xr:uid="{00000000-0005-0000-0000-000010080000}"/>
    <cellStyle name="20% - Accent2 12 2 3 2" xfId="4643" xr:uid="{00000000-0005-0000-0000-000011080000}"/>
    <cellStyle name="20% - Accent2 12 2 3 2 2" xfId="8234" xr:uid="{00000000-0005-0000-0000-000012080000}"/>
    <cellStyle name="20% - Accent2 12 2 3 2 2 2" xfId="16205" xr:uid="{00000000-0005-0000-0000-000013080000}"/>
    <cellStyle name="20% - Accent2 12 2 3 2 2 3" xfId="24151" xr:uid="{00000000-0005-0000-0000-000014080000}"/>
    <cellStyle name="20% - Accent2 12 2 3 2 3" xfId="12667" xr:uid="{00000000-0005-0000-0000-000015080000}"/>
    <cellStyle name="20% - Accent2 12 2 3 2 4" xfId="20622" xr:uid="{00000000-0005-0000-0000-000016080000}"/>
    <cellStyle name="20% - Accent2 12 2 3 3" xfId="6475" xr:uid="{00000000-0005-0000-0000-000017080000}"/>
    <cellStyle name="20% - Accent2 12 2 3 3 2" xfId="14447" xr:uid="{00000000-0005-0000-0000-000018080000}"/>
    <cellStyle name="20% - Accent2 12 2 3 3 3" xfId="22394" xr:uid="{00000000-0005-0000-0000-000019080000}"/>
    <cellStyle name="20% - Accent2 12 2 3 4" xfId="10911" xr:uid="{00000000-0005-0000-0000-00001A080000}"/>
    <cellStyle name="20% - Accent2 12 2 3 5" xfId="18866" xr:uid="{00000000-0005-0000-0000-00001B080000}"/>
    <cellStyle name="20% - Accent2 12 2 3_Exh G" xfId="2085" xr:uid="{00000000-0005-0000-0000-00001C080000}"/>
    <cellStyle name="20% - Accent2 12 2 4" xfId="3764" xr:uid="{00000000-0005-0000-0000-00001D080000}"/>
    <cellStyle name="20% - Accent2 12 2 4 2" xfId="7356" xr:uid="{00000000-0005-0000-0000-00001E080000}"/>
    <cellStyle name="20% - Accent2 12 2 4 2 2" xfId="15327" xr:uid="{00000000-0005-0000-0000-00001F080000}"/>
    <cellStyle name="20% - Accent2 12 2 4 2 3" xfId="23273" xr:uid="{00000000-0005-0000-0000-000020080000}"/>
    <cellStyle name="20% - Accent2 12 2 4 3" xfId="11789" xr:uid="{00000000-0005-0000-0000-000021080000}"/>
    <cellStyle name="20% - Accent2 12 2 4 4" xfId="19744" xr:uid="{00000000-0005-0000-0000-000022080000}"/>
    <cellStyle name="20% - Accent2 12 2 5" xfId="5584" xr:uid="{00000000-0005-0000-0000-000023080000}"/>
    <cellStyle name="20% - Accent2 12 2 5 2" xfId="13568" xr:uid="{00000000-0005-0000-0000-000024080000}"/>
    <cellStyle name="20% - Accent2 12 2 5 3" xfId="21516" xr:uid="{00000000-0005-0000-0000-000025080000}"/>
    <cellStyle name="20% - Accent2 12 2 6" xfId="9137" xr:uid="{00000000-0005-0000-0000-000026080000}"/>
    <cellStyle name="20% - Accent2 12 2 6 2" xfId="17095" xr:uid="{00000000-0005-0000-0000-000027080000}"/>
    <cellStyle name="20% - Accent2 12 2 6 3" xfId="25039" xr:uid="{00000000-0005-0000-0000-000028080000}"/>
    <cellStyle name="20% - Accent2 12 2 7" xfId="10033" xr:uid="{00000000-0005-0000-0000-000029080000}"/>
    <cellStyle name="20% - Accent2 12 2 8" xfId="17988" xr:uid="{00000000-0005-0000-0000-00002A080000}"/>
    <cellStyle name="20% - Accent2 12 2_Exh G" xfId="2082" xr:uid="{00000000-0005-0000-0000-00002B080000}"/>
    <cellStyle name="20% - Accent2 12 3" xfId="87" xr:uid="{00000000-0005-0000-0000-00002C080000}"/>
    <cellStyle name="20% - Accent2 12 3 2" xfId="1115" xr:uid="{00000000-0005-0000-0000-00002D080000}"/>
    <cellStyle name="20% - Accent2 12 3 2 2" xfId="4645" xr:uid="{00000000-0005-0000-0000-00002E080000}"/>
    <cellStyle name="20% - Accent2 12 3 2 2 2" xfId="8236" xr:uid="{00000000-0005-0000-0000-00002F080000}"/>
    <cellStyle name="20% - Accent2 12 3 2 2 2 2" xfId="16207" xr:uid="{00000000-0005-0000-0000-000030080000}"/>
    <cellStyle name="20% - Accent2 12 3 2 2 2 3" xfId="24153" xr:uid="{00000000-0005-0000-0000-000031080000}"/>
    <cellStyle name="20% - Accent2 12 3 2 2 3" xfId="12669" xr:uid="{00000000-0005-0000-0000-000032080000}"/>
    <cellStyle name="20% - Accent2 12 3 2 2 4" xfId="20624" xr:uid="{00000000-0005-0000-0000-000033080000}"/>
    <cellStyle name="20% - Accent2 12 3 2 3" xfId="6477" xr:uid="{00000000-0005-0000-0000-000034080000}"/>
    <cellStyle name="20% - Accent2 12 3 2 3 2" xfId="14449" xr:uid="{00000000-0005-0000-0000-000035080000}"/>
    <cellStyle name="20% - Accent2 12 3 2 3 3" xfId="22396" xr:uid="{00000000-0005-0000-0000-000036080000}"/>
    <cellStyle name="20% - Accent2 12 3 2 4" xfId="10913" xr:uid="{00000000-0005-0000-0000-000037080000}"/>
    <cellStyle name="20% - Accent2 12 3 2 5" xfId="18868" xr:uid="{00000000-0005-0000-0000-000038080000}"/>
    <cellStyle name="20% - Accent2 12 3 2_Exh G" xfId="2087" xr:uid="{00000000-0005-0000-0000-000039080000}"/>
    <cellStyle name="20% - Accent2 12 3 3" xfId="3766" xr:uid="{00000000-0005-0000-0000-00003A080000}"/>
    <cellStyle name="20% - Accent2 12 3 3 2" xfId="7358" xr:uid="{00000000-0005-0000-0000-00003B080000}"/>
    <cellStyle name="20% - Accent2 12 3 3 2 2" xfId="15329" xr:uid="{00000000-0005-0000-0000-00003C080000}"/>
    <cellStyle name="20% - Accent2 12 3 3 2 3" xfId="23275" xr:uid="{00000000-0005-0000-0000-00003D080000}"/>
    <cellStyle name="20% - Accent2 12 3 3 3" xfId="11791" xr:uid="{00000000-0005-0000-0000-00003E080000}"/>
    <cellStyle name="20% - Accent2 12 3 3 4" xfId="19746" xr:uid="{00000000-0005-0000-0000-00003F080000}"/>
    <cellStyle name="20% - Accent2 12 3 4" xfId="5586" xr:uid="{00000000-0005-0000-0000-000040080000}"/>
    <cellStyle name="20% - Accent2 12 3 4 2" xfId="13570" xr:uid="{00000000-0005-0000-0000-000041080000}"/>
    <cellStyle name="20% - Accent2 12 3 4 3" xfId="21518" xr:uid="{00000000-0005-0000-0000-000042080000}"/>
    <cellStyle name="20% - Accent2 12 3 5" xfId="9139" xr:uid="{00000000-0005-0000-0000-000043080000}"/>
    <cellStyle name="20% - Accent2 12 3 5 2" xfId="17097" xr:uid="{00000000-0005-0000-0000-000044080000}"/>
    <cellStyle name="20% - Accent2 12 3 5 3" xfId="25041" xr:uid="{00000000-0005-0000-0000-000045080000}"/>
    <cellStyle name="20% - Accent2 12 3 6" xfId="10035" xr:uid="{00000000-0005-0000-0000-000046080000}"/>
    <cellStyle name="20% - Accent2 12 3 7" xfId="17990" xr:uid="{00000000-0005-0000-0000-000047080000}"/>
    <cellStyle name="20% - Accent2 12 3_Exh G" xfId="2086" xr:uid="{00000000-0005-0000-0000-000048080000}"/>
    <cellStyle name="20% - Accent2 12 4" xfId="1112" xr:uid="{00000000-0005-0000-0000-000049080000}"/>
    <cellStyle name="20% - Accent2 12 4 2" xfId="4642" xr:uid="{00000000-0005-0000-0000-00004A080000}"/>
    <cellStyle name="20% - Accent2 12 4 2 2" xfId="8233" xr:uid="{00000000-0005-0000-0000-00004B080000}"/>
    <cellStyle name="20% - Accent2 12 4 2 2 2" xfId="16204" xr:uid="{00000000-0005-0000-0000-00004C080000}"/>
    <cellStyle name="20% - Accent2 12 4 2 2 3" xfId="24150" xr:uid="{00000000-0005-0000-0000-00004D080000}"/>
    <cellStyle name="20% - Accent2 12 4 2 3" xfId="12666" xr:uid="{00000000-0005-0000-0000-00004E080000}"/>
    <cellStyle name="20% - Accent2 12 4 2 4" xfId="20621" xr:uid="{00000000-0005-0000-0000-00004F080000}"/>
    <cellStyle name="20% - Accent2 12 4 3" xfId="6474" xr:uid="{00000000-0005-0000-0000-000050080000}"/>
    <cellStyle name="20% - Accent2 12 4 3 2" xfId="14446" xr:uid="{00000000-0005-0000-0000-000051080000}"/>
    <cellStyle name="20% - Accent2 12 4 3 3" xfId="22393" xr:uid="{00000000-0005-0000-0000-000052080000}"/>
    <cellStyle name="20% - Accent2 12 4 4" xfId="10910" xr:uid="{00000000-0005-0000-0000-000053080000}"/>
    <cellStyle name="20% - Accent2 12 4 5" xfId="18865" xr:uid="{00000000-0005-0000-0000-000054080000}"/>
    <cellStyle name="20% - Accent2 12 4_Exh G" xfId="2088" xr:uid="{00000000-0005-0000-0000-000055080000}"/>
    <cellStyle name="20% - Accent2 12 5" xfId="3763" xr:uid="{00000000-0005-0000-0000-000056080000}"/>
    <cellStyle name="20% - Accent2 12 5 2" xfId="7355" xr:uid="{00000000-0005-0000-0000-000057080000}"/>
    <cellStyle name="20% - Accent2 12 5 2 2" xfId="15326" xr:uid="{00000000-0005-0000-0000-000058080000}"/>
    <cellStyle name="20% - Accent2 12 5 2 3" xfId="23272" xr:uid="{00000000-0005-0000-0000-000059080000}"/>
    <cellStyle name="20% - Accent2 12 5 3" xfId="11788" xr:uid="{00000000-0005-0000-0000-00005A080000}"/>
    <cellStyle name="20% - Accent2 12 5 4" xfId="19743" xr:uid="{00000000-0005-0000-0000-00005B080000}"/>
    <cellStyle name="20% - Accent2 12 6" xfId="5583" xr:uid="{00000000-0005-0000-0000-00005C080000}"/>
    <cellStyle name="20% - Accent2 12 6 2" xfId="13567" xr:uid="{00000000-0005-0000-0000-00005D080000}"/>
    <cellStyle name="20% - Accent2 12 6 3" xfId="21515" xr:uid="{00000000-0005-0000-0000-00005E080000}"/>
    <cellStyle name="20% - Accent2 12 7" xfId="9136" xr:uid="{00000000-0005-0000-0000-00005F080000}"/>
    <cellStyle name="20% - Accent2 12 7 2" xfId="17094" xr:uid="{00000000-0005-0000-0000-000060080000}"/>
    <cellStyle name="20% - Accent2 12 7 3" xfId="25038" xr:uid="{00000000-0005-0000-0000-000061080000}"/>
    <cellStyle name="20% - Accent2 12 8" xfId="10032" xr:uid="{00000000-0005-0000-0000-000062080000}"/>
    <cellStyle name="20% - Accent2 12 9" xfId="17987" xr:uid="{00000000-0005-0000-0000-000063080000}"/>
    <cellStyle name="20% - Accent2 12_Exh G" xfId="2081" xr:uid="{00000000-0005-0000-0000-000064080000}"/>
    <cellStyle name="20% - Accent2 13" xfId="88" xr:uid="{00000000-0005-0000-0000-000065080000}"/>
    <cellStyle name="20% - Accent2 13 2" xfId="89" xr:uid="{00000000-0005-0000-0000-000066080000}"/>
    <cellStyle name="20% - Accent2 13 2 2" xfId="90" xr:uid="{00000000-0005-0000-0000-000067080000}"/>
    <cellStyle name="20% - Accent2 13 2 2 2" xfId="1118" xr:uid="{00000000-0005-0000-0000-000068080000}"/>
    <cellStyle name="20% - Accent2 13 2 2 2 2" xfId="4648" xr:uid="{00000000-0005-0000-0000-000069080000}"/>
    <cellStyle name="20% - Accent2 13 2 2 2 2 2" xfId="8239" xr:uid="{00000000-0005-0000-0000-00006A080000}"/>
    <cellStyle name="20% - Accent2 13 2 2 2 2 2 2" xfId="16210" xr:uid="{00000000-0005-0000-0000-00006B080000}"/>
    <cellStyle name="20% - Accent2 13 2 2 2 2 2 3" xfId="24156" xr:uid="{00000000-0005-0000-0000-00006C080000}"/>
    <cellStyle name="20% - Accent2 13 2 2 2 2 3" xfId="12672" xr:uid="{00000000-0005-0000-0000-00006D080000}"/>
    <cellStyle name="20% - Accent2 13 2 2 2 2 4" xfId="20627" xr:uid="{00000000-0005-0000-0000-00006E080000}"/>
    <cellStyle name="20% - Accent2 13 2 2 2 3" xfId="6480" xr:uid="{00000000-0005-0000-0000-00006F080000}"/>
    <cellStyle name="20% - Accent2 13 2 2 2 3 2" xfId="14452" xr:uid="{00000000-0005-0000-0000-000070080000}"/>
    <cellStyle name="20% - Accent2 13 2 2 2 3 3" xfId="22399" xr:uid="{00000000-0005-0000-0000-000071080000}"/>
    <cellStyle name="20% - Accent2 13 2 2 2 4" xfId="10916" xr:uid="{00000000-0005-0000-0000-000072080000}"/>
    <cellStyle name="20% - Accent2 13 2 2 2 5" xfId="18871" xr:uid="{00000000-0005-0000-0000-000073080000}"/>
    <cellStyle name="20% - Accent2 13 2 2 2_Exh G" xfId="2092" xr:uid="{00000000-0005-0000-0000-000074080000}"/>
    <cellStyle name="20% - Accent2 13 2 2 3" xfId="3769" xr:uid="{00000000-0005-0000-0000-000075080000}"/>
    <cellStyle name="20% - Accent2 13 2 2 3 2" xfId="7361" xr:uid="{00000000-0005-0000-0000-000076080000}"/>
    <cellStyle name="20% - Accent2 13 2 2 3 2 2" xfId="15332" xr:uid="{00000000-0005-0000-0000-000077080000}"/>
    <cellStyle name="20% - Accent2 13 2 2 3 2 3" xfId="23278" xr:uid="{00000000-0005-0000-0000-000078080000}"/>
    <cellStyle name="20% - Accent2 13 2 2 3 3" xfId="11794" xr:uid="{00000000-0005-0000-0000-000079080000}"/>
    <cellStyle name="20% - Accent2 13 2 2 3 4" xfId="19749" xr:uid="{00000000-0005-0000-0000-00007A080000}"/>
    <cellStyle name="20% - Accent2 13 2 2 4" xfId="5589" xr:uid="{00000000-0005-0000-0000-00007B080000}"/>
    <cellStyle name="20% - Accent2 13 2 2 4 2" xfId="13573" xr:uid="{00000000-0005-0000-0000-00007C080000}"/>
    <cellStyle name="20% - Accent2 13 2 2 4 3" xfId="21521" xr:uid="{00000000-0005-0000-0000-00007D080000}"/>
    <cellStyle name="20% - Accent2 13 2 2 5" xfId="9142" xr:uid="{00000000-0005-0000-0000-00007E080000}"/>
    <cellStyle name="20% - Accent2 13 2 2 5 2" xfId="17100" xr:uid="{00000000-0005-0000-0000-00007F080000}"/>
    <cellStyle name="20% - Accent2 13 2 2 5 3" xfId="25044" xr:uid="{00000000-0005-0000-0000-000080080000}"/>
    <cellStyle name="20% - Accent2 13 2 2 6" xfId="10038" xr:uid="{00000000-0005-0000-0000-000081080000}"/>
    <cellStyle name="20% - Accent2 13 2 2 7" xfId="17993" xr:uid="{00000000-0005-0000-0000-000082080000}"/>
    <cellStyle name="20% - Accent2 13 2 2_Exh G" xfId="2091" xr:uid="{00000000-0005-0000-0000-000083080000}"/>
    <cellStyle name="20% - Accent2 13 2 3" xfId="1117" xr:uid="{00000000-0005-0000-0000-000084080000}"/>
    <cellStyle name="20% - Accent2 13 2 3 2" xfId="4647" xr:uid="{00000000-0005-0000-0000-000085080000}"/>
    <cellStyle name="20% - Accent2 13 2 3 2 2" xfId="8238" xr:uid="{00000000-0005-0000-0000-000086080000}"/>
    <cellStyle name="20% - Accent2 13 2 3 2 2 2" xfId="16209" xr:uid="{00000000-0005-0000-0000-000087080000}"/>
    <cellStyle name="20% - Accent2 13 2 3 2 2 3" xfId="24155" xr:uid="{00000000-0005-0000-0000-000088080000}"/>
    <cellStyle name="20% - Accent2 13 2 3 2 3" xfId="12671" xr:uid="{00000000-0005-0000-0000-000089080000}"/>
    <cellStyle name="20% - Accent2 13 2 3 2 4" xfId="20626" xr:uid="{00000000-0005-0000-0000-00008A080000}"/>
    <cellStyle name="20% - Accent2 13 2 3 3" xfId="6479" xr:uid="{00000000-0005-0000-0000-00008B080000}"/>
    <cellStyle name="20% - Accent2 13 2 3 3 2" xfId="14451" xr:uid="{00000000-0005-0000-0000-00008C080000}"/>
    <cellStyle name="20% - Accent2 13 2 3 3 3" xfId="22398" xr:uid="{00000000-0005-0000-0000-00008D080000}"/>
    <cellStyle name="20% - Accent2 13 2 3 4" xfId="10915" xr:uid="{00000000-0005-0000-0000-00008E080000}"/>
    <cellStyle name="20% - Accent2 13 2 3 5" xfId="18870" xr:uid="{00000000-0005-0000-0000-00008F080000}"/>
    <cellStyle name="20% - Accent2 13 2 3_Exh G" xfId="2093" xr:uid="{00000000-0005-0000-0000-000090080000}"/>
    <cellStyle name="20% - Accent2 13 2 4" xfId="3768" xr:uid="{00000000-0005-0000-0000-000091080000}"/>
    <cellStyle name="20% - Accent2 13 2 4 2" xfId="7360" xr:uid="{00000000-0005-0000-0000-000092080000}"/>
    <cellStyle name="20% - Accent2 13 2 4 2 2" xfId="15331" xr:uid="{00000000-0005-0000-0000-000093080000}"/>
    <cellStyle name="20% - Accent2 13 2 4 2 3" xfId="23277" xr:uid="{00000000-0005-0000-0000-000094080000}"/>
    <cellStyle name="20% - Accent2 13 2 4 3" xfId="11793" xr:uid="{00000000-0005-0000-0000-000095080000}"/>
    <cellStyle name="20% - Accent2 13 2 4 4" xfId="19748" xr:uid="{00000000-0005-0000-0000-000096080000}"/>
    <cellStyle name="20% - Accent2 13 2 5" xfId="5588" xr:uid="{00000000-0005-0000-0000-000097080000}"/>
    <cellStyle name="20% - Accent2 13 2 5 2" xfId="13572" xr:uid="{00000000-0005-0000-0000-000098080000}"/>
    <cellStyle name="20% - Accent2 13 2 5 3" xfId="21520" xr:uid="{00000000-0005-0000-0000-000099080000}"/>
    <cellStyle name="20% - Accent2 13 2 6" xfId="9141" xr:uid="{00000000-0005-0000-0000-00009A080000}"/>
    <cellStyle name="20% - Accent2 13 2 6 2" xfId="17099" xr:uid="{00000000-0005-0000-0000-00009B080000}"/>
    <cellStyle name="20% - Accent2 13 2 6 3" xfId="25043" xr:uid="{00000000-0005-0000-0000-00009C080000}"/>
    <cellStyle name="20% - Accent2 13 2 7" xfId="10037" xr:uid="{00000000-0005-0000-0000-00009D080000}"/>
    <cellStyle name="20% - Accent2 13 2 8" xfId="17992" xr:uid="{00000000-0005-0000-0000-00009E080000}"/>
    <cellStyle name="20% - Accent2 13 2_Exh G" xfId="2090" xr:uid="{00000000-0005-0000-0000-00009F080000}"/>
    <cellStyle name="20% - Accent2 13 3" xfId="91" xr:uid="{00000000-0005-0000-0000-0000A0080000}"/>
    <cellStyle name="20% - Accent2 13 3 2" xfId="1119" xr:uid="{00000000-0005-0000-0000-0000A1080000}"/>
    <cellStyle name="20% - Accent2 13 3 2 2" xfId="4649" xr:uid="{00000000-0005-0000-0000-0000A2080000}"/>
    <cellStyle name="20% - Accent2 13 3 2 2 2" xfId="8240" xr:uid="{00000000-0005-0000-0000-0000A3080000}"/>
    <cellStyle name="20% - Accent2 13 3 2 2 2 2" xfId="16211" xr:uid="{00000000-0005-0000-0000-0000A4080000}"/>
    <cellStyle name="20% - Accent2 13 3 2 2 2 3" xfId="24157" xr:uid="{00000000-0005-0000-0000-0000A5080000}"/>
    <cellStyle name="20% - Accent2 13 3 2 2 3" xfId="12673" xr:uid="{00000000-0005-0000-0000-0000A6080000}"/>
    <cellStyle name="20% - Accent2 13 3 2 2 4" xfId="20628" xr:uid="{00000000-0005-0000-0000-0000A7080000}"/>
    <cellStyle name="20% - Accent2 13 3 2 3" xfId="6481" xr:uid="{00000000-0005-0000-0000-0000A8080000}"/>
    <cellStyle name="20% - Accent2 13 3 2 3 2" xfId="14453" xr:uid="{00000000-0005-0000-0000-0000A9080000}"/>
    <cellStyle name="20% - Accent2 13 3 2 3 3" xfId="22400" xr:uid="{00000000-0005-0000-0000-0000AA080000}"/>
    <cellStyle name="20% - Accent2 13 3 2 4" xfId="10917" xr:uid="{00000000-0005-0000-0000-0000AB080000}"/>
    <cellStyle name="20% - Accent2 13 3 2 5" xfId="18872" xr:uid="{00000000-0005-0000-0000-0000AC080000}"/>
    <cellStyle name="20% - Accent2 13 3 2_Exh G" xfId="2095" xr:uid="{00000000-0005-0000-0000-0000AD080000}"/>
    <cellStyle name="20% - Accent2 13 3 3" xfId="3770" xr:uid="{00000000-0005-0000-0000-0000AE080000}"/>
    <cellStyle name="20% - Accent2 13 3 3 2" xfId="7362" xr:uid="{00000000-0005-0000-0000-0000AF080000}"/>
    <cellStyle name="20% - Accent2 13 3 3 2 2" xfId="15333" xr:uid="{00000000-0005-0000-0000-0000B0080000}"/>
    <cellStyle name="20% - Accent2 13 3 3 2 3" xfId="23279" xr:uid="{00000000-0005-0000-0000-0000B1080000}"/>
    <cellStyle name="20% - Accent2 13 3 3 3" xfId="11795" xr:uid="{00000000-0005-0000-0000-0000B2080000}"/>
    <cellStyle name="20% - Accent2 13 3 3 4" xfId="19750" xr:uid="{00000000-0005-0000-0000-0000B3080000}"/>
    <cellStyle name="20% - Accent2 13 3 4" xfId="5590" xr:uid="{00000000-0005-0000-0000-0000B4080000}"/>
    <cellStyle name="20% - Accent2 13 3 4 2" xfId="13574" xr:uid="{00000000-0005-0000-0000-0000B5080000}"/>
    <cellStyle name="20% - Accent2 13 3 4 3" xfId="21522" xr:uid="{00000000-0005-0000-0000-0000B6080000}"/>
    <cellStyle name="20% - Accent2 13 3 5" xfId="9143" xr:uid="{00000000-0005-0000-0000-0000B7080000}"/>
    <cellStyle name="20% - Accent2 13 3 5 2" xfId="17101" xr:uid="{00000000-0005-0000-0000-0000B8080000}"/>
    <cellStyle name="20% - Accent2 13 3 5 3" xfId="25045" xr:uid="{00000000-0005-0000-0000-0000B9080000}"/>
    <cellStyle name="20% - Accent2 13 3 6" xfId="10039" xr:uid="{00000000-0005-0000-0000-0000BA080000}"/>
    <cellStyle name="20% - Accent2 13 3 7" xfId="17994" xr:uid="{00000000-0005-0000-0000-0000BB080000}"/>
    <cellStyle name="20% - Accent2 13 3_Exh G" xfId="2094" xr:uid="{00000000-0005-0000-0000-0000BC080000}"/>
    <cellStyle name="20% - Accent2 13 4" xfId="1116" xr:uid="{00000000-0005-0000-0000-0000BD080000}"/>
    <cellStyle name="20% - Accent2 13 4 2" xfId="4646" xr:uid="{00000000-0005-0000-0000-0000BE080000}"/>
    <cellStyle name="20% - Accent2 13 4 2 2" xfId="8237" xr:uid="{00000000-0005-0000-0000-0000BF080000}"/>
    <cellStyle name="20% - Accent2 13 4 2 2 2" xfId="16208" xr:uid="{00000000-0005-0000-0000-0000C0080000}"/>
    <cellStyle name="20% - Accent2 13 4 2 2 3" xfId="24154" xr:uid="{00000000-0005-0000-0000-0000C1080000}"/>
    <cellStyle name="20% - Accent2 13 4 2 3" xfId="12670" xr:uid="{00000000-0005-0000-0000-0000C2080000}"/>
    <cellStyle name="20% - Accent2 13 4 2 4" xfId="20625" xr:uid="{00000000-0005-0000-0000-0000C3080000}"/>
    <cellStyle name="20% - Accent2 13 4 3" xfId="6478" xr:uid="{00000000-0005-0000-0000-0000C4080000}"/>
    <cellStyle name="20% - Accent2 13 4 3 2" xfId="14450" xr:uid="{00000000-0005-0000-0000-0000C5080000}"/>
    <cellStyle name="20% - Accent2 13 4 3 3" xfId="22397" xr:uid="{00000000-0005-0000-0000-0000C6080000}"/>
    <cellStyle name="20% - Accent2 13 4 4" xfId="10914" xr:uid="{00000000-0005-0000-0000-0000C7080000}"/>
    <cellStyle name="20% - Accent2 13 4 5" xfId="18869" xr:uid="{00000000-0005-0000-0000-0000C8080000}"/>
    <cellStyle name="20% - Accent2 13 4_Exh G" xfId="2096" xr:uid="{00000000-0005-0000-0000-0000C9080000}"/>
    <cellStyle name="20% - Accent2 13 5" xfId="3767" xr:uid="{00000000-0005-0000-0000-0000CA080000}"/>
    <cellStyle name="20% - Accent2 13 5 2" xfId="7359" xr:uid="{00000000-0005-0000-0000-0000CB080000}"/>
    <cellStyle name="20% - Accent2 13 5 2 2" xfId="15330" xr:uid="{00000000-0005-0000-0000-0000CC080000}"/>
    <cellStyle name="20% - Accent2 13 5 2 3" xfId="23276" xr:uid="{00000000-0005-0000-0000-0000CD080000}"/>
    <cellStyle name="20% - Accent2 13 5 3" xfId="11792" xr:uid="{00000000-0005-0000-0000-0000CE080000}"/>
    <cellStyle name="20% - Accent2 13 5 4" xfId="19747" xr:uid="{00000000-0005-0000-0000-0000CF080000}"/>
    <cellStyle name="20% - Accent2 13 6" xfId="5587" xr:uid="{00000000-0005-0000-0000-0000D0080000}"/>
    <cellStyle name="20% - Accent2 13 6 2" xfId="13571" xr:uid="{00000000-0005-0000-0000-0000D1080000}"/>
    <cellStyle name="20% - Accent2 13 6 3" xfId="21519" xr:uid="{00000000-0005-0000-0000-0000D2080000}"/>
    <cellStyle name="20% - Accent2 13 7" xfId="9140" xr:uid="{00000000-0005-0000-0000-0000D3080000}"/>
    <cellStyle name="20% - Accent2 13 7 2" xfId="17098" xr:uid="{00000000-0005-0000-0000-0000D4080000}"/>
    <cellStyle name="20% - Accent2 13 7 3" xfId="25042" xr:uid="{00000000-0005-0000-0000-0000D5080000}"/>
    <cellStyle name="20% - Accent2 13 8" xfId="10036" xr:uid="{00000000-0005-0000-0000-0000D6080000}"/>
    <cellStyle name="20% - Accent2 13 9" xfId="17991" xr:uid="{00000000-0005-0000-0000-0000D7080000}"/>
    <cellStyle name="20% - Accent2 13_Exh G" xfId="2089" xr:uid="{00000000-0005-0000-0000-0000D8080000}"/>
    <cellStyle name="20% - Accent2 14" xfId="92" xr:uid="{00000000-0005-0000-0000-0000D9080000}"/>
    <cellStyle name="20% - Accent2 14 2" xfId="93" xr:uid="{00000000-0005-0000-0000-0000DA080000}"/>
    <cellStyle name="20% - Accent2 14 2 2" xfId="1121" xr:uid="{00000000-0005-0000-0000-0000DB080000}"/>
    <cellStyle name="20% - Accent2 14 2 2 2" xfId="4651" xr:uid="{00000000-0005-0000-0000-0000DC080000}"/>
    <cellStyle name="20% - Accent2 14 2 2 2 2" xfId="8242" xr:uid="{00000000-0005-0000-0000-0000DD080000}"/>
    <cellStyle name="20% - Accent2 14 2 2 2 2 2" xfId="16213" xr:uid="{00000000-0005-0000-0000-0000DE080000}"/>
    <cellStyle name="20% - Accent2 14 2 2 2 2 3" xfId="24159" xr:uid="{00000000-0005-0000-0000-0000DF080000}"/>
    <cellStyle name="20% - Accent2 14 2 2 2 3" xfId="12675" xr:uid="{00000000-0005-0000-0000-0000E0080000}"/>
    <cellStyle name="20% - Accent2 14 2 2 2 4" xfId="20630" xr:uid="{00000000-0005-0000-0000-0000E1080000}"/>
    <cellStyle name="20% - Accent2 14 2 2 3" xfId="6483" xr:uid="{00000000-0005-0000-0000-0000E2080000}"/>
    <cellStyle name="20% - Accent2 14 2 2 3 2" xfId="14455" xr:uid="{00000000-0005-0000-0000-0000E3080000}"/>
    <cellStyle name="20% - Accent2 14 2 2 3 3" xfId="22402" xr:uid="{00000000-0005-0000-0000-0000E4080000}"/>
    <cellStyle name="20% - Accent2 14 2 2 4" xfId="10919" xr:uid="{00000000-0005-0000-0000-0000E5080000}"/>
    <cellStyle name="20% - Accent2 14 2 2 5" xfId="18874" xr:uid="{00000000-0005-0000-0000-0000E6080000}"/>
    <cellStyle name="20% - Accent2 14 2 2_Exh G" xfId="2099" xr:uid="{00000000-0005-0000-0000-0000E7080000}"/>
    <cellStyle name="20% - Accent2 14 2 3" xfId="3772" xr:uid="{00000000-0005-0000-0000-0000E8080000}"/>
    <cellStyle name="20% - Accent2 14 2 3 2" xfId="7364" xr:uid="{00000000-0005-0000-0000-0000E9080000}"/>
    <cellStyle name="20% - Accent2 14 2 3 2 2" xfId="15335" xr:uid="{00000000-0005-0000-0000-0000EA080000}"/>
    <cellStyle name="20% - Accent2 14 2 3 2 3" xfId="23281" xr:uid="{00000000-0005-0000-0000-0000EB080000}"/>
    <cellStyle name="20% - Accent2 14 2 3 3" xfId="11797" xr:uid="{00000000-0005-0000-0000-0000EC080000}"/>
    <cellStyle name="20% - Accent2 14 2 3 4" xfId="19752" xr:uid="{00000000-0005-0000-0000-0000ED080000}"/>
    <cellStyle name="20% - Accent2 14 2 4" xfId="5592" xr:uid="{00000000-0005-0000-0000-0000EE080000}"/>
    <cellStyle name="20% - Accent2 14 2 4 2" xfId="13576" xr:uid="{00000000-0005-0000-0000-0000EF080000}"/>
    <cellStyle name="20% - Accent2 14 2 4 3" xfId="21524" xr:uid="{00000000-0005-0000-0000-0000F0080000}"/>
    <cellStyle name="20% - Accent2 14 2 5" xfId="9145" xr:uid="{00000000-0005-0000-0000-0000F1080000}"/>
    <cellStyle name="20% - Accent2 14 2 5 2" xfId="17103" xr:uid="{00000000-0005-0000-0000-0000F2080000}"/>
    <cellStyle name="20% - Accent2 14 2 5 3" xfId="25047" xr:uid="{00000000-0005-0000-0000-0000F3080000}"/>
    <cellStyle name="20% - Accent2 14 2 6" xfId="10041" xr:uid="{00000000-0005-0000-0000-0000F4080000}"/>
    <cellStyle name="20% - Accent2 14 2 7" xfId="17996" xr:uid="{00000000-0005-0000-0000-0000F5080000}"/>
    <cellStyle name="20% - Accent2 14 2_Exh G" xfId="2098" xr:uid="{00000000-0005-0000-0000-0000F6080000}"/>
    <cellStyle name="20% - Accent2 14 3" xfId="1120" xr:uid="{00000000-0005-0000-0000-0000F7080000}"/>
    <cellStyle name="20% - Accent2 14 3 2" xfId="4650" xr:uid="{00000000-0005-0000-0000-0000F8080000}"/>
    <cellStyle name="20% - Accent2 14 3 2 2" xfId="8241" xr:uid="{00000000-0005-0000-0000-0000F9080000}"/>
    <cellStyle name="20% - Accent2 14 3 2 2 2" xfId="16212" xr:uid="{00000000-0005-0000-0000-0000FA080000}"/>
    <cellStyle name="20% - Accent2 14 3 2 2 3" xfId="24158" xr:uid="{00000000-0005-0000-0000-0000FB080000}"/>
    <cellStyle name="20% - Accent2 14 3 2 3" xfId="12674" xr:uid="{00000000-0005-0000-0000-0000FC080000}"/>
    <cellStyle name="20% - Accent2 14 3 2 4" xfId="20629" xr:uid="{00000000-0005-0000-0000-0000FD080000}"/>
    <cellStyle name="20% - Accent2 14 3 3" xfId="6482" xr:uid="{00000000-0005-0000-0000-0000FE080000}"/>
    <cellStyle name="20% - Accent2 14 3 3 2" xfId="14454" xr:uid="{00000000-0005-0000-0000-0000FF080000}"/>
    <cellStyle name="20% - Accent2 14 3 3 3" xfId="22401" xr:uid="{00000000-0005-0000-0000-000000090000}"/>
    <cellStyle name="20% - Accent2 14 3 4" xfId="10918" xr:uid="{00000000-0005-0000-0000-000001090000}"/>
    <cellStyle name="20% - Accent2 14 3 5" xfId="18873" xr:uid="{00000000-0005-0000-0000-000002090000}"/>
    <cellStyle name="20% - Accent2 14 3_Exh G" xfId="2100" xr:uid="{00000000-0005-0000-0000-000003090000}"/>
    <cellStyle name="20% - Accent2 14 4" xfId="3771" xr:uid="{00000000-0005-0000-0000-000004090000}"/>
    <cellStyle name="20% - Accent2 14 4 2" xfId="7363" xr:uid="{00000000-0005-0000-0000-000005090000}"/>
    <cellStyle name="20% - Accent2 14 4 2 2" xfId="15334" xr:uid="{00000000-0005-0000-0000-000006090000}"/>
    <cellStyle name="20% - Accent2 14 4 2 3" xfId="23280" xr:uid="{00000000-0005-0000-0000-000007090000}"/>
    <cellStyle name="20% - Accent2 14 4 3" xfId="11796" xr:uid="{00000000-0005-0000-0000-000008090000}"/>
    <cellStyle name="20% - Accent2 14 4 4" xfId="19751" xr:uid="{00000000-0005-0000-0000-000009090000}"/>
    <cellStyle name="20% - Accent2 14 5" xfId="5591" xr:uid="{00000000-0005-0000-0000-00000A090000}"/>
    <cellStyle name="20% - Accent2 14 5 2" xfId="13575" xr:uid="{00000000-0005-0000-0000-00000B090000}"/>
    <cellStyle name="20% - Accent2 14 5 3" xfId="21523" xr:uid="{00000000-0005-0000-0000-00000C090000}"/>
    <cellStyle name="20% - Accent2 14 6" xfId="9144" xr:uid="{00000000-0005-0000-0000-00000D090000}"/>
    <cellStyle name="20% - Accent2 14 6 2" xfId="17102" xr:uid="{00000000-0005-0000-0000-00000E090000}"/>
    <cellStyle name="20% - Accent2 14 6 3" xfId="25046" xr:uid="{00000000-0005-0000-0000-00000F090000}"/>
    <cellStyle name="20% - Accent2 14 7" xfId="10040" xr:uid="{00000000-0005-0000-0000-000010090000}"/>
    <cellStyle name="20% - Accent2 14 8" xfId="17995" xr:uid="{00000000-0005-0000-0000-000011090000}"/>
    <cellStyle name="20% - Accent2 14_Exh G" xfId="2097" xr:uid="{00000000-0005-0000-0000-000012090000}"/>
    <cellStyle name="20% - Accent2 15" xfId="94" xr:uid="{00000000-0005-0000-0000-000013090000}"/>
    <cellStyle name="20% - Accent2 15 2" xfId="1122" xr:uid="{00000000-0005-0000-0000-000014090000}"/>
    <cellStyle name="20% - Accent2 15 2 2" xfId="4652" xr:uid="{00000000-0005-0000-0000-000015090000}"/>
    <cellStyle name="20% - Accent2 15 2 2 2" xfId="8243" xr:uid="{00000000-0005-0000-0000-000016090000}"/>
    <cellStyle name="20% - Accent2 15 2 2 2 2" xfId="16214" xr:uid="{00000000-0005-0000-0000-000017090000}"/>
    <cellStyle name="20% - Accent2 15 2 2 2 3" xfId="24160" xr:uid="{00000000-0005-0000-0000-000018090000}"/>
    <cellStyle name="20% - Accent2 15 2 2 3" xfId="12676" xr:uid="{00000000-0005-0000-0000-000019090000}"/>
    <cellStyle name="20% - Accent2 15 2 2 4" xfId="20631" xr:uid="{00000000-0005-0000-0000-00001A090000}"/>
    <cellStyle name="20% - Accent2 15 2 3" xfId="6484" xr:uid="{00000000-0005-0000-0000-00001B090000}"/>
    <cellStyle name="20% - Accent2 15 2 3 2" xfId="14456" xr:uid="{00000000-0005-0000-0000-00001C090000}"/>
    <cellStyle name="20% - Accent2 15 2 3 3" xfId="22403" xr:uid="{00000000-0005-0000-0000-00001D090000}"/>
    <cellStyle name="20% - Accent2 15 2 4" xfId="10920" xr:uid="{00000000-0005-0000-0000-00001E090000}"/>
    <cellStyle name="20% - Accent2 15 2 5" xfId="18875" xr:uid="{00000000-0005-0000-0000-00001F090000}"/>
    <cellStyle name="20% - Accent2 15 2_Exh G" xfId="2102" xr:uid="{00000000-0005-0000-0000-000020090000}"/>
    <cellStyle name="20% - Accent2 15 3" xfId="3773" xr:uid="{00000000-0005-0000-0000-000021090000}"/>
    <cellStyle name="20% - Accent2 15 3 2" xfId="7365" xr:uid="{00000000-0005-0000-0000-000022090000}"/>
    <cellStyle name="20% - Accent2 15 3 2 2" xfId="15336" xr:uid="{00000000-0005-0000-0000-000023090000}"/>
    <cellStyle name="20% - Accent2 15 3 2 3" xfId="23282" xr:uid="{00000000-0005-0000-0000-000024090000}"/>
    <cellStyle name="20% - Accent2 15 3 3" xfId="11798" xr:uid="{00000000-0005-0000-0000-000025090000}"/>
    <cellStyle name="20% - Accent2 15 3 4" xfId="19753" xr:uid="{00000000-0005-0000-0000-000026090000}"/>
    <cellStyle name="20% - Accent2 15 4" xfId="5593" xr:uid="{00000000-0005-0000-0000-000027090000}"/>
    <cellStyle name="20% - Accent2 15 4 2" xfId="13577" xr:uid="{00000000-0005-0000-0000-000028090000}"/>
    <cellStyle name="20% - Accent2 15 4 3" xfId="21525" xr:uid="{00000000-0005-0000-0000-000029090000}"/>
    <cellStyle name="20% - Accent2 15 5" xfId="9146" xr:uid="{00000000-0005-0000-0000-00002A090000}"/>
    <cellStyle name="20% - Accent2 15 5 2" xfId="17104" xr:uid="{00000000-0005-0000-0000-00002B090000}"/>
    <cellStyle name="20% - Accent2 15 5 3" xfId="25048" xr:uid="{00000000-0005-0000-0000-00002C090000}"/>
    <cellStyle name="20% - Accent2 15 6" xfId="10042" xr:uid="{00000000-0005-0000-0000-00002D090000}"/>
    <cellStyle name="20% - Accent2 15 7" xfId="17997" xr:uid="{00000000-0005-0000-0000-00002E090000}"/>
    <cellStyle name="20% - Accent2 15_Exh G" xfId="2101" xr:uid="{00000000-0005-0000-0000-00002F090000}"/>
    <cellStyle name="20% - Accent2 16" xfId="844" xr:uid="{00000000-0005-0000-0000-000030090000}"/>
    <cellStyle name="20% - Accent2 16 2" xfId="1783" xr:uid="{00000000-0005-0000-0000-000031090000}"/>
    <cellStyle name="20% - Accent2 16 2 2" xfId="5304" xr:uid="{00000000-0005-0000-0000-000032090000}"/>
    <cellStyle name="20% - Accent2 16 2 2 2" xfId="8895" xr:uid="{00000000-0005-0000-0000-000033090000}"/>
    <cellStyle name="20% - Accent2 16 2 2 2 2" xfId="16866" xr:uid="{00000000-0005-0000-0000-000034090000}"/>
    <cellStyle name="20% - Accent2 16 2 2 2 3" xfId="24812" xr:uid="{00000000-0005-0000-0000-000035090000}"/>
    <cellStyle name="20% - Accent2 16 2 2 3" xfId="13328" xr:uid="{00000000-0005-0000-0000-000036090000}"/>
    <cellStyle name="20% - Accent2 16 2 2 4" xfId="21283" xr:uid="{00000000-0005-0000-0000-000037090000}"/>
    <cellStyle name="20% - Accent2 16 2 3" xfId="7136" xr:uid="{00000000-0005-0000-0000-000038090000}"/>
    <cellStyle name="20% - Accent2 16 2 3 2" xfId="15108" xr:uid="{00000000-0005-0000-0000-000039090000}"/>
    <cellStyle name="20% - Accent2 16 2 3 3" xfId="23055" xr:uid="{00000000-0005-0000-0000-00003A090000}"/>
    <cellStyle name="20% - Accent2 16 2 4" xfId="11572" xr:uid="{00000000-0005-0000-0000-00003B090000}"/>
    <cellStyle name="20% - Accent2 16 2 5" xfId="19527" xr:uid="{00000000-0005-0000-0000-00003C090000}"/>
    <cellStyle name="20% - Accent2 16 2_Exh G" xfId="2104" xr:uid="{00000000-0005-0000-0000-00003D090000}"/>
    <cellStyle name="20% - Accent2 16 3" xfId="4425" xr:uid="{00000000-0005-0000-0000-00003E090000}"/>
    <cellStyle name="20% - Accent2 16 3 2" xfId="8017" xr:uid="{00000000-0005-0000-0000-00003F090000}"/>
    <cellStyle name="20% - Accent2 16 3 2 2" xfId="15988" xr:uid="{00000000-0005-0000-0000-000040090000}"/>
    <cellStyle name="20% - Accent2 16 3 2 3" xfId="23934" xr:uid="{00000000-0005-0000-0000-000041090000}"/>
    <cellStyle name="20% - Accent2 16 3 3" xfId="12450" xr:uid="{00000000-0005-0000-0000-000042090000}"/>
    <cellStyle name="20% - Accent2 16 3 4" xfId="20405" xr:uid="{00000000-0005-0000-0000-000043090000}"/>
    <cellStyle name="20% - Accent2 16 4" xfId="6255" xr:uid="{00000000-0005-0000-0000-000044090000}"/>
    <cellStyle name="20% - Accent2 16 4 2" xfId="14230" xr:uid="{00000000-0005-0000-0000-000045090000}"/>
    <cellStyle name="20% - Accent2 16 4 3" xfId="22177" xr:uid="{00000000-0005-0000-0000-000046090000}"/>
    <cellStyle name="20% - Accent2 16 5" xfId="9798" xr:uid="{00000000-0005-0000-0000-000047090000}"/>
    <cellStyle name="20% - Accent2 16 5 2" xfId="17756" xr:uid="{00000000-0005-0000-0000-000048090000}"/>
    <cellStyle name="20% - Accent2 16 5 3" xfId="25700" xr:uid="{00000000-0005-0000-0000-000049090000}"/>
    <cellStyle name="20% - Accent2 16 6" xfId="10694" xr:uid="{00000000-0005-0000-0000-00004A090000}"/>
    <cellStyle name="20% - Accent2 16 7" xfId="18649" xr:uid="{00000000-0005-0000-0000-00004B090000}"/>
    <cellStyle name="20% - Accent2 16_Exh G" xfId="2103" xr:uid="{00000000-0005-0000-0000-00004C090000}"/>
    <cellStyle name="20% - Accent2 2" xfId="95" xr:uid="{00000000-0005-0000-0000-00004D090000}"/>
    <cellStyle name="20% - Accent2 2 10" xfId="17998" xr:uid="{00000000-0005-0000-0000-00004E090000}"/>
    <cellStyle name="20% - Accent2 2 2" xfId="96" xr:uid="{00000000-0005-0000-0000-00004F090000}"/>
    <cellStyle name="20% - Accent2 2 2 2" xfId="97" xr:uid="{00000000-0005-0000-0000-000050090000}"/>
    <cellStyle name="20% - Accent2 2 2 2 2" xfId="1125" xr:uid="{00000000-0005-0000-0000-000051090000}"/>
    <cellStyle name="20% - Accent2 2 2 2 2 2" xfId="4655" xr:uid="{00000000-0005-0000-0000-000052090000}"/>
    <cellStyle name="20% - Accent2 2 2 2 2 2 2" xfId="8246" xr:uid="{00000000-0005-0000-0000-000053090000}"/>
    <cellStyle name="20% - Accent2 2 2 2 2 2 2 2" xfId="16217" xr:uid="{00000000-0005-0000-0000-000054090000}"/>
    <cellStyle name="20% - Accent2 2 2 2 2 2 2 3" xfId="24163" xr:uid="{00000000-0005-0000-0000-000055090000}"/>
    <cellStyle name="20% - Accent2 2 2 2 2 2 3" xfId="12679" xr:uid="{00000000-0005-0000-0000-000056090000}"/>
    <cellStyle name="20% - Accent2 2 2 2 2 2 4" xfId="20634" xr:uid="{00000000-0005-0000-0000-000057090000}"/>
    <cellStyle name="20% - Accent2 2 2 2 2 3" xfId="6487" xr:uid="{00000000-0005-0000-0000-000058090000}"/>
    <cellStyle name="20% - Accent2 2 2 2 2 3 2" xfId="14459" xr:uid="{00000000-0005-0000-0000-000059090000}"/>
    <cellStyle name="20% - Accent2 2 2 2 2 3 3" xfId="22406" xr:uid="{00000000-0005-0000-0000-00005A090000}"/>
    <cellStyle name="20% - Accent2 2 2 2 2 4" xfId="10923" xr:uid="{00000000-0005-0000-0000-00005B090000}"/>
    <cellStyle name="20% - Accent2 2 2 2 2 5" xfId="18878" xr:uid="{00000000-0005-0000-0000-00005C090000}"/>
    <cellStyle name="20% - Accent2 2 2 2 2_Exh G" xfId="2108" xr:uid="{00000000-0005-0000-0000-00005D090000}"/>
    <cellStyle name="20% - Accent2 2 2 2 3" xfId="3776" xr:uid="{00000000-0005-0000-0000-00005E090000}"/>
    <cellStyle name="20% - Accent2 2 2 2 3 2" xfId="7368" xr:uid="{00000000-0005-0000-0000-00005F090000}"/>
    <cellStyle name="20% - Accent2 2 2 2 3 2 2" xfId="15339" xr:uid="{00000000-0005-0000-0000-000060090000}"/>
    <cellStyle name="20% - Accent2 2 2 2 3 2 3" xfId="23285" xr:uid="{00000000-0005-0000-0000-000061090000}"/>
    <cellStyle name="20% - Accent2 2 2 2 3 3" xfId="11801" xr:uid="{00000000-0005-0000-0000-000062090000}"/>
    <cellStyle name="20% - Accent2 2 2 2 3 4" xfId="19756" xr:uid="{00000000-0005-0000-0000-000063090000}"/>
    <cellStyle name="20% - Accent2 2 2 2 4" xfId="5596" xr:uid="{00000000-0005-0000-0000-000064090000}"/>
    <cellStyle name="20% - Accent2 2 2 2 4 2" xfId="13580" xr:uid="{00000000-0005-0000-0000-000065090000}"/>
    <cellStyle name="20% - Accent2 2 2 2 4 3" xfId="21528" xr:uid="{00000000-0005-0000-0000-000066090000}"/>
    <cellStyle name="20% - Accent2 2 2 2 5" xfId="9149" xr:uid="{00000000-0005-0000-0000-000067090000}"/>
    <cellStyle name="20% - Accent2 2 2 2 5 2" xfId="17107" xr:uid="{00000000-0005-0000-0000-000068090000}"/>
    <cellStyle name="20% - Accent2 2 2 2 5 3" xfId="25051" xr:uid="{00000000-0005-0000-0000-000069090000}"/>
    <cellStyle name="20% - Accent2 2 2 2 6" xfId="10045" xr:uid="{00000000-0005-0000-0000-00006A090000}"/>
    <cellStyle name="20% - Accent2 2 2 2 7" xfId="18000" xr:uid="{00000000-0005-0000-0000-00006B090000}"/>
    <cellStyle name="20% - Accent2 2 2 2_Exh G" xfId="2107" xr:uid="{00000000-0005-0000-0000-00006C090000}"/>
    <cellStyle name="20% - Accent2 2 2 3" xfId="876" xr:uid="{00000000-0005-0000-0000-00006D090000}"/>
    <cellStyle name="20% - Accent2 2 2 3 2" xfId="1810" xr:uid="{00000000-0005-0000-0000-00006E090000}"/>
    <cellStyle name="20% - Accent2 2 2 3 2 2" xfId="5328" xr:uid="{00000000-0005-0000-0000-00006F090000}"/>
    <cellStyle name="20% - Accent2 2 2 3 2 2 2" xfId="8919" xr:uid="{00000000-0005-0000-0000-000070090000}"/>
    <cellStyle name="20% - Accent2 2 2 3 2 2 2 2" xfId="16890" xr:uid="{00000000-0005-0000-0000-000071090000}"/>
    <cellStyle name="20% - Accent2 2 2 3 2 2 2 3" xfId="24836" xr:uid="{00000000-0005-0000-0000-000072090000}"/>
    <cellStyle name="20% - Accent2 2 2 3 2 2 3" xfId="13352" xr:uid="{00000000-0005-0000-0000-000073090000}"/>
    <cellStyle name="20% - Accent2 2 2 3 2 2 4" xfId="21307" xr:uid="{00000000-0005-0000-0000-000074090000}"/>
    <cellStyle name="20% - Accent2 2 2 3 2 3" xfId="7160" xr:uid="{00000000-0005-0000-0000-000075090000}"/>
    <cellStyle name="20% - Accent2 2 2 3 2 3 2" xfId="15132" xr:uid="{00000000-0005-0000-0000-000076090000}"/>
    <cellStyle name="20% - Accent2 2 2 3 2 3 3" xfId="23079" xr:uid="{00000000-0005-0000-0000-000077090000}"/>
    <cellStyle name="20% - Accent2 2 2 3 2 4" xfId="11596" xr:uid="{00000000-0005-0000-0000-000078090000}"/>
    <cellStyle name="20% - Accent2 2 2 3 2 5" xfId="19551" xr:uid="{00000000-0005-0000-0000-000079090000}"/>
    <cellStyle name="20% - Accent2 2 2 3 2_Exh G" xfId="2110" xr:uid="{00000000-0005-0000-0000-00007A090000}"/>
    <cellStyle name="20% - Accent2 2 2 3 3" xfId="4449" xr:uid="{00000000-0005-0000-0000-00007B090000}"/>
    <cellStyle name="20% - Accent2 2 2 3 3 2" xfId="8041" xr:uid="{00000000-0005-0000-0000-00007C090000}"/>
    <cellStyle name="20% - Accent2 2 2 3 3 2 2" xfId="16012" xr:uid="{00000000-0005-0000-0000-00007D090000}"/>
    <cellStyle name="20% - Accent2 2 2 3 3 2 3" xfId="23958" xr:uid="{00000000-0005-0000-0000-00007E090000}"/>
    <cellStyle name="20% - Accent2 2 2 3 3 3" xfId="12474" xr:uid="{00000000-0005-0000-0000-00007F090000}"/>
    <cellStyle name="20% - Accent2 2 2 3 3 4" xfId="20429" xr:uid="{00000000-0005-0000-0000-000080090000}"/>
    <cellStyle name="20% - Accent2 2 2 3 4" xfId="6279" xr:uid="{00000000-0005-0000-0000-000081090000}"/>
    <cellStyle name="20% - Accent2 2 2 3 4 2" xfId="14254" xr:uid="{00000000-0005-0000-0000-000082090000}"/>
    <cellStyle name="20% - Accent2 2 2 3 4 3" xfId="22201" xr:uid="{00000000-0005-0000-0000-000083090000}"/>
    <cellStyle name="20% - Accent2 2 2 3 5" xfId="9822" xr:uid="{00000000-0005-0000-0000-000084090000}"/>
    <cellStyle name="20% - Accent2 2 2 3 5 2" xfId="17780" xr:uid="{00000000-0005-0000-0000-000085090000}"/>
    <cellStyle name="20% - Accent2 2 2 3 5 3" xfId="25724" xr:uid="{00000000-0005-0000-0000-000086090000}"/>
    <cellStyle name="20% - Accent2 2 2 3 6" xfId="10718" xr:uid="{00000000-0005-0000-0000-000087090000}"/>
    <cellStyle name="20% - Accent2 2 2 3 7" xfId="18673" xr:uid="{00000000-0005-0000-0000-000088090000}"/>
    <cellStyle name="20% - Accent2 2 2 3_Exh G" xfId="2109" xr:uid="{00000000-0005-0000-0000-000089090000}"/>
    <cellStyle name="20% - Accent2 2 2 4" xfId="1124" xr:uid="{00000000-0005-0000-0000-00008A090000}"/>
    <cellStyle name="20% - Accent2 2 2 4 2" xfId="4654" xr:uid="{00000000-0005-0000-0000-00008B090000}"/>
    <cellStyle name="20% - Accent2 2 2 4 2 2" xfId="8245" xr:uid="{00000000-0005-0000-0000-00008C090000}"/>
    <cellStyle name="20% - Accent2 2 2 4 2 2 2" xfId="16216" xr:uid="{00000000-0005-0000-0000-00008D090000}"/>
    <cellStyle name="20% - Accent2 2 2 4 2 2 3" xfId="24162" xr:uid="{00000000-0005-0000-0000-00008E090000}"/>
    <cellStyle name="20% - Accent2 2 2 4 2 3" xfId="12678" xr:uid="{00000000-0005-0000-0000-00008F090000}"/>
    <cellStyle name="20% - Accent2 2 2 4 2 4" xfId="20633" xr:uid="{00000000-0005-0000-0000-000090090000}"/>
    <cellStyle name="20% - Accent2 2 2 4 3" xfId="6486" xr:uid="{00000000-0005-0000-0000-000091090000}"/>
    <cellStyle name="20% - Accent2 2 2 4 3 2" xfId="14458" xr:uid="{00000000-0005-0000-0000-000092090000}"/>
    <cellStyle name="20% - Accent2 2 2 4 3 3" xfId="22405" xr:uid="{00000000-0005-0000-0000-000093090000}"/>
    <cellStyle name="20% - Accent2 2 2 4 4" xfId="10922" xr:uid="{00000000-0005-0000-0000-000094090000}"/>
    <cellStyle name="20% - Accent2 2 2 4 5" xfId="18877" xr:uid="{00000000-0005-0000-0000-000095090000}"/>
    <cellStyle name="20% - Accent2 2 2 4_Exh G" xfId="2111" xr:uid="{00000000-0005-0000-0000-000096090000}"/>
    <cellStyle name="20% - Accent2 2 2 5" xfId="3775" xr:uid="{00000000-0005-0000-0000-000097090000}"/>
    <cellStyle name="20% - Accent2 2 2 5 2" xfId="7367" xr:uid="{00000000-0005-0000-0000-000098090000}"/>
    <cellStyle name="20% - Accent2 2 2 5 2 2" xfId="15338" xr:uid="{00000000-0005-0000-0000-000099090000}"/>
    <cellStyle name="20% - Accent2 2 2 5 2 3" xfId="23284" xr:uid="{00000000-0005-0000-0000-00009A090000}"/>
    <cellStyle name="20% - Accent2 2 2 5 3" xfId="11800" xr:uid="{00000000-0005-0000-0000-00009B090000}"/>
    <cellStyle name="20% - Accent2 2 2 5 4" xfId="19755" xr:uid="{00000000-0005-0000-0000-00009C090000}"/>
    <cellStyle name="20% - Accent2 2 2 6" xfId="5595" xr:uid="{00000000-0005-0000-0000-00009D090000}"/>
    <cellStyle name="20% - Accent2 2 2 6 2" xfId="13579" xr:uid="{00000000-0005-0000-0000-00009E090000}"/>
    <cellStyle name="20% - Accent2 2 2 6 3" xfId="21527" xr:uid="{00000000-0005-0000-0000-00009F090000}"/>
    <cellStyle name="20% - Accent2 2 2 7" xfId="9148" xr:uid="{00000000-0005-0000-0000-0000A0090000}"/>
    <cellStyle name="20% - Accent2 2 2 7 2" xfId="17106" xr:uid="{00000000-0005-0000-0000-0000A1090000}"/>
    <cellStyle name="20% - Accent2 2 2 7 3" xfId="25050" xr:uid="{00000000-0005-0000-0000-0000A2090000}"/>
    <cellStyle name="20% - Accent2 2 2 8" xfId="10044" xr:uid="{00000000-0005-0000-0000-0000A3090000}"/>
    <cellStyle name="20% - Accent2 2 2 9" xfId="17999" xr:uid="{00000000-0005-0000-0000-0000A4090000}"/>
    <cellStyle name="20% - Accent2 2 2_Exh G" xfId="2106" xr:uid="{00000000-0005-0000-0000-0000A5090000}"/>
    <cellStyle name="20% - Accent2 2 3" xfId="98" xr:uid="{00000000-0005-0000-0000-0000A6090000}"/>
    <cellStyle name="20% - Accent2 2 3 2" xfId="1126" xr:uid="{00000000-0005-0000-0000-0000A7090000}"/>
    <cellStyle name="20% - Accent2 2 3 2 2" xfId="4656" xr:uid="{00000000-0005-0000-0000-0000A8090000}"/>
    <cellStyle name="20% - Accent2 2 3 2 2 2" xfId="8247" xr:uid="{00000000-0005-0000-0000-0000A9090000}"/>
    <cellStyle name="20% - Accent2 2 3 2 2 2 2" xfId="16218" xr:uid="{00000000-0005-0000-0000-0000AA090000}"/>
    <cellStyle name="20% - Accent2 2 3 2 2 2 3" xfId="24164" xr:uid="{00000000-0005-0000-0000-0000AB090000}"/>
    <cellStyle name="20% - Accent2 2 3 2 2 3" xfId="12680" xr:uid="{00000000-0005-0000-0000-0000AC090000}"/>
    <cellStyle name="20% - Accent2 2 3 2 2 4" xfId="20635" xr:uid="{00000000-0005-0000-0000-0000AD090000}"/>
    <cellStyle name="20% - Accent2 2 3 2 3" xfId="6488" xr:uid="{00000000-0005-0000-0000-0000AE090000}"/>
    <cellStyle name="20% - Accent2 2 3 2 3 2" xfId="14460" xr:uid="{00000000-0005-0000-0000-0000AF090000}"/>
    <cellStyle name="20% - Accent2 2 3 2 3 3" xfId="22407" xr:uid="{00000000-0005-0000-0000-0000B0090000}"/>
    <cellStyle name="20% - Accent2 2 3 2 4" xfId="10924" xr:uid="{00000000-0005-0000-0000-0000B1090000}"/>
    <cellStyle name="20% - Accent2 2 3 2 5" xfId="18879" xr:uid="{00000000-0005-0000-0000-0000B2090000}"/>
    <cellStyle name="20% - Accent2 2 3 2_Exh G" xfId="2113" xr:uid="{00000000-0005-0000-0000-0000B3090000}"/>
    <cellStyle name="20% - Accent2 2 3 3" xfId="3777" xr:uid="{00000000-0005-0000-0000-0000B4090000}"/>
    <cellStyle name="20% - Accent2 2 3 3 2" xfId="7369" xr:uid="{00000000-0005-0000-0000-0000B5090000}"/>
    <cellStyle name="20% - Accent2 2 3 3 2 2" xfId="15340" xr:uid="{00000000-0005-0000-0000-0000B6090000}"/>
    <cellStyle name="20% - Accent2 2 3 3 2 3" xfId="23286" xr:uid="{00000000-0005-0000-0000-0000B7090000}"/>
    <cellStyle name="20% - Accent2 2 3 3 3" xfId="11802" xr:uid="{00000000-0005-0000-0000-0000B8090000}"/>
    <cellStyle name="20% - Accent2 2 3 3 4" xfId="19757" xr:uid="{00000000-0005-0000-0000-0000B9090000}"/>
    <cellStyle name="20% - Accent2 2 3 4" xfId="5597" xr:uid="{00000000-0005-0000-0000-0000BA090000}"/>
    <cellStyle name="20% - Accent2 2 3 4 2" xfId="13581" xr:uid="{00000000-0005-0000-0000-0000BB090000}"/>
    <cellStyle name="20% - Accent2 2 3 4 3" xfId="21529" xr:uid="{00000000-0005-0000-0000-0000BC090000}"/>
    <cellStyle name="20% - Accent2 2 3 5" xfId="9150" xr:uid="{00000000-0005-0000-0000-0000BD090000}"/>
    <cellStyle name="20% - Accent2 2 3 5 2" xfId="17108" xr:uid="{00000000-0005-0000-0000-0000BE090000}"/>
    <cellStyle name="20% - Accent2 2 3 5 3" xfId="25052" xr:uid="{00000000-0005-0000-0000-0000BF090000}"/>
    <cellStyle name="20% - Accent2 2 3 6" xfId="10046" xr:uid="{00000000-0005-0000-0000-0000C0090000}"/>
    <cellStyle name="20% - Accent2 2 3 7" xfId="18001" xr:uid="{00000000-0005-0000-0000-0000C1090000}"/>
    <cellStyle name="20% - Accent2 2 3_Exh G" xfId="2112" xr:uid="{00000000-0005-0000-0000-0000C2090000}"/>
    <cellStyle name="20% - Accent2 2 4" xfId="875" xr:uid="{00000000-0005-0000-0000-0000C3090000}"/>
    <cellStyle name="20% - Accent2 2 4 2" xfId="1809" xr:uid="{00000000-0005-0000-0000-0000C4090000}"/>
    <cellStyle name="20% - Accent2 2 4 2 2" xfId="5327" xr:uid="{00000000-0005-0000-0000-0000C5090000}"/>
    <cellStyle name="20% - Accent2 2 4 2 2 2" xfId="8918" xr:uid="{00000000-0005-0000-0000-0000C6090000}"/>
    <cellStyle name="20% - Accent2 2 4 2 2 2 2" xfId="16889" xr:uid="{00000000-0005-0000-0000-0000C7090000}"/>
    <cellStyle name="20% - Accent2 2 4 2 2 2 3" xfId="24835" xr:uid="{00000000-0005-0000-0000-0000C8090000}"/>
    <cellStyle name="20% - Accent2 2 4 2 2 3" xfId="13351" xr:uid="{00000000-0005-0000-0000-0000C9090000}"/>
    <cellStyle name="20% - Accent2 2 4 2 2 4" xfId="21306" xr:uid="{00000000-0005-0000-0000-0000CA090000}"/>
    <cellStyle name="20% - Accent2 2 4 2 3" xfId="7159" xr:uid="{00000000-0005-0000-0000-0000CB090000}"/>
    <cellStyle name="20% - Accent2 2 4 2 3 2" xfId="15131" xr:uid="{00000000-0005-0000-0000-0000CC090000}"/>
    <cellStyle name="20% - Accent2 2 4 2 3 3" xfId="23078" xr:uid="{00000000-0005-0000-0000-0000CD090000}"/>
    <cellStyle name="20% - Accent2 2 4 2 4" xfId="11595" xr:uid="{00000000-0005-0000-0000-0000CE090000}"/>
    <cellStyle name="20% - Accent2 2 4 2 5" xfId="19550" xr:uid="{00000000-0005-0000-0000-0000CF090000}"/>
    <cellStyle name="20% - Accent2 2 4 2_Exh G" xfId="2115" xr:uid="{00000000-0005-0000-0000-0000D0090000}"/>
    <cellStyle name="20% - Accent2 2 4 3" xfId="4448" xr:uid="{00000000-0005-0000-0000-0000D1090000}"/>
    <cellStyle name="20% - Accent2 2 4 3 2" xfId="8040" xr:uid="{00000000-0005-0000-0000-0000D2090000}"/>
    <cellStyle name="20% - Accent2 2 4 3 2 2" xfId="16011" xr:uid="{00000000-0005-0000-0000-0000D3090000}"/>
    <cellStyle name="20% - Accent2 2 4 3 2 3" xfId="23957" xr:uid="{00000000-0005-0000-0000-0000D4090000}"/>
    <cellStyle name="20% - Accent2 2 4 3 3" xfId="12473" xr:uid="{00000000-0005-0000-0000-0000D5090000}"/>
    <cellStyle name="20% - Accent2 2 4 3 4" xfId="20428" xr:uid="{00000000-0005-0000-0000-0000D6090000}"/>
    <cellStyle name="20% - Accent2 2 4 4" xfId="6278" xr:uid="{00000000-0005-0000-0000-0000D7090000}"/>
    <cellStyle name="20% - Accent2 2 4 4 2" xfId="14253" xr:uid="{00000000-0005-0000-0000-0000D8090000}"/>
    <cellStyle name="20% - Accent2 2 4 4 3" xfId="22200" xr:uid="{00000000-0005-0000-0000-0000D9090000}"/>
    <cellStyle name="20% - Accent2 2 4 5" xfId="9821" xr:uid="{00000000-0005-0000-0000-0000DA090000}"/>
    <cellStyle name="20% - Accent2 2 4 5 2" xfId="17779" xr:uid="{00000000-0005-0000-0000-0000DB090000}"/>
    <cellStyle name="20% - Accent2 2 4 5 3" xfId="25723" xr:uid="{00000000-0005-0000-0000-0000DC090000}"/>
    <cellStyle name="20% - Accent2 2 4 6" xfId="10717" xr:uid="{00000000-0005-0000-0000-0000DD090000}"/>
    <cellStyle name="20% - Accent2 2 4 7" xfId="18672" xr:uid="{00000000-0005-0000-0000-0000DE090000}"/>
    <cellStyle name="20% - Accent2 2 4_Exh G" xfId="2114" xr:uid="{00000000-0005-0000-0000-0000DF090000}"/>
    <cellStyle name="20% - Accent2 2 5" xfId="1123" xr:uid="{00000000-0005-0000-0000-0000E0090000}"/>
    <cellStyle name="20% - Accent2 2 5 2" xfId="4653" xr:uid="{00000000-0005-0000-0000-0000E1090000}"/>
    <cellStyle name="20% - Accent2 2 5 2 2" xfId="8244" xr:uid="{00000000-0005-0000-0000-0000E2090000}"/>
    <cellStyle name="20% - Accent2 2 5 2 2 2" xfId="16215" xr:uid="{00000000-0005-0000-0000-0000E3090000}"/>
    <cellStyle name="20% - Accent2 2 5 2 2 3" xfId="24161" xr:uid="{00000000-0005-0000-0000-0000E4090000}"/>
    <cellStyle name="20% - Accent2 2 5 2 3" xfId="12677" xr:uid="{00000000-0005-0000-0000-0000E5090000}"/>
    <cellStyle name="20% - Accent2 2 5 2 4" xfId="20632" xr:uid="{00000000-0005-0000-0000-0000E6090000}"/>
    <cellStyle name="20% - Accent2 2 5 3" xfId="6485" xr:uid="{00000000-0005-0000-0000-0000E7090000}"/>
    <cellStyle name="20% - Accent2 2 5 3 2" xfId="14457" xr:uid="{00000000-0005-0000-0000-0000E8090000}"/>
    <cellStyle name="20% - Accent2 2 5 3 3" xfId="22404" xr:uid="{00000000-0005-0000-0000-0000E9090000}"/>
    <cellStyle name="20% - Accent2 2 5 4" xfId="10921" xr:uid="{00000000-0005-0000-0000-0000EA090000}"/>
    <cellStyle name="20% - Accent2 2 5 5" xfId="18876" xr:uid="{00000000-0005-0000-0000-0000EB090000}"/>
    <cellStyle name="20% - Accent2 2 5_Exh G" xfId="2116" xr:uid="{00000000-0005-0000-0000-0000EC090000}"/>
    <cellStyle name="20% - Accent2 2 6" xfId="3774" xr:uid="{00000000-0005-0000-0000-0000ED090000}"/>
    <cellStyle name="20% - Accent2 2 6 2" xfId="7366" xr:uid="{00000000-0005-0000-0000-0000EE090000}"/>
    <cellStyle name="20% - Accent2 2 6 2 2" xfId="15337" xr:uid="{00000000-0005-0000-0000-0000EF090000}"/>
    <cellStyle name="20% - Accent2 2 6 2 3" xfId="23283" xr:uid="{00000000-0005-0000-0000-0000F0090000}"/>
    <cellStyle name="20% - Accent2 2 6 3" xfId="11799" xr:uid="{00000000-0005-0000-0000-0000F1090000}"/>
    <cellStyle name="20% - Accent2 2 6 4" xfId="19754" xr:uid="{00000000-0005-0000-0000-0000F2090000}"/>
    <cellStyle name="20% - Accent2 2 7" xfId="5594" xr:uid="{00000000-0005-0000-0000-0000F3090000}"/>
    <cellStyle name="20% - Accent2 2 7 2" xfId="13578" xr:uid="{00000000-0005-0000-0000-0000F4090000}"/>
    <cellStyle name="20% - Accent2 2 7 3" xfId="21526" xr:uid="{00000000-0005-0000-0000-0000F5090000}"/>
    <cellStyle name="20% - Accent2 2 8" xfId="9147" xr:uid="{00000000-0005-0000-0000-0000F6090000}"/>
    <cellStyle name="20% - Accent2 2 8 2" xfId="17105" xr:uid="{00000000-0005-0000-0000-0000F7090000}"/>
    <cellStyle name="20% - Accent2 2 8 3" xfId="25049" xr:uid="{00000000-0005-0000-0000-0000F8090000}"/>
    <cellStyle name="20% - Accent2 2 9" xfId="10043" xr:uid="{00000000-0005-0000-0000-0000F9090000}"/>
    <cellStyle name="20% - Accent2 2_Exh G" xfId="2105" xr:uid="{00000000-0005-0000-0000-0000FA090000}"/>
    <cellStyle name="20% - Accent2 3" xfId="99" xr:uid="{00000000-0005-0000-0000-0000FB090000}"/>
    <cellStyle name="20% - Accent2 3 10" xfId="18002" xr:uid="{00000000-0005-0000-0000-0000FC090000}"/>
    <cellStyle name="20% - Accent2 3 2" xfId="100" xr:uid="{00000000-0005-0000-0000-0000FD090000}"/>
    <cellStyle name="20% - Accent2 3 2 2" xfId="101" xr:uid="{00000000-0005-0000-0000-0000FE090000}"/>
    <cellStyle name="20% - Accent2 3 2 2 2" xfId="1129" xr:uid="{00000000-0005-0000-0000-0000FF090000}"/>
    <cellStyle name="20% - Accent2 3 2 2 2 2" xfId="4659" xr:uid="{00000000-0005-0000-0000-0000000A0000}"/>
    <cellStyle name="20% - Accent2 3 2 2 2 2 2" xfId="8250" xr:uid="{00000000-0005-0000-0000-0000010A0000}"/>
    <cellStyle name="20% - Accent2 3 2 2 2 2 2 2" xfId="16221" xr:uid="{00000000-0005-0000-0000-0000020A0000}"/>
    <cellStyle name="20% - Accent2 3 2 2 2 2 2 3" xfId="24167" xr:uid="{00000000-0005-0000-0000-0000030A0000}"/>
    <cellStyle name="20% - Accent2 3 2 2 2 2 3" xfId="12683" xr:uid="{00000000-0005-0000-0000-0000040A0000}"/>
    <cellStyle name="20% - Accent2 3 2 2 2 2 4" xfId="20638" xr:uid="{00000000-0005-0000-0000-0000050A0000}"/>
    <cellStyle name="20% - Accent2 3 2 2 2 3" xfId="6491" xr:uid="{00000000-0005-0000-0000-0000060A0000}"/>
    <cellStyle name="20% - Accent2 3 2 2 2 3 2" xfId="14463" xr:uid="{00000000-0005-0000-0000-0000070A0000}"/>
    <cellStyle name="20% - Accent2 3 2 2 2 3 3" xfId="22410" xr:uid="{00000000-0005-0000-0000-0000080A0000}"/>
    <cellStyle name="20% - Accent2 3 2 2 2 4" xfId="10927" xr:uid="{00000000-0005-0000-0000-0000090A0000}"/>
    <cellStyle name="20% - Accent2 3 2 2 2 5" xfId="18882" xr:uid="{00000000-0005-0000-0000-00000A0A0000}"/>
    <cellStyle name="20% - Accent2 3 2 2 2_Exh G" xfId="2120" xr:uid="{00000000-0005-0000-0000-00000B0A0000}"/>
    <cellStyle name="20% - Accent2 3 2 2 3" xfId="3780" xr:uid="{00000000-0005-0000-0000-00000C0A0000}"/>
    <cellStyle name="20% - Accent2 3 2 2 3 2" xfId="7372" xr:uid="{00000000-0005-0000-0000-00000D0A0000}"/>
    <cellStyle name="20% - Accent2 3 2 2 3 2 2" xfId="15343" xr:uid="{00000000-0005-0000-0000-00000E0A0000}"/>
    <cellStyle name="20% - Accent2 3 2 2 3 2 3" xfId="23289" xr:uid="{00000000-0005-0000-0000-00000F0A0000}"/>
    <cellStyle name="20% - Accent2 3 2 2 3 3" xfId="11805" xr:uid="{00000000-0005-0000-0000-0000100A0000}"/>
    <cellStyle name="20% - Accent2 3 2 2 3 4" xfId="19760" xr:uid="{00000000-0005-0000-0000-0000110A0000}"/>
    <cellStyle name="20% - Accent2 3 2 2 4" xfId="5600" xr:uid="{00000000-0005-0000-0000-0000120A0000}"/>
    <cellStyle name="20% - Accent2 3 2 2 4 2" xfId="13584" xr:uid="{00000000-0005-0000-0000-0000130A0000}"/>
    <cellStyle name="20% - Accent2 3 2 2 4 3" xfId="21532" xr:uid="{00000000-0005-0000-0000-0000140A0000}"/>
    <cellStyle name="20% - Accent2 3 2 2 5" xfId="9153" xr:uid="{00000000-0005-0000-0000-0000150A0000}"/>
    <cellStyle name="20% - Accent2 3 2 2 5 2" xfId="17111" xr:uid="{00000000-0005-0000-0000-0000160A0000}"/>
    <cellStyle name="20% - Accent2 3 2 2 5 3" xfId="25055" xr:uid="{00000000-0005-0000-0000-0000170A0000}"/>
    <cellStyle name="20% - Accent2 3 2 2 6" xfId="10049" xr:uid="{00000000-0005-0000-0000-0000180A0000}"/>
    <cellStyle name="20% - Accent2 3 2 2 7" xfId="18004" xr:uid="{00000000-0005-0000-0000-0000190A0000}"/>
    <cellStyle name="20% - Accent2 3 2 2_Exh G" xfId="2119" xr:uid="{00000000-0005-0000-0000-00001A0A0000}"/>
    <cellStyle name="20% - Accent2 3 2 3" xfId="878" xr:uid="{00000000-0005-0000-0000-00001B0A0000}"/>
    <cellStyle name="20% - Accent2 3 2 3 2" xfId="1812" xr:uid="{00000000-0005-0000-0000-00001C0A0000}"/>
    <cellStyle name="20% - Accent2 3 2 3 2 2" xfId="5330" xr:uid="{00000000-0005-0000-0000-00001D0A0000}"/>
    <cellStyle name="20% - Accent2 3 2 3 2 2 2" xfId="8921" xr:uid="{00000000-0005-0000-0000-00001E0A0000}"/>
    <cellStyle name="20% - Accent2 3 2 3 2 2 2 2" xfId="16892" xr:uid="{00000000-0005-0000-0000-00001F0A0000}"/>
    <cellStyle name="20% - Accent2 3 2 3 2 2 2 3" xfId="24838" xr:uid="{00000000-0005-0000-0000-0000200A0000}"/>
    <cellStyle name="20% - Accent2 3 2 3 2 2 3" xfId="13354" xr:uid="{00000000-0005-0000-0000-0000210A0000}"/>
    <cellStyle name="20% - Accent2 3 2 3 2 2 4" xfId="21309" xr:uid="{00000000-0005-0000-0000-0000220A0000}"/>
    <cellStyle name="20% - Accent2 3 2 3 2 3" xfId="7162" xr:uid="{00000000-0005-0000-0000-0000230A0000}"/>
    <cellStyle name="20% - Accent2 3 2 3 2 3 2" xfId="15134" xr:uid="{00000000-0005-0000-0000-0000240A0000}"/>
    <cellStyle name="20% - Accent2 3 2 3 2 3 3" xfId="23081" xr:uid="{00000000-0005-0000-0000-0000250A0000}"/>
    <cellStyle name="20% - Accent2 3 2 3 2 4" xfId="11598" xr:uid="{00000000-0005-0000-0000-0000260A0000}"/>
    <cellStyle name="20% - Accent2 3 2 3 2 5" xfId="19553" xr:uid="{00000000-0005-0000-0000-0000270A0000}"/>
    <cellStyle name="20% - Accent2 3 2 3 2_Exh G" xfId="2122" xr:uid="{00000000-0005-0000-0000-0000280A0000}"/>
    <cellStyle name="20% - Accent2 3 2 3 3" xfId="4451" xr:uid="{00000000-0005-0000-0000-0000290A0000}"/>
    <cellStyle name="20% - Accent2 3 2 3 3 2" xfId="8043" xr:uid="{00000000-0005-0000-0000-00002A0A0000}"/>
    <cellStyle name="20% - Accent2 3 2 3 3 2 2" xfId="16014" xr:uid="{00000000-0005-0000-0000-00002B0A0000}"/>
    <cellStyle name="20% - Accent2 3 2 3 3 2 3" xfId="23960" xr:uid="{00000000-0005-0000-0000-00002C0A0000}"/>
    <cellStyle name="20% - Accent2 3 2 3 3 3" xfId="12476" xr:uid="{00000000-0005-0000-0000-00002D0A0000}"/>
    <cellStyle name="20% - Accent2 3 2 3 3 4" xfId="20431" xr:uid="{00000000-0005-0000-0000-00002E0A0000}"/>
    <cellStyle name="20% - Accent2 3 2 3 4" xfId="6281" xr:uid="{00000000-0005-0000-0000-00002F0A0000}"/>
    <cellStyle name="20% - Accent2 3 2 3 4 2" xfId="14256" xr:uid="{00000000-0005-0000-0000-0000300A0000}"/>
    <cellStyle name="20% - Accent2 3 2 3 4 3" xfId="22203" xr:uid="{00000000-0005-0000-0000-0000310A0000}"/>
    <cellStyle name="20% - Accent2 3 2 3 5" xfId="9824" xr:uid="{00000000-0005-0000-0000-0000320A0000}"/>
    <cellStyle name="20% - Accent2 3 2 3 5 2" xfId="17782" xr:uid="{00000000-0005-0000-0000-0000330A0000}"/>
    <cellStyle name="20% - Accent2 3 2 3 5 3" xfId="25726" xr:uid="{00000000-0005-0000-0000-0000340A0000}"/>
    <cellStyle name="20% - Accent2 3 2 3 6" xfId="10720" xr:uid="{00000000-0005-0000-0000-0000350A0000}"/>
    <cellStyle name="20% - Accent2 3 2 3 7" xfId="18675" xr:uid="{00000000-0005-0000-0000-0000360A0000}"/>
    <cellStyle name="20% - Accent2 3 2 3_Exh G" xfId="2121" xr:uid="{00000000-0005-0000-0000-0000370A0000}"/>
    <cellStyle name="20% - Accent2 3 2 4" xfId="1128" xr:uid="{00000000-0005-0000-0000-0000380A0000}"/>
    <cellStyle name="20% - Accent2 3 2 4 2" xfId="4658" xr:uid="{00000000-0005-0000-0000-0000390A0000}"/>
    <cellStyle name="20% - Accent2 3 2 4 2 2" xfId="8249" xr:uid="{00000000-0005-0000-0000-00003A0A0000}"/>
    <cellStyle name="20% - Accent2 3 2 4 2 2 2" xfId="16220" xr:uid="{00000000-0005-0000-0000-00003B0A0000}"/>
    <cellStyle name="20% - Accent2 3 2 4 2 2 3" xfId="24166" xr:uid="{00000000-0005-0000-0000-00003C0A0000}"/>
    <cellStyle name="20% - Accent2 3 2 4 2 3" xfId="12682" xr:uid="{00000000-0005-0000-0000-00003D0A0000}"/>
    <cellStyle name="20% - Accent2 3 2 4 2 4" xfId="20637" xr:uid="{00000000-0005-0000-0000-00003E0A0000}"/>
    <cellStyle name="20% - Accent2 3 2 4 3" xfId="6490" xr:uid="{00000000-0005-0000-0000-00003F0A0000}"/>
    <cellStyle name="20% - Accent2 3 2 4 3 2" xfId="14462" xr:uid="{00000000-0005-0000-0000-0000400A0000}"/>
    <cellStyle name="20% - Accent2 3 2 4 3 3" xfId="22409" xr:uid="{00000000-0005-0000-0000-0000410A0000}"/>
    <cellStyle name="20% - Accent2 3 2 4 4" xfId="10926" xr:uid="{00000000-0005-0000-0000-0000420A0000}"/>
    <cellStyle name="20% - Accent2 3 2 4 5" xfId="18881" xr:uid="{00000000-0005-0000-0000-0000430A0000}"/>
    <cellStyle name="20% - Accent2 3 2 4_Exh G" xfId="2123" xr:uid="{00000000-0005-0000-0000-0000440A0000}"/>
    <cellStyle name="20% - Accent2 3 2 5" xfId="3779" xr:uid="{00000000-0005-0000-0000-0000450A0000}"/>
    <cellStyle name="20% - Accent2 3 2 5 2" xfId="7371" xr:uid="{00000000-0005-0000-0000-0000460A0000}"/>
    <cellStyle name="20% - Accent2 3 2 5 2 2" xfId="15342" xr:uid="{00000000-0005-0000-0000-0000470A0000}"/>
    <cellStyle name="20% - Accent2 3 2 5 2 3" xfId="23288" xr:uid="{00000000-0005-0000-0000-0000480A0000}"/>
    <cellStyle name="20% - Accent2 3 2 5 3" xfId="11804" xr:uid="{00000000-0005-0000-0000-0000490A0000}"/>
    <cellStyle name="20% - Accent2 3 2 5 4" xfId="19759" xr:uid="{00000000-0005-0000-0000-00004A0A0000}"/>
    <cellStyle name="20% - Accent2 3 2 6" xfId="5599" xr:uid="{00000000-0005-0000-0000-00004B0A0000}"/>
    <cellStyle name="20% - Accent2 3 2 6 2" xfId="13583" xr:uid="{00000000-0005-0000-0000-00004C0A0000}"/>
    <cellStyle name="20% - Accent2 3 2 6 3" xfId="21531" xr:uid="{00000000-0005-0000-0000-00004D0A0000}"/>
    <cellStyle name="20% - Accent2 3 2 7" xfId="9152" xr:uid="{00000000-0005-0000-0000-00004E0A0000}"/>
    <cellStyle name="20% - Accent2 3 2 7 2" xfId="17110" xr:uid="{00000000-0005-0000-0000-00004F0A0000}"/>
    <cellStyle name="20% - Accent2 3 2 7 3" xfId="25054" xr:uid="{00000000-0005-0000-0000-0000500A0000}"/>
    <cellStyle name="20% - Accent2 3 2 8" xfId="10048" xr:uid="{00000000-0005-0000-0000-0000510A0000}"/>
    <cellStyle name="20% - Accent2 3 2 9" xfId="18003" xr:uid="{00000000-0005-0000-0000-0000520A0000}"/>
    <cellStyle name="20% - Accent2 3 2_Exh G" xfId="2118" xr:uid="{00000000-0005-0000-0000-0000530A0000}"/>
    <cellStyle name="20% - Accent2 3 3" xfId="102" xr:uid="{00000000-0005-0000-0000-0000540A0000}"/>
    <cellStyle name="20% - Accent2 3 3 2" xfId="1130" xr:uid="{00000000-0005-0000-0000-0000550A0000}"/>
    <cellStyle name="20% - Accent2 3 3 2 2" xfId="4660" xr:uid="{00000000-0005-0000-0000-0000560A0000}"/>
    <cellStyle name="20% - Accent2 3 3 2 2 2" xfId="8251" xr:uid="{00000000-0005-0000-0000-0000570A0000}"/>
    <cellStyle name="20% - Accent2 3 3 2 2 2 2" xfId="16222" xr:uid="{00000000-0005-0000-0000-0000580A0000}"/>
    <cellStyle name="20% - Accent2 3 3 2 2 2 3" xfId="24168" xr:uid="{00000000-0005-0000-0000-0000590A0000}"/>
    <cellStyle name="20% - Accent2 3 3 2 2 3" xfId="12684" xr:uid="{00000000-0005-0000-0000-00005A0A0000}"/>
    <cellStyle name="20% - Accent2 3 3 2 2 4" xfId="20639" xr:uid="{00000000-0005-0000-0000-00005B0A0000}"/>
    <cellStyle name="20% - Accent2 3 3 2 3" xfId="6492" xr:uid="{00000000-0005-0000-0000-00005C0A0000}"/>
    <cellStyle name="20% - Accent2 3 3 2 3 2" xfId="14464" xr:uid="{00000000-0005-0000-0000-00005D0A0000}"/>
    <cellStyle name="20% - Accent2 3 3 2 3 3" xfId="22411" xr:uid="{00000000-0005-0000-0000-00005E0A0000}"/>
    <cellStyle name="20% - Accent2 3 3 2 4" xfId="10928" xr:uid="{00000000-0005-0000-0000-00005F0A0000}"/>
    <cellStyle name="20% - Accent2 3 3 2 5" xfId="18883" xr:uid="{00000000-0005-0000-0000-0000600A0000}"/>
    <cellStyle name="20% - Accent2 3 3 2_Exh G" xfId="2125" xr:uid="{00000000-0005-0000-0000-0000610A0000}"/>
    <cellStyle name="20% - Accent2 3 3 3" xfId="3781" xr:uid="{00000000-0005-0000-0000-0000620A0000}"/>
    <cellStyle name="20% - Accent2 3 3 3 2" xfId="7373" xr:uid="{00000000-0005-0000-0000-0000630A0000}"/>
    <cellStyle name="20% - Accent2 3 3 3 2 2" xfId="15344" xr:uid="{00000000-0005-0000-0000-0000640A0000}"/>
    <cellStyle name="20% - Accent2 3 3 3 2 3" xfId="23290" xr:uid="{00000000-0005-0000-0000-0000650A0000}"/>
    <cellStyle name="20% - Accent2 3 3 3 3" xfId="11806" xr:uid="{00000000-0005-0000-0000-0000660A0000}"/>
    <cellStyle name="20% - Accent2 3 3 3 4" xfId="19761" xr:uid="{00000000-0005-0000-0000-0000670A0000}"/>
    <cellStyle name="20% - Accent2 3 3 4" xfId="5601" xr:uid="{00000000-0005-0000-0000-0000680A0000}"/>
    <cellStyle name="20% - Accent2 3 3 4 2" xfId="13585" xr:uid="{00000000-0005-0000-0000-0000690A0000}"/>
    <cellStyle name="20% - Accent2 3 3 4 3" xfId="21533" xr:uid="{00000000-0005-0000-0000-00006A0A0000}"/>
    <cellStyle name="20% - Accent2 3 3 5" xfId="9154" xr:uid="{00000000-0005-0000-0000-00006B0A0000}"/>
    <cellStyle name="20% - Accent2 3 3 5 2" xfId="17112" xr:uid="{00000000-0005-0000-0000-00006C0A0000}"/>
    <cellStyle name="20% - Accent2 3 3 5 3" xfId="25056" xr:uid="{00000000-0005-0000-0000-00006D0A0000}"/>
    <cellStyle name="20% - Accent2 3 3 6" xfId="10050" xr:uid="{00000000-0005-0000-0000-00006E0A0000}"/>
    <cellStyle name="20% - Accent2 3 3 7" xfId="18005" xr:uid="{00000000-0005-0000-0000-00006F0A0000}"/>
    <cellStyle name="20% - Accent2 3 3_Exh G" xfId="2124" xr:uid="{00000000-0005-0000-0000-0000700A0000}"/>
    <cellStyle name="20% - Accent2 3 4" xfId="877" xr:uid="{00000000-0005-0000-0000-0000710A0000}"/>
    <cellStyle name="20% - Accent2 3 4 2" xfId="1811" xr:uid="{00000000-0005-0000-0000-0000720A0000}"/>
    <cellStyle name="20% - Accent2 3 4 2 2" xfId="5329" xr:uid="{00000000-0005-0000-0000-0000730A0000}"/>
    <cellStyle name="20% - Accent2 3 4 2 2 2" xfId="8920" xr:uid="{00000000-0005-0000-0000-0000740A0000}"/>
    <cellStyle name="20% - Accent2 3 4 2 2 2 2" xfId="16891" xr:uid="{00000000-0005-0000-0000-0000750A0000}"/>
    <cellStyle name="20% - Accent2 3 4 2 2 2 3" xfId="24837" xr:uid="{00000000-0005-0000-0000-0000760A0000}"/>
    <cellStyle name="20% - Accent2 3 4 2 2 3" xfId="13353" xr:uid="{00000000-0005-0000-0000-0000770A0000}"/>
    <cellStyle name="20% - Accent2 3 4 2 2 4" xfId="21308" xr:uid="{00000000-0005-0000-0000-0000780A0000}"/>
    <cellStyle name="20% - Accent2 3 4 2 3" xfId="7161" xr:uid="{00000000-0005-0000-0000-0000790A0000}"/>
    <cellStyle name="20% - Accent2 3 4 2 3 2" xfId="15133" xr:uid="{00000000-0005-0000-0000-00007A0A0000}"/>
    <cellStyle name="20% - Accent2 3 4 2 3 3" xfId="23080" xr:uid="{00000000-0005-0000-0000-00007B0A0000}"/>
    <cellStyle name="20% - Accent2 3 4 2 4" xfId="11597" xr:uid="{00000000-0005-0000-0000-00007C0A0000}"/>
    <cellStyle name="20% - Accent2 3 4 2 5" xfId="19552" xr:uid="{00000000-0005-0000-0000-00007D0A0000}"/>
    <cellStyle name="20% - Accent2 3 4 2_Exh G" xfId="2127" xr:uid="{00000000-0005-0000-0000-00007E0A0000}"/>
    <cellStyle name="20% - Accent2 3 4 3" xfId="4450" xr:uid="{00000000-0005-0000-0000-00007F0A0000}"/>
    <cellStyle name="20% - Accent2 3 4 3 2" xfId="8042" xr:uid="{00000000-0005-0000-0000-0000800A0000}"/>
    <cellStyle name="20% - Accent2 3 4 3 2 2" xfId="16013" xr:uid="{00000000-0005-0000-0000-0000810A0000}"/>
    <cellStyle name="20% - Accent2 3 4 3 2 3" xfId="23959" xr:uid="{00000000-0005-0000-0000-0000820A0000}"/>
    <cellStyle name="20% - Accent2 3 4 3 3" xfId="12475" xr:uid="{00000000-0005-0000-0000-0000830A0000}"/>
    <cellStyle name="20% - Accent2 3 4 3 4" xfId="20430" xr:uid="{00000000-0005-0000-0000-0000840A0000}"/>
    <cellStyle name="20% - Accent2 3 4 4" xfId="6280" xr:uid="{00000000-0005-0000-0000-0000850A0000}"/>
    <cellStyle name="20% - Accent2 3 4 4 2" xfId="14255" xr:uid="{00000000-0005-0000-0000-0000860A0000}"/>
    <cellStyle name="20% - Accent2 3 4 4 3" xfId="22202" xr:uid="{00000000-0005-0000-0000-0000870A0000}"/>
    <cellStyle name="20% - Accent2 3 4 5" xfId="9823" xr:uid="{00000000-0005-0000-0000-0000880A0000}"/>
    <cellStyle name="20% - Accent2 3 4 5 2" xfId="17781" xr:uid="{00000000-0005-0000-0000-0000890A0000}"/>
    <cellStyle name="20% - Accent2 3 4 5 3" xfId="25725" xr:uid="{00000000-0005-0000-0000-00008A0A0000}"/>
    <cellStyle name="20% - Accent2 3 4 6" xfId="10719" xr:uid="{00000000-0005-0000-0000-00008B0A0000}"/>
    <cellStyle name="20% - Accent2 3 4 7" xfId="18674" xr:uid="{00000000-0005-0000-0000-00008C0A0000}"/>
    <cellStyle name="20% - Accent2 3 4_Exh G" xfId="2126" xr:uid="{00000000-0005-0000-0000-00008D0A0000}"/>
    <cellStyle name="20% - Accent2 3 5" xfId="1127" xr:uid="{00000000-0005-0000-0000-00008E0A0000}"/>
    <cellStyle name="20% - Accent2 3 5 2" xfId="4657" xr:uid="{00000000-0005-0000-0000-00008F0A0000}"/>
    <cellStyle name="20% - Accent2 3 5 2 2" xfId="8248" xr:uid="{00000000-0005-0000-0000-0000900A0000}"/>
    <cellStyle name="20% - Accent2 3 5 2 2 2" xfId="16219" xr:uid="{00000000-0005-0000-0000-0000910A0000}"/>
    <cellStyle name="20% - Accent2 3 5 2 2 3" xfId="24165" xr:uid="{00000000-0005-0000-0000-0000920A0000}"/>
    <cellStyle name="20% - Accent2 3 5 2 3" xfId="12681" xr:uid="{00000000-0005-0000-0000-0000930A0000}"/>
    <cellStyle name="20% - Accent2 3 5 2 4" xfId="20636" xr:uid="{00000000-0005-0000-0000-0000940A0000}"/>
    <cellStyle name="20% - Accent2 3 5 3" xfId="6489" xr:uid="{00000000-0005-0000-0000-0000950A0000}"/>
    <cellStyle name="20% - Accent2 3 5 3 2" xfId="14461" xr:uid="{00000000-0005-0000-0000-0000960A0000}"/>
    <cellStyle name="20% - Accent2 3 5 3 3" xfId="22408" xr:uid="{00000000-0005-0000-0000-0000970A0000}"/>
    <cellStyle name="20% - Accent2 3 5 4" xfId="10925" xr:uid="{00000000-0005-0000-0000-0000980A0000}"/>
    <cellStyle name="20% - Accent2 3 5 5" xfId="18880" xr:uid="{00000000-0005-0000-0000-0000990A0000}"/>
    <cellStyle name="20% - Accent2 3 5_Exh G" xfId="2128" xr:uid="{00000000-0005-0000-0000-00009A0A0000}"/>
    <cellStyle name="20% - Accent2 3 6" xfId="3778" xr:uid="{00000000-0005-0000-0000-00009B0A0000}"/>
    <cellStyle name="20% - Accent2 3 6 2" xfId="7370" xr:uid="{00000000-0005-0000-0000-00009C0A0000}"/>
    <cellStyle name="20% - Accent2 3 6 2 2" xfId="15341" xr:uid="{00000000-0005-0000-0000-00009D0A0000}"/>
    <cellStyle name="20% - Accent2 3 6 2 3" xfId="23287" xr:uid="{00000000-0005-0000-0000-00009E0A0000}"/>
    <cellStyle name="20% - Accent2 3 6 3" xfId="11803" xr:uid="{00000000-0005-0000-0000-00009F0A0000}"/>
    <cellStyle name="20% - Accent2 3 6 4" xfId="19758" xr:uid="{00000000-0005-0000-0000-0000A00A0000}"/>
    <cellStyle name="20% - Accent2 3 7" xfId="5598" xr:uid="{00000000-0005-0000-0000-0000A10A0000}"/>
    <cellStyle name="20% - Accent2 3 7 2" xfId="13582" xr:uid="{00000000-0005-0000-0000-0000A20A0000}"/>
    <cellStyle name="20% - Accent2 3 7 3" xfId="21530" xr:uid="{00000000-0005-0000-0000-0000A30A0000}"/>
    <cellStyle name="20% - Accent2 3 8" xfId="9151" xr:uid="{00000000-0005-0000-0000-0000A40A0000}"/>
    <cellStyle name="20% - Accent2 3 8 2" xfId="17109" xr:uid="{00000000-0005-0000-0000-0000A50A0000}"/>
    <cellStyle name="20% - Accent2 3 8 3" xfId="25053" xr:uid="{00000000-0005-0000-0000-0000A60A0000}"/>
    <cellStyle name="20% - Accent2 3 9" xfId="10047" xr:uid="{00000000-0005-0000-0000-0000A70A0000}"/>
    <cellStyle name="20% - Accent2 3_Exh G" xfId="2117" xr:uid="{00000000-0005-0000-0000-0000A80A0000}"/>
    <cellStyle name="20% - Accent2 4" xfId="103" xr:uid="{00000000-0005-0000-0000-0000A90A0000}"/>
    <cellStyle name="20% - Accent2 4 10" xfId="18006" xr:uid="{00000000-0005-0000-0000-0000AA0A0000}"/>
    <cellStyle name="20% - Accent2 4 2" xfId="104" xr:uid="{00000000-0005-0000-0000-0000AB0A0000}"/>
    <cellStyle name="20% - Accent2 4 2 2" xfId="105" xr:uid="{00000000-0005-0000-0000-0000AC0A0000}"/>
    <cellStyle name="20% - Accent2 4 2 2 2" xfId="1133" xr:uid="{00000000-0005-0000-0000-0000AD0A0000}"/>
    <cellStyle name="20% - Accent2 4 2 2 2 2" xfId="4663" xr:uid="{00000000-0005-0000-0000-0000AE0A0000}"/>
    <cellStyle name="20% - Accent2 4 2 2 2 2 2" xfId="8254" xr:uid="{00000000-0005-0000-0000-0000AF0A0000}"/>
    <cellStyle name="20% - Accent2 4 2 2 2 2 2 2" xfId="16225" xr:uid="{00000000-0005-0000-0000-0000B00A0000}"/>
    <cellStyle name="20% - Accent2 4 2 2 2 2 2 3" xfId="24171" xr:uid="{00000000-0005-0000-0000-0000B10A0000}"/>
    <cellStyle name="20% - Accent2 4 2 2 2 2 3" xfId="12687" xr:uid="{00000000-0005-0000-0000-0000B20A0000}"/>
    <cellStyle name="20% - Accent2 4 2 2 2 2 4" xfId="20642" xr:uid="{00000000-0005-0000-0000-0000B30A0000}"/>
    <cellStyle name="20% - Accent2 4 2 2 2 3" xfId="6495" xr:uid="{00000000-0005-0000-0000-0000B40A0000}"/>
    <cellStyle name="20% - Accent2 4 2 2 2 3 2" xfId="14467" xr:uid="{00000000-0005-0000-0000-0000B50A0000}"/>
    <cellStyle name="20% - Accent2 4 2 2 2 3 3" xfId="22414" xr:uid="{00000000-0005-0000-0000-0000B60A0000}"/>
    <cellStyle name="20% - Accent2 4 2 2 2 4" xfId="10931" xr:uid="{00000000-0005-0000-0000-0000B70A0000}"/>
    <cellStyle name="20% - Accent2 4 2 2 2 5" xfId="18886" xr:uid="{00000000-0005-0000-0000-0000B80A0000}"/>
    <cellStyle name="20% - Accent2 4 2 2 2_Exh G" xfId="2132" xr:uid="{00000000-0005-0000-0000-0000B90A0000}"/>
    <cellStyle name="20% - Accent2 4 2 2 3" xfId="3784" xr:uid="{00000000-0005-0000-0000-0000BA0A0000}"/>
    <cellStyle name="20% - Accent2 4 2 2 3 2" xfId="7376" xr:uid="{00000000-0005-0000-0000-0000BB0A0000}"/>
    <cellStyle name="20% - Accent2 4 2 2 3 2 2" xfId="15347" xr:uid="{00000000-0005-0000-0000-0000BC0A0000}"/>
    <cellStyle name="20% - Accent2 4 2 2 3 2 3" xfId="23293" xr:uid="{00000000-0005-0000-0000-0000BD0A0000}"/>
    <cellStyle name="20% - Accent2 4 2 2 3 3" xfId="11809" xr:uid="{00000000-0005-0000-0000-0000BE0A0000}"/>
    <cellStyle name="20% - Accent2 4 2 2 3 4" xfId="19764" xr:uid="{00000000-0005-0000-0000-0000BF0A0000}"/>
    <cellStyle name="20% - Accent2 4 2 2 4" xfId="5604" xr:uid="{00000000-0005-0000-0000-0000C00A0000}"/>
    <cellStyle name="20% - Accent2 4 2 2 4 2" xfId="13588" xr:uid="{00000000-0005-0000-0000-0000C10A0000}"/>
    <cellStyle name="20% - Accent2 4 2 2 4 3" xfId="21536" xr:uid="{00000000-0005-0000-0000-0000C20A0000}"/>
    <cellStyle name="20% - Accent2 4 2 2 5" xfId="9157" xr:uid="{00000000-0005-0000-0000-0000C30A0000}"/>
    <cellStyle name="20% - Accent2 4 2 2 5 2" xfId="17115" xr:uid="{00000000-0005-0000-0000-0000C40A0000}"/>
    <cellStyle name="20% - Accent2 4 2 2 5 3" xfId="25059" xr:uid="{00000000-0005-0000-0000-0000C50A0000}"/>
    <cellStyle name="20% - Accent2 4 2 2 6" xfId="10053" xr:uid="{00000000-0005-0000-0000-0000C60A0000}"/>
    <cellStyle name="20% - Accent2 4 2 2 7" xfId="18008" xr:uid="{00000000-0005-0000-0000-0000C70A0000}"/>
    <cellStyle name="20% - Accent2 4 2 2_Exh G" xfId="2131" xr:uid="{00000000-0005-0000-0000-0000C80A0000}"/>
    <cellStyle name="20% - Accent2 4 2 3" xfId="880" xr:uid="{00000000-0005-0000-0000-0000C90A0000}"/>
    <cellStyle name="20% - Accent2 4 2 3 2" xfId="1814" xr:uid="{00000000-0005-0000-0000-0000CA0A0000}"/>
    <cellStyle name="20% - Accent2 4 2 3 2 2" xfId="5332" xr:uid="{00000000-0005-0000-0000-0000CB0A0000}"/>
    <cellStyle name="20% - Accent2 4 2 3 2 2 2" xfId="8923" xr:uid="{00000000-0005-0000-0000-0000CC0A0000}"/>
    <cellStyle name="20% - Accent2 4 2 3 2 2 2 2" xfId="16894" xr:uid="{00000000-0005-0000-0000-0000CD0A0000}"/>
    <cellStyle name="20% - Accent2 4 2 3 2 2 2 3" xfId="24840" xr:uid="{00000000-0005-0000-0000-0000CE0A0000}"/>
    <cellStyle name="20% - Accent2 4 2 3 2 2 3" xfId="13356" xr:uid="{00000000-0005-0000-0000-0000CF0A0000}"/>
    <cellStyle name="20% - Accent2 4 2 3 2 2 4" xfId="21311" xr:uid="{00000000-0005-0000-0000-0000D00A0000}"/>
    <cellStyle name="20% - Accent2 4 2 3 2 3" xfId="7164" xr:uid="{00000000-0005-0000-0000-0000D10A0000}"/>
    <cellStyle name="20% - Accent2 4 2 3 2 3 2" xfId="15136" xr:uid="{00000000-0005-0000-0000-0000D20A0000}"/>
    <cellStyle name="20% - Accent2 4 2 3 2 3 3" xfId="23083" xr:uid="{00000000-0005-0000-0000-0000D30A0000}"/>
    <cellStyle name="20% - Accent2 4 2 3 2 4" xfId="11600" xr:uid="{00000000-0005-0000-0000-0000D40A0000}"/>
    <cellStyle name="20% - Accent2 4 2 3 2 5" xfId="19555" xr:uid="{00000000-0005-0000-0000-0000D50A0000}"/>
    <cellStyle name="20% - Accent2 4 2 3 2_Exh G" xfId="2134" xr:uid="{00000000-0005-0000-0000-0000D60A0000}"/>
    <cellStyle name="20% - Accent2 4 2 3 3" xfId="4453" xr:uid="{00000000-0005-0000-0000-0000D70A0000}"/>
    <cellStyle name="20% - Accent2 4 2 3 3 2" xfId="8045" xr:uid="{00000000-0005-0000-0000-0000D80A0000}"/>
    <cellStyle name="20% - Accent2 4 2 3 3 2 2" xfId="16016" xr:uid="{00000000-0005-0000-0000-0000D90A0000}"/>
    <cellStyle name="20% - Accent2 4 2 3 3 2 3" xfId="23962" xr:uid="{00000000-0005-0000-0000-0000DA0A0000}"/>
    <cellStyle name="20% - Accent2 4 2 3 3 3" xfId="12478" xr:uid="{00000000-0005-0000-0000-0000DB0A0000}"/>
    <cellStyle name="20% - Accent2 4 2 3 3 4" xfId="20433" xr:uid="{00000000-0005-0000-0000-0000DC0A0000}"/>
    <cellStyle name="20% - Accent2 4 2 3 4" xfId="6283" xr:uid="{00000000-0005-0000-0000-0000DD0A0000}"/>
    <cellStyle name="20% - Accent2 4 2 3 4 2" xfId="14258" xr:uid="{00000000-0005-0000-0000-0000DE0A0000}"/>
    <cellStyle name="20% - Accent2 4 2 3 4 3" xfId="22205" xr:uid="{00000000-0005-0000-0000-0000DF0A0000}"/>
    <cellStyle name="20% - Accent2 4 2 3 5" xfId="9826" xr:uid="{00000000-0005-0000-0000-0000E00A0000}"/>
    <cellStyle name="20% - Accent2 4 2 3 5 2" xfId="17784" xr:uid="{00000000-0005-0000-0000-0000E10A0000}"/>
    <cellStyle name="20% - Accent2 4 2 3 5 3" xfId="25728" xr:uid="{00000000-0005-0000-0000-0000E20A0000}"/>
    <cellStyle name="20% - Accent2 4 2 3 6" xfId="10722" xr:uid="{00000000-0005-0000-0000-0000E30A0000}"/>
    <cellStyle name="20% - Accent2 4 2 3 7" xfId="18677" xr:uid="{00000000-0005-0000-0000-0000E40A0000}"/>
    <cellStyle name="20% - Accent2 4 2 3_Exh G" xfId="2133" xr:uid="{00000000-0005-0000-0000-0000E50A0000}"/>
    <cellStyle name="20% - Accent2 4 2 4" xfId="1132" xr:uid="{00000000-0005-0000-0000-0000E60A0000}"/>
    <cellStyle name="20% - Accent2 4 2 4 2" xfId="4662" xr:uid="{00000000-0005-0000-0000-0000E70A0000}"/>
    <cellStyle name="20% - Accent2 4 2 4 2 2" xfId="8253" xr:uid="{00000000-0005-0000-0000-0000E80A0000}"/>
    <cellStyle name="20% - Accent2 4 2 4 2 2 2" xfId="16224" xr:uid="{00000000-0005-0000-0000-0000E90A0000}"/>
    <cellStyle name="20% - Accent2 4 2 4 2 2 3" xfId="24170" xr:uid="{00000000-0005-0000-0000-0000EA0A0000}"/>
    <cellStyle name="20% - Accent2 4 2 4 2 3" xfId="12686" xr:uid="{00000000-0005-0000-0000-0000EB0A0000}"/>
    <cellStyle name="20% - Accent2 4 2 4 2 4" xfId="20641" xr:uid="{00000000-0005-0000-0000-0000EC0A0000}"/>
    <cellStyle name="20% - Accent2 4 2 4 3" xfId="6494" xr:uid="{00000000-0005-0000-0000-0000ED0A0000}"/>
    <cellStyle name="20% - Accent2 4 2 4 3 2" xfId="14466" xr:uid="{00000000-0005-0000-0000-0000EE0A0000}"/>
    <cellStyle name="20% - Accent2 4 2 4 3 3" xfId="22413" xr:uid="{00000000-0005-0000-0000-0000EF0A0000}"/>
    <cellStyle name="20% - Accent2 4 2 4 4" xfId="10930" xr:uid="{00000000-0005-0000-0000-0000F00A0000}"/>
    <cellStyle name="20% - Accent2 4 2 4 5" xfId="18885" xr:uid="{00000000-0005-0000-0000-0000F10A0000}"/>
    <cellStyle name="20% - Accent2 4 2 4_Exh G" xfId="2135" xr:uid="{00000000-0005-0000-0000-0000F20A0000}"/>
    <cellStyle name="20% - Accent2 4 2 5" xfId="3783" xr:uid="{00000000-0005-0000-0000-0000F30A0000}"/>
    <cellStyle name="20% - Accent2 4 2 5 2" xfId="7375" xr:uid="{00000000-0005-0000-0000-0000F40A0000}"/>
    <cellStyle name="20% - Accent2 4 2 5 2 2" xfId="15346" xr:uid="{00000000-0005-0000-0000-0000F50A0000}"/>
    <cellStyle name="20% - Accent2 4 2 5 2 3" xfId="23292" xr:uid="{00000000-0005-0000-0000-0000F60A0000}"/>
    <cellStyle name="20% - Accent2 4 2 5 3" xfId="11808" xr:uid="{00000000-0005-0000-0000-0000F70A0000}"/>
    <cellStyle name="20% - Accent2 4 2 5 4" xfId="19763" xr:uid="{00000000-0005-0000-0000-0000F80A0000}"/>
    <cellStyle name="20% - Accent2 4 2 6" xfId="5603" xr:uid="{00000000-0005-0000-0000-0000F90A0000}"/>
    <cellStyle name="20% - Accent2 4 2 6 2" xfId="13587" xr:uid="{00000000-0005-0000-0000-0000FA0A0000}"/>
    <cellStyle name="20% - Accent2 4 2 6 3" xfId="21535" xr:uid="{00000000-0005-0000-0000-0000FB0A0000}"/>
    <cellStyle name="20% - Accent2 4 2 7" xfId="9156" xr:uid="{00000000-0005-0000-0000-0000FC0A0000}"/>
    <cellStyle name="20% - Accent2 4 2 7 2" xfId="17114" xr:uid="{00000000-0005-0000-0000-0000FD0A0000}"/>
    <cellStyle name="20% - Accent2 4 2 7 3" xfId="25058" xr:uid="{00000000-0005-0000-0000-0000FE0A0000}"/>
    <cellStyle name="20% - Accent2 4 2 8" xfId="10052" xr:uid="{00000000-0005-0000-0000-0000FF0A0000}"/>
    <cellStyle name="20% - Accent2 4 2 9" xfId="18007" xr:uid="{00000000-0005-0000-0000-0000000B0000}"/>
    <cellStyle name="20% - Accent2 4 2_Exh G" xfId="2130" xr:uid="{00000000-0005-0000-0000-0000010B0000}"/>
    <cellStyle name="20% - Accent2 4 3" xfId="106" xr:uid="{00000000-0005-0000-0000-0000020B0000}"/>
    <cellStyle name="20% - Accent2 4 3 2" xfId="1134" xr:uid="{00000000-0005-0000-0000-0000030B0000}"/>
    <cellStyle name="20% - Accent2 4 3 2 2" xfId="4664" xr:uid="{00000000-0005-0000-0000-0000040B0000}"/>
    <cellStyle name="20% - Accent2 4 3 2 2 2" xfId="8255" xr:uid="{00000000-0005-0000-0000-0000050B0000}"/>
    <cellStyle name="20% - Accent2 4 3 2 2 2 2" xfId="16226" xr:uid="{00000000-0005-0000-0000-0000060B0000}"/>
    <cellStyle name="20% - Accent2 4 3 2 2 2 3" xfId="24172" xr:uid="{00000000-0005-0000-0000-0000070B0000}"/>
    <cellStyle name="20% - Accent2 4 3 2 2 3" xfId="12688" xr:uid="{00000000-0005-0000-0000-0000080B0000}"/>
    <cellStyle name="20% - Accent2 4 3 2 2 4" xfId="20643" xr:uid="{00000000-0005-0000-0000-0000090B0000}"/>
    <cellStyle name="20% - Accent2 4 3 2 3" xfId="6496" xr:uid="{00000000-0005-0000-0000-00000A0B0000}"/>
    <cellStyle name="20% - Accent2 4 3 2 3 2" xfId="14468" xr:uid="{00000000-0005-0000-0000-00000B0B0000}"/>
    <cellStyle name="20% - Accent2 4 3 2 3 3" xfId="22415" xr:uid="{00000000-0005-0000-0000-00000C0B0000}"/>
    <cellStyle name="20% - Accent2 4 3 2 4" xfId="10932" xr:uid="{00000000-0005-0000-0000-00000D0B0000}"/>
    <cellStyle name="20% - Accent2 4 3 2 5" xfId="18887" xr:uid="{00000000-0005-0000-0000-00000E0B0000}"/>
    <cellStyle name="20% - Accent2 4 3 2_Exh G" xfId="2137" xr:uid="{00000000-0005-0000-0000-00000F0B0000}"/>
    <cellStyle name="20% - Accent2 4 3 3" xfId="3785" xr:uid="{00000000-0005-0000-0000-0000100B0000}"/>
    <cellStyle name="20% - Accent2 4 3 3 2" xfId="7377" xr:uid="{00000000-0005-0000-0000-0000110B0000}"/>
    <cellStyle name="20% - Accent2 4 3 3 2 2" xfId="15348" xr:uid="{00000000-0005-0000-0000-0000120B0000}"/>
    <cellStyle name="20% - Accent2 4 3 3 2 3" xfId="23294" xr:uid="{00000000-0005-0000-0000-0000130B0000}"/>
    <cellStyle name="20% - Accent2 4 3 3 3" xfId="11810" xr:uid="{00000000-0005-0000-0000-0000140B0000}"/>
    <cellStyle name="20% - Accent2 4 3 3 4" xfId="19765" xr:uid="{00000000-0005-0000-0000-0000150B0000}"/>
    <cellStyle name="20% - Accent2 4 3 4" xfId="5605" xr:uid="{00000000-0005-0000-0000-0000160B0000}"/>
    <cellStyle name="20% - Accent2 4 3 4 2" xfId="13589" xr:uid="{00000000-0005-0000-0000-0000170B0000}"/>
    <cellStyle name="20% - Accent2 4 3 4 3" xfId="21537" xr:uid="{00000000-0005-0000-0000-0000180B0000}"/>
    <cellStyle name="20% - Accent2 4 3 5" xfId="9158" xr:uid="{00000000-0005-0000-0000-0000190B0000}"/>
    <cellStyle name="20% - Accent2 4 3 5 2" xfId="17116" xr:uid="{00000000-0005-0000-0000-00001A0B0000}"/>
    <cellStyle name="20% - Accent2 4 3 5 3" xfId="25060" xr:uid="{00000000-0005-0000-0000-00001B0B0000}"/>
    <cellStyle name="20% - Accent2 4 3 6" xfId="10054" xr:uid="{00000000-0005-0000-0000-00001C0B0000}"/>
    <cellStyle name="20% - Accent2 4 3 7" xfId="18009" xr:uid="{00000000-0005-0000-0000-00001D0B0000}"/>
    <cellStyle name="20% - Accent2 4 3_Exh G" xfId="2136" xr:uid="{00000000-0005-0000-0000-00001E0B0000}"/>
    <cellStyle name="20% - Accent2 4 4" xfId="879" xr:uid="{00000000-0005-0000-0000-00001F0B0000}"/>
    <cellStyle name="20% - Accent2 4 4 2" xfId="1813" xr:uid="{00000000-0005-0000-0000-0000200B0000}"/>
    <cellStyle name="20% - Accent2 4 4 2 2" xfId="5331" xr:uid="{00000000-0005-0000-0000-0000210B0000}"/>
    <cellStyle name="20% - Accent2 4 4 2 2 2" xfId="8922" xr:uid="{00000000-0005-0000-0000-0000220B0000}"/>
    <cellStyle name="20% - Accent2 4 4 2 2 2 2" xfId="16893" xr:uid="{00000000-0005-0000-0000-0000230B0000}"/>
    <cellStyle name="20% - Accent2 4 4 2 2 2 3" xfId="24839" xr:uid="{00000000-0005-0000-0000-0000240B0000}"/>
    <cellStyle name="20% - Accent2 4 4 2 2 3" xfId="13355" xr:uid="{00000000-0005-0000-0000-0000250B0000}"/>
    <cellStyle name="20% - Accent2 4 4 2 2 4" xfId="21310" xr:uid="{00000000-0005-0000-0000-0000260B0000}"/>
    <cellStyle name="20% - Accent2 4 4 2 3" xfId="7163" xr:uid="{00000000-0005-0000-0000-0000270B0000}"/>
    <cellStyle name="20% - Accent2 4 4 2 3 2" xfId="15135" xr:uid="{00000000-0005-0000-0000-0000280B0000}"/>
    <cellStyle name="20% - Accent2 4 4 2 3 3" xfId="23082" xr:uid="{00000000-0005-0000-0000-0000290B0000}"/>
    <cellStyle name="20% - Accent2 4 4 2 4" xfId="11599" xr:uid="{00000000-0005-0000-0000-00002A0B0000}"/>
    <cellStyle name="20% - Accent2 4 4 2 5" xfId="19554" xr:uid="{00000000-0005-0000-0000-00002B0B0000}"/>
    <cellStyle name="20% - Accent2 4 4 2_Exh G" xfId="2139" xr:uid="{00000000-0005-0000-0000-00002C0B0000}"/>
    <cellStyle name="20% - Accent2 4 4 3" xfId="4452" xr:uid="{00000000-0005-0000-0000-00002D0B0000}"/>
    <cellStyle name="20% - Accent2 4 4 3 2" xfId="8044" xr:uid="{00000000-0005-0000-0000-00002E0B0000}"/>
    <cellStyle name="20% - Accent2 4 4 3 2 2" xfId="16015" xr:uid="{00000000-0005-0000-0000-00002F0B0000}"/>
    <cellStyle name="20% - Accent2 4 4 3 2 3" xfId="23961" xr:uid="{00000000-0005-0000-0000-0000300B0000}"/>
    <cellStyle name="20% - Accent2 4 4 3 3" xfId="12477" xr:uid="{00000000-0005-0000-0000-0000310B0000}"/>
    <cellStyle name="20% - Accent2 4 4 3 4" xfId="20432" xr:uid="{00000000-0005-0000-0000-0000320B0000}"/>
    <cellStyle name="20% - Accent2 4 4 4" xfId="6282" xr:uid="{00000000-0005-0000-0000-0000330B0000}"/>
    <cellStyle name="20% - Accent2 4 4 4 2" xfId="14257" xr:uid="{00000000-0005-0000-0000-0000340B0000}"/>
    <cellStyle name="20% - Accent2 4 4 4 3" xfId="22204" xr:uid="{00000000-0005-0000-0000-0000350B0000}"/>
    <cellStyle name="20% - Accent2 4 4 5" xfId="9825" xr:uid="{00000000-0005-0000-0000-0000360B0000}"/>
    <cellStyle name="20% - Accent2 4 4 5 2" xfId="17783" xr:uid="{00000000-0005-0000-0000-0000370B0000}"/>
    <cellStyle name="20% - Accent2 4 4 5 3" xfId="25727" xr:uid="{00000000-0005-0000-0000-0000380B0000}"/>
    <cellStyle name="20% - Accent2 4 4 6" xfId="10721" xr:uid="{00000000-0005-0000-0000-0000390B0000}"/>
    <cellStyle name="20% - Accent2 4 4 7" xfId="18676" xr:uid="{00000000-0005-0000-0000-00003A0B0000}"/>
    <cellStyle name="20% - Accent2 4 4_Exh G" xfId="2138" xr:uid="{00000000-0005-0000-0000-00003B0B0000}"/>
    <cellStyle name="20% - Accent2 4 5" xfId="1131" xr:uid="{00000000-0005-0000-0000-00003C0B0000}"/>
    <cellStyle name="20% - Accent2 4 5 2" xfId="4661" xr:uid="{00000000-0005-0000-0000-00003D0B0000}"/>
    <cellStyle name="20% - Accent2 4 5 2 2" xfId="8252" xr:uid="{00000000-0005-0000-0000-00003E0B0000}"/>
    <cellStyle name="20% - Accent2 4 5 2 2 2" xfId="16223" xr:uid="{00000000-0005-0000-0000-00003F0B0000}"/>
    <cellStyle name="20% - Accent2 4 5 2 2 3" xfId="24169" xr:uid="{00000000-0005-0000-0000-0000400B0000}"/>
    <cellStyle name="20% - Accent2 4 5 2 3" xfId="12685" xr:uid="{00000000-0005-0000-0000-0000410B0000}"/>
    <cellStyle name="20% - Accent2 4 5 2 4" xfId="20640" xr:uid="{00000000-0005-0000-0000-0000420B0000}"/>
    <cellStyle name="20% - Accent2 4 5 3" xfId="6493" xr:uid="{00000000-0005-0000-0000-0000430B0000}"/>
    <cellStyle name="20% - Accent2 4 5 3 2" xfId="14465" xr:uid="{00000000-0005-0000-0000-0000440B0000}"/>
    <cellStyle name="20% - Accent2 4 5 3 3" xfId="22412" xr:uid="{00000000-0005-0000-0000-0000450B0000}"/>
    <cellStyle name="20% - Accent2 4 5 4" xfId="10929" xr:uid="{00000000-0005-0000-0000-0000460B0000}"/>
    <cellStyle name="20% - Accent2 4 5 5" xfId="18884" xr:uid="{00000000-0005-0000-0000-0000470B0000}"/>
    <cellStyle name="20% - Accent2 4 5_Exh G" xfId="2140" xr:uid="{00000000-0005-0000-0000-0000480B0000}"/>
    <cellStyle name="20% - Accent2 4 6" xfId="3782" xr:uid="{00000000-0005-0000-0000-0000490B0000}"/>
    <cellStyle name="20% - Accent2 4 6 2" xfId="7374" xr:uid="{00000000-0005-0000-0000-00004A0B0000}"/>
    <cellStyle name="20% - Accent2 4 6 2 2" xfId="15345" xr:uid="{00000000-0005-0000-0000-00004B0B0000}"/>
    <cellStyle name="20% - Accent2 4 6 2 3" xfId="23291" xr:uid="{00000000-0005-0000-0000-00004C0B0000}"/>
    <cellStyle name="20% - Accent2 4 6 3" xfId="11807" xr:uid="{00000000-0005-0000-0000-00004D0B0000}"/>
    <cellStyle name="20% - Accent2 4 6 4" xfId="19762" xr:uid="{00000000-0005-0000-0000-00004E0B0000}"/>
    <cellStyle name="20% - Accent2 4 7" xfId="5602" xr:uid="{00000000-0005-0000-0000-00004F0B0000}"/>
    <cellStyle name="20% - Accent2 4 7 2" xfId="13586" xr:uid="{00000000-0005-0000-0000-0000500B0000}"/>
    <cellStyle name="20% - Accent2 4 7 3" xfId="21534" xr:uid="{00000000-0005-0000-0000-0000510B0000}"/>
    <cellStyle name="20% - Accent2 4 8" xfId="9155" xr:uid="{00000000-0005-0000-0000-0000520B0000}"/>
    <cellStyle name="20% - Accent2 4 8 2" xfId="17113" xr:uid="{00000000-0005-0000-0000-0000530B0000}"/>
    <cellStyle name="20% - Accent2 4 8 3" xfId="25057" xr:uid="{00000000-0005-0000-0000-0000540B0000}"/>
    <cellStyle name="20% - Accent2 4 9" xfId="10051" xr:uid="{00000000-0005-0000-0000-0000550B0000}"/>
    <cellStyle name="20% - Accent2 4_Exh G" xfId="2129" xr:uid="{00000000-0005-0000-0000-0000560B0000}"/>
    <cellStyle name="20% - Accent2 5" xfId="107" xr:uid="{00000000-0005-0000-0000-0000570B0000}"/>
    <cellStyle name="20% - Accent2 5 10" xfId="18010" xr:uid="{00000000-0005-0000-0000-0000580B0000}"/>
    <cellStyle name="20% - Accent2 5 2" xfId="108" xr:uid="{00000000-0005-0000-0000-0000590B0000}"/>
    <cellStyle name="20% - Accent2 5 2 2" xfId="109" xr:uid="{00000000-0005-0000-0000-00005A0B0000}"/>
    <cellStyle name="20% - Accent2 5 2 2 2" xfId="1137" xr:uid="{00000000-0005-0000-0000-00005B0B0000}"/>
    <cellStyle name="20% - Accent2 5 2 2 2 2" xfId="4667" xr:uid="{00000000-0005-0000-0000-00005C0B0000}"/>
    <cellStyle name="20% - Accent2 5 2 2 2 2 2" xfId="8258" xr:uid="{00000000-0005-0000-0000-00005D0B0000}"/>
    <cellStyle name="20% - Accent2 5 2 2 2 2 2 2" xfId="16229" xr:uid="{00000000-0005-0000-0000-00005E0B0000}"/>
    <cellStyle name="20% - Accent2 5 2 2 2 2 2 3" xfId="24175" xr:uid="{00000000-0005-0000-0000-00005F0B0000}"/>
    <cellStyle name="20% - Accent2 5 2 2 2 2 3" xfId="12691" xr:uid="{00000000-0005-0000-0000-0000600B0000}"/>
    <cellStyle name="20% - Accent2 5 2 2 2 2 4" xfId="20646" xr:uid="{00000000-0005-0000-0000-0000610B0000}"/>
    <cellStyle name="20% - Accent2 5 2 2 2 3" xfId="6499" xr:uid="{00000000-0005-0000-0000-0000620B0000}"/>
    <cellStyle name="20% - Accent2 5 2 2 2 3 2" xfId="14471" xr:uid="{00000000-0005-0000-0000-0000630B0000}"/>
    <cellStyle name="20% - Accent2 5 2 2 2 3 3" xfId="22418" xr:uid="{00000000-0005-0000-0000-0000640B0000}"/>
    <cellStyle name="20% - Accent2 5 2 2 2 4" xfId="10935" xr:uid="{00000000-0005-0000-0000-0000650B0000}"/>
    <cellStyle name="20% - Accent2 5 2 2 2 5" xfId="18890" xr:uid="{00000000-0005-0000-0000-0000660B0000}"/>
    <cellStyle name="20% - Accent2 5 2 2 2_Exh G" xfId="2144" xr:uid="{00000000-0005-0000-0000-0000670B0000}"/>
    <cellStyle name="20% - Accent2 5 2 2 3" xfId="3788" xr:uid="{00000000-0005-0000-0000-0000680B0000}"/>
    <cellStyle name="20% - Accent2 5 2 2 3 2" xfId="7380" xr:uid="{00000000-0005-0000-0000-0000690B0000}"/>
    <cellStyle name="20% - Accent2 5 2 2 3 2 2" xfId="15351" xr:uid="{00000000-0005-0000-0000-00006A0B0000}"/>
    <cellStyle name="20% - Accent2 5 2 2 3 2 3" xfId="23297" xr:uid="{00000000-0005-0000-0000-00006B0B0000}"/>
    <cellStyle name="20% - Accent2 5 2 2 3 3" xfId="11813" xr:uid="{00000000-0005-0000-0000-00006C0B0000}"/>
    <cellStyle name="20% - Accent2 5 2 2 3 4" xfId="19768" xr:uid="{00000000-0005-0000-0000-00006D0B0000}"/>
    <cellStyle name="20% - Accent2 5 2 2 4" xfId="5608" xr:uid="{00000000-0005-0000-0000-00006E0B0000}"/>
    <cellStyle name="20% - Accent2 5 2 2 4 2" xfId="13592" xr:uid="{00000000-0005-0000-0000-00006F0B0000}"/>
    <cellStyle name="20% - Accent2 5 2 2 4 3" xfId="21540" xr:uid="{00000000-0005-0000-0000-0000700B0000}"/>
    <cellStyle name="20% - Accent2 5 2 2 5" xfId="9161" xr:uid="{00000000-0005-0000-0000-0000710B0000}"/>
    <cellStyle name="20% - Accent2 5 2 2 5 2" xfId="17119" xr:uid="{00000000-0005-0000-0000-0000720B0000}"/>
    <cellStyle name="20% - Accent2 5 2 2 5 3" xfId="25063" xr:uid="{00000000-0005-0000-0000-0000730B0000}"/>
    <cellStyle name="20% - Accent2 5 2 2 6" xfId="10057" xr:uid="{00000000-0005-0000-0000-0000740B0000}"/>
    <cellStyle name="20% - Accent2 5 2 2 7" xfId="18012" xr:uid="{00000000-0005-0000-0000-0000750B0000}"/>
    <cellStyle name="20% - Accent2 5 2 2_Exh G" xfId="2143" xr:uid="{00000000-0005-0000-0000-0000760B0000}"/>
    <cellStyle name="20% - Accent2 5 2 3" xfId="1136" xr:uid="{00000000-0005-0000-0000-0000770B0000}"/>
    <cellStyle name="20% - Accent2 5 2 3 2" xfId="4666" xr:uid="{00000000-0005-0000-0000-0000780B0000}"/>
    <cellStyle name="20% - Accent2 5 2 3 2 2" xfId="8257" xr:uid="{00000000-0005-0000-0000-0000790B0000}"/>
    <cellStyle name="20% - Accent2 5 2 3 2 2 2" xfId="16228" xr:uid="{00000000-0005-0000-0000-00007A0B0000}"/>
    <cellStyle name="20% - Accent2 5 2 3 2 2 3" xfId="24174" xr:uid="{00000000-0005-0000-0000-00007B0B0000}"/>
    <cellStyle name="20% - Accent2 5 2 3 2 3" xfId="12690" xr:uid="{00000000-0005-0000-0000-00007C0B0000}"/>
    <cellStyle name="20% - Accent2 5 2 3 2 4" xfId="20645" xr:uid="{00000000-0005-0000-0000-00007D0B0000}"/>
    <cellStyle name="20% - Accent2 5 2 3 3" xfId="6498" xr:uid="{00000000-0005-0000-0000-00007E0B0000}"/>
    <cellStyle name="20% - Accent2 5 2 3 3 2" xfId="14470" xr:uid="{00000000-0005-0000-0000-00007F0B0000}"/>
    <cellStyle name="20% - Accent2 5 2 3 3 3" xfId="22417" xr:uid="{00000000-0005-0000-0000-0000800B0000}"/>
    <cellStyle name="20% - Accent2 5 2 3 4" xfId="10934" xr:uid="{00000000-0005-0000-0000-0000810B0000}"/>
    <cellStyle name="20% - Accent2 5 2 3 5" xfId="18889" xr:uid="{00000000-0005-0000-0000-0000820B0000}"/>
    <cellStyle name="20% - Accent2 5 2 3_Exh G" xfId="2145" xr:uid="{00000000-0005-0000-0000-0000830B0000}"/>
    <cellStyle name="20% - Accent2 5 2 4" xfId="3787" xr:uid="{00000000-0005-0000-0000-0000840B0000}"/>
    <cellStyle name="20% - Accent2 5 2 4 2" xfId="7379" xr:uid="{00000000-0005-0000-0000-0000850B0000}"/>
    <cellStyle name="20% - Accent2 5 2 4 2 2" xfId="15350" xr:uid="{00000000-0005-0000-0000-0000860B0000}"/>
    <cellStyle name="20% - Accent2 5 2 4 2 3" xfId="23296" xr:uid="{00000000-0005-0000-0000-0000870B0000}"/>
    <cellStyle name="20% - Accent2 5 2 4 3" xfId="11812" xr:uid="{00000000-0005-0000-0000-0000880B0000}"/>
    <cellStyle name="20% - Accent2 5 2 4 4" xfId="19767" xr:uid="{00000000-0005-0000-0000-0000890B0000}"/>
    <cellStyle name="20% - Accent2 5 2 5" xfId="5607" xr:uid="{00000000-0005-0000-0000-00008A0B0000}"/>
    <cellStyle name="20% - Accent2 5 2 5 2" xfId="13591" xr:uid="{00000000-0005-0000-0000-00008B0B0000}"/>
    <cellStyle name="20% - Accent2 5 2 5 3" xfId="21539" xr:uid="{00000000-0005-0000-0000-00008C0B0000}"/>
    <cellStyle name="20% - Accent2 5 2 6" xfId="9160" xr:uid="{00000000-0005-0000-0000-00008D0B0000}"/>
    <cellStyle name="20% - Accent2 5 2 6 2" xfId="17118" xr:uid="{00000000-0005-0000-0000-00008E0B0000}"/>
    <cellStyle name="20% - Accent2 5 2 6 3" xfId="25062" xr:uid="{00000000-0005-0000-0000-00008F0B0000}"/>
    <cellStyle name="20% - Accent2 5 2 7" xfId="10056" xr:uid="{00000000-0005-0000-0000-0000900B0000}"/>
    <cellStyle name="20% - Accent2 5 2 8" xfId="18011" xr:uid="{00000000-0005-0000-0000-0000910B0000}"/>
    <cellStyle name="20% - Accent2 5 2_Exh G" xfId="2142" xr:uid="{00000000-0005-0000-0000-0000920B0000}"/>
    <cellStyle name="20% - Accent2 5 3" xfId="110" xr:uid="{00000000-0005-0000-0000-0000930B0000}"/>
    <cellStyle name="20% - Accent2 5 3 2" xfId="1138" xr:uid="{00000000-0005-0000-0000-0000940B0000}"/>
    <cellStyle name="20% - Accent2 5 3 2 2" xfId="4668" xr:uid="{00000000-0005-0000-0000-0000950B0000}"/>
    <cellStyle name="20% - Accent2 5 3 2 2 2" xfId="8259" xr:uid="{00000000-0005-0000-0000-0000960B0000}"/>
    <cellStyle name="20% - Accent2 5 3 2 2 2 2" xfId="16230" xr:uid="{00000000-0005-0000-0000-0000970B0000}"/>
    <cellStyle name="20% - Accent2 5 3 2 2 2 3" xfId="24176" xr:uid="{00000000-0005-0000-0000-0000980B0000}"/>
    <cellStyle name="20% - Accent2 5 3 2 2 3" xfId="12692" xr:uid="{00000000-0005-0000-0000-0000990B0000}"/>
    <cellStyle name="20% - Accent2 5 3 2 2 4" xfId="20647" xr:uid="{00000000-0005-0000-0000-00009A0B0000}"/>
    <cellStyle name="20% - Accent2 5 3 2 3" xfId="6500" xr:uid="{00000000-0005-0000-0000-00009B0B0000}"/>
    <cellStyle name="20% - Accent2 5 3 2 3 2" xfId="14472" xr:uid="{00000000-0005-0000-0000-00009C0B0000}"/>
    <cellStyle name="20% - Accent2 5 3 2 3 3" xfId="22419" xr:uid="{00000000-0005-0000-0000-00009D0B0000}"/>
    <cellStyle name="20% - Accent2 5 3 2 4" xfId="10936" xr:uid="{00000000-0005-0000-0000-00009E0B0000}"/>
    <cellStyle name="20% - Accent2 5 3 2 5" xfId="18891" xr:uid="{00000000-0005-0000-0000-00009F0B0000}"/>
    <cellStyle name="20% - Accent2 5 3 2_Exh G" xfId="2147" xr:uid="{00000000-0005-0000-0000-0000A00B0000}"/>
    <cellStyle name="20% - Accent2 5 3 3" xfId="3789" xr:uid="{00000000-0005-0000-0000-0000A10B0000}"/>
    <cellStyle name="20% - Accent2 5 3 3 2" xfId="7381" xr:uid="{00000000-0005-0000-0000-0000A20B0000}"/>
    <cellStyle name="20% - Accent2 5 3 3 2 2" xfId="15352" xr:uid="{00000000-0005-0000-0000-0000A30B0000}"/>
    <cellStyle name="20% - Accent2 5 3 3 2 3" xfId="23298" xr:uid="{00000000-0005-0000-0000-0000A40B0000}"/>
    <cellStyle name="20% - Accent2 5 3 3 3" xfId="11814" xr:uid="{00000000-0005-0000-0000-0000A50B0000}"/>
    <cellStyle name="20% - Accent2 5 3 3 4" xfId="19769" xr:uid="{00000000-0005-0000-0000-0000A60B0000}"/>
    <cellStyle name="20% - Accent2 5 3 4" xfId="5609" xr:uid="{00000000-0005-0000-0000-0000A70B0000}"/>
    <cellStyle name="20% - Accent2 5 3 4 2" xfId="13593" xr:uid="{00000000-0005-0000-0000-0000A80B0000}"/>
    <cellStyle name="20% - Accent2 5 3 4 3" xfId="21541" xr:uid="{00000000-0005-0000-0000-0000A90B0000}"/>
    <cellStyle name="20% - Accent2 5 3 5" xfId="9162" xr:uid="{00000000-0005-0000-0000-0000AA0B0000}"/>
    <cellStyle name="20% - Accent2 5 3 5 2" xfId="17120" xr:uid="{00000000-0005-0000-0000-0000AB0B0000}"/>
    <cellStyle name="20% - Accent2 5 3 5 3" xfId="25064" xr:uid="{00000000-0005-0000-0000-0000AC0B0000}"/>
    <cellStyle name="20% - Accent2 5 3 6" xfId="10058" xr:uid="{00000000-0005-0000-0000-0000AD0B0000}"/>
    <cellStyle name="20% - Accent2 5 3 7" xfId="18013" xr:uid="{00000000-0005-0000-0000-0000AE0B0000}"/>
    <cellStyle name="20% - Accent2 5 3_Exh G" xfId="2146" xr:uid="{00000000-0005-0000-0000-0000AF0B0000}"/>
    <cellStyle name="20% - Accent2 5 4" xfId="881" xr:uid="{00000000-0005-0000-0000-0000B00B0000}"/>
    <cellStyle name="20% - Accent2 5 5" xfId="1135" xr:uid="{00000000-0005-0000-0000-0000B10B0000}"/>
    <cellStyle name="20% - Accent2 5 5 2" xfId="4665" xr:uid="{00000000-0005-0000-0000-0000B20B0000}"/>
    <cellStyle name="20% - Accent2 5 5 2 2" xfId="8256" xr:uid="{00000000-0005-0000-0000-0000B30B0000}"/>
    <cellStyle name="20% - Accent2 5 5 2 2 2" xfId="16227" xr:uid="{00000000-0005-0000-0000-0000B40B0000}"/>
    <cellStyle name="20% - Accent2 5 5 2 2 3" xfId="24173" xr:uid="{00000000-0005-0000-0000-0000B50B0000}"/>
    <cellStyle name="20% - Accent2 5 5 2 3" xfId="12689" xr:uid="{00000000-0005-0000-0000-0000B60B0000}"/>
    <cellStyle name="20% - Accent2 5 5 2 4" xfId="20644" xr:uid="{00000000-0005-0000-0000-0000B70B0000}"/>
    <cellStyle name="20% - Accent2 5 5 3" xfId="6497" xr:uid="{00000000-0005-0000-0000-0000B80B0000}"/>
    <cellStyle name="20% - Accent2 5 5 3 2" xfId="14469" xr:uid="{00000000-0005-0000-0000-0000B90B0000}"/>
    <cellStyle name="20% - Accent2 5 5 3 3" xfId="22416" xr:uid="{00000000-0005-0000-0000-0000BA0B0000}"/>
    <cellStyle name="20% - Accent2 5 5 4" xfId="10933" xr:uid="{00000000-0005-0000-0000-0000BB0B0000}"/>
    <cellStyle name="20% - Accent2 5 5 5" xfId="18888" xr:uid="{00000000-0005-0000-0000-0000BC0B0000}"/>
    <cellStyle name="20% - Accent2 5 5_Exh G" xfId="2148" xr:uid="{00000000-0005-0000-0000-0000BD0B0000}"/>
    <cellStyle name="20% - Accent2 5 6" xfId="3786" xr:uid="{00000000-0005-0000-0000-0000BE0B0000}"/>
    <cellStyle name="20% - Accent2 5 6 2" xfId="7378" xr:uid="{00000000-0005-0000-0000-0000BF0B0000}"/>
    <cellStyle name="20% - Accent2 5 6 2 2" xfId="15349" xr:uid="{00000000-0005-0000-0000-0000C00B0000}"/>
    <cellStyle name="20% - Accent2 5 6 2 3" xfId="23295" xr:uid="{00000000-0005-0000-0000-0000C10B0000}"/>
    <cellStyle name="20% - Accent2 5 6 3" xfId="11811" xr:uid="{00000000-0005-0000-0000-0000C20B0000}"/>
    <cellStyle name="20% - Accent2 5 6 4" xfId="19766" xr:uid="{00000000-0005-0000-0000-0000C30B0000}"/>
    <cellStyle name="20% - Accent2 5 7" xfId="5606" xr:uid="{00000000-0005-0000-0000-0000C40B0000}"/>
    <cellStyle name="20% - Accent2 5 7 2" xfId="13590" xr:uid="{00000000-0005-0000-0000-0000C50B0000}"/>
    <cellStyle name="20% - Accent2 5 7 3" xfId="21538" xr:uid="{00000000-0005-0000-0000-0000C60B0000}"/>
    <cellStyle name="20% - Accent2 5 8" xfId="9159" xr:uid="{00000000-0005-0000-0000-0000C70B0000}"/>
    <cellStyle name="20% - Accent2 5 8 2" xfId="17117" xr:uid="{00000000-0005-0000-0000-0000C80B0000}"/>
    <cellStyle name="20% - Accent2 5 8 3" xfId="25061" xr:uid="{00000000-0005-0000-0000-0000C90B0000}"/>
    <cellStyle name="20% - Accent2 5 9" xfId="10055" xr:uid="{00000000-0005-0000-0000-0000CA0B0000}"/>
    <cellStyle name="20% - Accent2 5_Exh G" xfId="2141" xr:uid="{00000000-0005-0000-0000-0000CB0B0000}"/>
    <cellStyle name="20% - Accent2 6" xfId="111" xr:uid="{00000000-0005-0000-0000-0000CC0B0000}"/>
    <cellStyle name="20% - Accent2 6 10" xfId="18014" xr:uid="{00000000-0005-0000-0000-0000CD0B0000}"/>
    <cellStyle name="20% - Accent2 6 2" xfId="112" xr:uid="{00000000-0005-0000-0000-0000CE0B0000}"/>
    <cellStyle name="20% - Accent2 6 2 2" xfId="113" xr:uid="{00000000-0005-0000-0000-0000CF0B0000}"/>
    <cellStyle name="20% - Accent2 6 2 2 2" xfId="1141" xr:uid="{00000000-0005-0000-0000-0000D00B0000}"/>
    <cellStyle name="20% - Accent2 6 2 2 2 2" xfId="4671" xr:uid="{00000000-0005-0000-0000-0000D10B0000}"/>
    <cellStyle name="20% - Accent2 6 2 2 2 2 2" xfId="8262" xr:uid="{00000000-0005-0000-0000-0000D20B0000}"/>
    <cellStyle name="20% - Accent2 6 2 2 2 2 2 2" xfId="16233" xr:uid="{00000000-0005-0000-0000-0000D30B0000}"/>
    <cellStyle name="20% - Accent2 6 2 2 2 2 2 3" xfId="24179" xr:uid="{00000000-0005-0000-0000-0000D40B0000}"/>
    <cellStyle name="20% - Accent2 6 2 2 2 2 3" xfId="12695" xr:uid="{00000000-0005-0000-0000-0000D50B0000}"/>
    <cellStyle name="20% - Accent2 6 2 2 2 2 4" xfId="20650" xr:uid="{00000000-0005-0000-0000-0000D60B0000}"/>
    <cellStyle name="20% - Accent2 6 2 2 2 3" xfId="6503" xr:uid="{00000000-0005-0000-0000-0000D70B0000}"/>
    <cellStyle name="20% - Accent2 6 2 2 2 3 2" xfId="14475" xr:uid="{00000000-0005-0000-0000-0000D80B0000}"/>
    <cellStyle name="20% - Accent2 6 2 2 2 3 3" xfId="22422" xr:uid="{00000000-0005-0000-0000-0000D90B0000}"/>
    <cellStyle name="20% - Accent2 6 2 2 2 4" xfId="10939" xr:uid="{00000000-0005-0000-0000-0000DA0B0000}"/>
    <cellStyle name="20% - Accent2 6 2 2 2 5" xfId="18894" xr:uid="{00000000-0005-0000-0000-0000DB0B0000}"/>
    <cellStyle name="20% - Accent2 6 2 2 2_Exh G" xfId="2152" xr:uid="{00000000-0005-0000-0000-0000DC0B0000}"/>
    <cellStyle name="20% - Accent2 6 2 2 3" xfId="3792" xr:uid="{00000000-0005-0000-0000-0000DD0B0000}"/>
    <cellStyle name="20% - Accent2 6 2 2 3 2" xfId="7384" xr:uid="{00000000-0005-0000-0000-0000DE0B0000}"/>
    <cellStyle name="20% - Accent2 6 2 2 3 2 2" xfId="15355" xr:uid="{00000000-0005-0000-0000-0000DF0B0000}"/>
    <cellStyle name="20% - Accent2 6 2 2 3 2 3" xfId="23301" xr:uid="{00000000-0005-0000-0000-0000E00B0000}"/>
    <cellStyle name="20% - Accent2 6 2 2 3 3" xfId="11817" xr:uid="{00000000-0005-0000-0000-0000E10B0000}"/>
    <cellStyle name="20% - Accent2 6 2 2 3 4" xfId="19772" xr:uid="{00000000-0005-0000-0000-0000E20B0000}"/>
    <cellStyle name="20% - Accent2 6 2 2 4" xfId="5612" xr:uid="{00000000-0005-0000-0000-0000E30B0000}"/>
    <cellStyle name="20% - Accent2 6 2 2 4 2" xfId="13596" xr:uid="{00000000-0005-0000-0000-0000E40B0000}"/>
    <cellStyle name="20% - Accent2 6 2 2 4 3" xfId="21544" xr:uid="{00000000-0005-0000-0000-0000E50B0000}"/>
    <cellStyle name="20% - Accent2 6 2 2 5" xfId="9165" xr:uid="{00000000-0005-0000-0000-0000E60B0000}"/>
    <cellStyle name="20% - Accent2 6 2 2 5 2" xfId="17123" xr:uid="{00000000-0005-0000-0000-0000E70B0000}"/>
    <cellStyle name="20% - Accent2 6 2 2 5 3" xfId="25067" xr:uid="{00000000-0005-0000-0000-0000E80B0000}"/>
    <cellStyle name="20% - Accent2 6 2 2 6" xfId="10061" xr:uid="{00000000-0005-0000-0000-0000E90B0000}"/>
    <cellStyle name="20% - Accent2 6 2 2 7" xfId="18016" xr:uid="{00000000-0005-0000-0000-0000EA0B0000}"/>
    <cellStyle name="20% - Accent2 6 2 2_Exh G" xfId="2151" xr:uid="{00000000-0005-0000-0000-0000EB0B0000}"/>
    <cellStyle name="20% - Accent2 6 2 3" xfId="1140" xr:uid="{00000000-0005-0000-0000-0000EC0B0000}"/>
    <cellStyle name="20% - Accent2 6 2 3 2" xfId="4670" xr:uid="{00000000-0005-0000-0000-0000ED0B0000}"/>
    <cellStyle name="20% - Accent2 6 2 3 2 2" xfId="8261" xr:uid="{00000000-0005-0000-0000-0000EE0B0000}"/>
    <cellStyle name="20% - Accent2 6 2 3 2 2 2" xfId="16232" xr:uid="{00000000-0005-0000-0000-0000EF0B0000}"/>
    <cellStyle name="20% - Accent2 6 2 3 2 2 3" xfId="24178" xr:uid="{00000000-0005-0000-0000-0000F00B0000}"/>
    <cellStyle name="20% - Accent2 6 2 3 2 3" xfId="12694" xr:uid="{00000000-0005-0000-0000-0000F10B0000}"/>
    <cellStyle name="20% - Accent2 6 2 3 2 4" xfId="20649" xr:uid="{00000000-0005-0000-0000-0000F20B0000}"/>
    <cellStyle name="20% - Accent2 6 2 3 3" xfId="6502" xr:uid="{00000000-0005-0000-0000-0000F30B0000}"/>
    <cellStyle name="20% - Accent2 6 2 3 3 2" xfId="14474" xr:uid="{00000000-0005-0000-0000-0000F40B0000}"/>
    <cellStyle name="20% - Accent2 6 2 3 3 3" xfId="22421" xr:uid="{00000000-0005-0000-0000-0000F50B0000}"/>
    <cellStyle name="20% - Accent2 6 2 3 4" xfId="10938" xr:uid="{00000000-0005-0000-0000-0000F60B0000}"/>
    <cellStyle name="20% - Accent2 6 2 3 5" xfId="18893" xr:uid="{00000000-0005-0000-0000-0000F70B0000}"/>
    <cellStyle name="20% - Accent2 6 2 3_Exh G" xfId="2153" xr:uid="{00000000-0005-0000-0000-0000F80B0000}"/>
    <cellStyle name="20% - Accent2 6 2 4" xfId="3791" xr:uid="{00000000-0005-0000-0000-0000F90B0000}"/>
    <cellStyle name="20% - Accent2 6 2 4 2" xfId="7383" xr:uid="{00000000-0005-0000-0000-0000FA0B0000}"/>
    <cellStyle name="20% - Accent2 6 2 4 2 2" xfId="15354" xr:uid="{00000000-0005-0000-0000-0000FB0B0000}"/>
    <cellStyle name="20% - Accent2 6 2 4 2 3" xfId="23300" xr:uid="{00000000-0005-0000-0000-0000FC0B0000}"/>
    <cellStyle name="20% - Accent2 6 2 4 3" xfId="11816" xr:uid="{00000000-0005-0000-0000-0000FD0B0000}"/>
    <cellStyle name="20% - Accent2 6 2 4 4" xfId="19771" xr:uid="{00000000-0005-0000-0000-0000FE0B0000}"/>
    <cellStyle name="20% - Accent2 6 2 5" xfId="5611" xr:uid="{00000000-0005-0000-0000-0000FF0B0000}"/>
    <cellStyle name="20% - Accent2 6 2 5 2" xfId="13595" xr:uid="{00000000-0005-0000-0000-0000000C0000}"/>
    <cellStyle name="20% - Accent2 6 2 5 3" xfId="21543" xr:uid="{00000000-0005-0000-0000-0000010C0000}"/>
    <cellStyle name="20% - Accent2 6 2 6" xfId="9164" xr:uid="{00000000-0005-0000-0000-0000020C0000}"/>
    <cellStyle name="20% - Accent2 6 2 6 2" xfId="17122" xr:uid="{00000000-0005-0000-0000-0000030C0000}"/>
    <cellStyle name="20% - Accent2 6 2 6 3" xfId="25066" xr:uid="{00000000-0005-0000-0000-0000040C0000}"/>
    <cellStyle name="20% - Accent2 6 2 7" xfId="10060" xr:uid="{00000000-0005-0000-0000-0000050C0000}"/>
    <cellStyle name="20% - Accent2 6 2 8" xfId="18015" xr:uid="{00000000-0005-0000-0000-0000060C0000}"/>
    <cellStyle name="20% - Accent2 6 2_Exh G" xfId="2150" xr:uid="{00000000-0005-0000-0000-0000070C0000}"/>
    <cellStyle name="20% - Accent2 6 3" xfId="114" xr:uid="{00000000-0005-0000-0000-0000080C0000}"/>
    <cellStyle name="20% - Accent2 6 3 2" xfId="1142" xr:uid="{00000000-0005-0000-0000-0000090C0000}"/>
    <cellStyle name="20% - Accent2 6 3 2 2" xfId="4672" xr:uid="{00000000-0005-0000-0000-00000A0C0000}"/>
    <cellStyle name="20% - Accent2 6 3 2 2 2" xfId="8263" xr:uid="{00000000-0005-0000-0000-00000B0C0000}"/>
    <cellStyle name="20% - Accent2 6 3 2 2 2 2" xfId="16234" xr:uid="{00000000-0005-0000-0000-00000C0C0000}"/>
    <cellStyle name="20% - Accent2 6 3 2 2 2 3" xfId="24180" xr:uid="{00000000-0005-0000-0000-00000D0C0000}"/>
    <cellStyle name="20% - Accent2 6 3 2 2 3" xfId="12696" xr:uid="{00000000-0005-0000-0000-00000E0C0000}"/>
    <cellStyle name="20% - Accent2 6 3 2 2 4" xfId="20651" xr:uid="{00000000-0005-0000-0000-00000F0C0000}"/>
    <cellStyle name="20% - Accent2 6 3 2 3" xfId="6504" xr:uid="{00000000-0005-0000-0000-0000100C0000}"/>
    <cellStyle name="20% - Accent2 6 3 2 3 2" xfId="14476" xr:uid="{00000000-0005-0000-0000-0000110C0000}"/>
    <cellStyle name="20% - Accent2 6 3 2 3 3" xfId="22423" xr:uid="{00000000-0005-0000-0000-0000120C0000}"/>
    <cellStyle name="20% - Accent2 6 3 2 4" xfId="10940" xr:uid="{00000000-0005-0000-0000-0000130C0000}"/>
    <cellStyle name="20% - Accent2 6 3 2 5" xfId="18895" xr:uid="{00000000-0005-0000-0000-0000140C0000}"/>
    <cellStyle name="20% - Accent2 6 3 2_Exh G" xfId="2155" xr:uid="{00000000-0005-0000-0000-0000150C0000}"/>
    <cellStyle name="20% - Accent2 6 3 3" xfId="3793" xr:uid="{00000000-0005-0000-0000-0000160C0000}"/>
    <cellStyle name="20% - Accent2 6 3 3 2" xfId="7385" xr:uid="{00000000-0005-0000-0000-0000170C0000}"/>
    <cellStyle name="20% - Accent2 6 3 3 2 2" xfId="15356" xr:uid="{00000000-0005-0000-0000-0000180C0000}"/>
    <cellStyle name="20% - Accent2 6 3 3 2 3" xfId="23302" xr:uid="{00000000-0005-0000-0000-0000190C0000}"/>
    <cellStyle name="20% - Accent2 6 3 3 3" xfId="11818" xr:uid="{00000000-0005-0000-0000-00001A0C0000}"/>
    <cellStyle name="20% - Accent2 6 3 3 4" xfId="19773" xr:uid="{00000000-0005-0000-0000-00001B0C0000}"/>
    <cellStyle name="20% - Accent2 6 3 4" xfId="5613" xr:uid="{00000000-0005-0000-0000-00001C0C0000}"/>
    <cellStyle name="20% - Accent2 6 3 4 2" xfId="13597" xr:uid="{00000000-0005-0000-0000-00001D0C0000}"/>
    <cellStyle name="20% - Accent2 6 3 4 3" xfId="21545" xr:uid="{00000000-0005-0000-0000-00001E0C0000}"/>
    <cellStyle name="20% - Accent2 6 3 5" xfId="9166" xr:uid="{00000000-0005-0000-0000-00001F0C0000}"/>
    <cellStyle name="20% - Accent2 6 3 5 2" xfId="17124" xr:uid="{00000000-0005-0000-0000-0000200C0000}"/>
    <cellStyle name="20% - Accent2 6 3 5 3" xfId="25068" xr:uid="{00000000-0005-0000-0000-0000210C0000}"/>
    <cellStyle name="20% - Accent2 6 3 6" xfId="10062" xr:uid="{00000000-0005-0000-0000-0000220C0000}"/>
    <cellStyle name="20% - Accent2 6 3 7" xfId="18017" xr:uid="{00000000-0005-0000-0000-0000230C0000}"/>
    <cellStyle name="20% - Accent2 6 3_Exh G" xfId="2154" xr:uid="{00000000-0005-0000-0000-0000240C0000}"/>
    <cellStyle name="20% - Accent2 6 4" xfId="882" xr:uid="{00000000-0005-0000-0000-0000250C0000}"/>
    <cellStyle name="20% - Accent2 6 4 2" xfId="1815" xr:uid="{00000000-0005-0000-0000-0000260C0000}"/>
    <cellStyle name="20% - Accent2 6 4 2 2" xfId="5333" xr:uid="{00000000-0005-0000-0000-0000270C0000}"/>
    <cellStyle name="20% - Accent2 6 4 2 2 2" xfId="8924" xr:uid="{00000000-0005-0000-0000-0000280C0000}"/>
    <cellStyle name="20% - Accent2 6 4 2 2 2 2" xfId="16895" xr:uid="{00000000-0005-0000-0000-0000290C0000}"/>
    <cellStyle name="20% - Accent2 6 4 2 2 2 3" xfId="24841" xr:uid="{00000000-0005-0000-0000-00002A0C0000}"/>
    <cellStyle name="20% - Accent2 6 4 2 2 3" xfId="13357" xr:uid="{00000000-0005-0000-0000-00002B0C0000}"/>
    <cellStyle name="20% - Accent2 6 4 2 2 4" xfId="21312" xr:uid="{00000000-0005-0000-0000-00002C0C0000}"/>
    <cellStyle name="20% - Accent2 6 4 2 3" xfId="7165" xr:uid="{00000000-0005-0000-0000-00002D0C0000}"/>
    <cellStyle name="20% - Accent2 6 4 2 3 2" xfId="15137" xr:uid="{00000000-0005-0000-0000-00002E0C0000}"/>
    <cellStyle name="20% - Accent2 6 4 2 3 3" xfId="23084" xr:uid="{00000000-0005-0000-0000-00002F0C0000}"/>
    <cellStyle name="20% - Accent2 6 4 2 4" xfId="11601" xr:uid="{00000000-0005-0000-0000-0000300C0000}"/>
    <cellStyle name="20% - Accent2 6 4 2 5" xfId="19556" xr:uid="{00000000-0005-0000-0000-0000310C0000}"/>
    <cellStyle name="20% - Accent2 6 4 2_Exh G" xfId="2157" xr:uid="{00000000-0005-0000-0000-0000320C0000}"/>
    <cellStyle name="20% - Accent2 6 4 3" xfId="4454" xr:uid="{00000000-0005-0000-0000-0000330C0000}"/>
    <cellStyle name="20% - Accent2 6 4 3 2" xfId="8046" xr:uid="{00000000-0005-0000-0000-0000340C0000}"/>
    <cellStyle name="20% - Accent2 6 4 3 2 2" xfId="16017" xr:uid="{00000000-0005-0000-0000-0000350C0000}"/>
    <cellStyle name="20% - Accent2 6 4 3 2 3" xfId="23963" xr:uid="{00000000-0005-0000-0000-0000360C0000}"/>
    <cellStyle name="20% - Accent2 6 4 3 3" xfId="12479" xr:uid="{00000000-0005-0000-0000-0000370C0000}"/>
    <cellStyle name="20% - Accent2 6 4 3 4" xfId="20434" xr:uid="{00000000-0005-0000-0000-0000380C0000}"/>
    <cellStyle name="20% - Accent2 6 4 4" xfId="6284" xr:uid="{00000000-0005-0000-0000-0000390C0000}"/>
    <cellStyle name="20% - Accent2 6 4 4 2" xfId="14259" xr:uid="{00000000-0005-0000-0000-00003A0C0000}"/>
    <cellStyle name="20% - Accent2 6 4 4 3" xfId="22206" xr:uid="{00000000-0005-0000-0000-00003B0C0000}"/>
    <cellStyle name="20% - Accent2 6 4 5" xfId="9827" xr:uid="{00000000-0005-0000-0000-00003C0C0000}"/>
    <cellStyle name="20% - Accent2 6 4 5 2" xfId="17785" xr:uid="{00000000-0005-0000-0000-00003D0C0000}"/>
    <cellStyle name="20% - Accent2 6 4 5 3" xfId="25729" xr:uid="{00000000-0005-0000-0000-00003E0C0000}"/>
    <cellStyle name="20% - Accent2 6 4 6" xfId="10723" xr:uid="{00000000-0005-0000-0000-00003F0C0000}"/>
    <cellStyle name="20% - Accent2 6 4 7" xfId="18678" xr:uid="{00000000-0005-0000-0000-0000400C0000}"/>
    <cellStyle name="20% - Accent2 6 4_Exh G" xfId="2156" xr:uid="{00000000-0005-0000-0000-0000410C0000}"/>
    <cellStyle name="20% - Accent2 6 5" xfId="1139" xr:uid="{00000000-0005-0000-0000-0000420C0000}"/>
    <cellStyle name="20% - Accent2 6 5 2" xfId="4669" xr:uid="{00000000-0005-0000-0000-0000430C0000}"/>
    <cellStyle name="20% - Accent2 6 5 2 2" xfId="8260" xr:uid="{00000000-0005-0000-0000-0000440C0000}"/>
    <cellStyle name="20% - Accent2 6 5 2 2 2" xfId="16231" xr:uid="{00000000-0005-0000-0000-0000450C0000}"/>
    <cellStyle name="20% - Accent2 6 5 2 2 3" xfId="24177" xr:uid="{00000000-0005-0000-0000-0000460C0000}"/>
    <cellStyle name="20% - Accent2 6 5 2 3" xfId="12693" xr:uid="{00000000-0005-0000-0000-0000470C0000}"/>
    <cellStyle name="20% - Accent2 6 5 2 4" xfId="20648" xr:uid="{00000000-0005-0000-0000-0000480C0000}"/>
    <cellStyle name="20% - Accent2 6 5 3" xfId="6501" xr:uid="{00000000-0005-0000-0000-0000490C0000}"/>
    <cellStyle name="20% - Accent2 6 5 3 2" xfId="14473" xr:uid="{00000000-0005-0000-0000-00004A0C0000}"/>
    <cellStyle name="20% - Accent2 6 5 3 3" xfId="22420" xr:uid="{00000000-0005-0000-0000-00004B0C0000}"/>
    <cellStyle name="20% - Accent2 6 5 4" xfId="10937" xr:uid="{00000000-0005-0000-0000-00004C0C0000}"/>
    <cellStyle name="20% - Accent2 6 5 5" xfId="18892" xr:uid="{00000000-0005-0000-0000-00004D0C0000}"/>
    <cellStyle name="20% - Accent2 6 5_Exh G" xfId="2158" xr:uid="{00000000-0005-0000-0000-00004E0C0000}"/>
    <cellStyle name="20% - Accent2 6 6" xfId="3790" xr:uid="{00000000-0005-0000-0000-00004F0C0000}"/>
    <cellStyle name="20% - Accent2 6 6 2" xfId="7382" xr:uid="{00000000-0005-0000-0000-0000500C0000}"/>
    <cellStyle name="20% - Accent2 6 6 2 2" xfId="15353" xr:uid="{00000000-0005-0000-0000-0000510C0000}"/>
    <cellStyle name="20% - Accent2 6 6 2 3" xfId="23299" xr:uid="{00000000-0005-0000-0000-0000520C0000}"/>
    <cellStyle name="20% - Accent2 6 6 3" xfId="11815" xr:uid="{00000000-0005-0000-0000-0000530C0000}"/>
    <cellStyle name="20% - Accent2 6 6 4" xfId="19770" xr:uid="{00000000-0005-0000-0000-0000540C0000}"/>
    <cellStyle name="20% - Accent2 6 7" xfId="5610" xr:uid="{00000000-0005-0000-0000-0000550C0000}"/>
    <cellStyle name="20% - Accent2 6 7 2" xfId="13594" xr:uid="{00000000-0005-0000-0000-0000560C0000}"/>
    <cellStyle name="20% - Accent2 6 7 3" xfId="21542" xr:uid="{00000000-0005-0000-0000-0000570C0000}"/>
    <cellStyle name="20% - Accent2 6 8" xfId="9163" xr:uid="{00000000-0005-0000-0000-0000580C0000}"/>
    <cellStyle name="20% - Accent2 6 8 2" xfId="17121" xr:uid="{00000000-0005-0000-0000-0000590C0000}"/>
    <cellStyle name="20% - Accent2 6 8 3" xfId="25065" xr:uid="{00000000-0005-0000-0000-00005A0C0000}"/>
    <cellStyle name="20% - Accent2 6 9" xfId="10059" xr:uid="{00000000-0005-0000-0000-00005B0C0000}"/>
    <cellStyle name="20% - Accent2 6_Exh G" xfId="2149" xr:uid="{00000000-0005-0000-0000-00005C0C0000}"/>
    <cellStyle name="20% - Accent2 7" xfId="115" xr:uid="{00000000-0005-0000-0000-00005D0C0000}"/>
    <cellStyle name="20% - Accent2 7 10" xfId="18018" xr:uid="{00000000-0005-0000-0000-00005E0C0000}"/>
    <cellStyle name="20% - Accent2 7 2" xfId="116" xr:uid="{00000000-0005-0000-0000-00005F0C0000}"/>
    <cellStyle name="20% - Accent2 7 2 2" xfId="117" xr:uid="{00000000-0005-0000-0000-0000600C0000}"/>
    <cellStyle name="20% - Accent2 7 2 2 2" xfId="1145" xr:uid="{00000000-0005-0000-0000-0000610C0000}"/>
    <cellStyle name="20% - Accent2 7 2 2 2 2" xfId="4675" xr:uid="{00000000-0005-0000-0000-0000620C0000}"/>
    <cellStyle name="20% - Accent2 7 2 2 2 2 2" xfId="8266" xr:uid="{00000000-0005-0000-0000-0000630C0000}"/>
    <cellStyle name="20% - Accent2 7 2 2 2 2 2 2" xfId="16237" xr:uid="{00000000-0005-0000-0000-0000640C0000}"/>
    <cellStyle name="20% - Accent2 7 2 2 2 2 2 3" xfId="24183" xr:uid="{00000000-0005-0000-0000-0000650C0000}"/>
    <cellStyle name="20% - Accent2 7 2 2 2 2 3" xfId="12699" xr:uid="{00000000-0005-0000-0000-0000660C0000}"/>
    <cellStyle name="20% - Accent2 7 2 2 2 2 4" xfId="20654" xr:uid="{00000000-0005-0000-0000-0000670C0000}"/>
    <cellStyle name="20% - Accent2 7 2 2 2 3" xfId="6507" xr:uid="{00000000-0005-0000-0000-0000680C0000}"/>
    <cellStyle name="20% - Accent2 7 2 2 2 3 2" xfId="14479" xr:uid="{00000000-0005-0000-0000-0000690C0000}"/>
    <cellStyle name="20% - Accent2 7 2 2 2 3 3" xfId="22426" xr:uid="{00000000-0005-0000-0000-00006A0C0000}"/>
    <cellStyle name="20% - Accent2 7 2 2 2 4" xfId="10943" xr:uid="{00000000-0005-0000-0000-00006B0C0000}"/>
    <cellStyle name="20% - Accent2 7 2 2 2 5" xfId="18898" xr:uid="{00000000-0005-0000-0000-00006C0C0000}"/>
    <cellStyle name="20% - Accent2 7 2 2 2_Exh G" xfId="2162" xr:uid="{00000000-0005-0000-0000-00006D0C0000}"/>
    <cellStyle name="20% - Accent2 7 2 2 3" xfId="3796" xr:uid="{00000000-0005-0000-0000-00006E0C0000}"/>
    <cellStyle name="20% - Accent2 7 2 2 3 2" xfId="7388" xr:uid="{00000000-0005-0000-0000-00006F0C0000}"/>
    <cellStyle name="20% - Accent2 7 2 2 3 2 2" xfId="15359" xr:uid="{00000000-0005-0000-0000-0000700C0000}"/>
    <cellStyle name="20% - Accent2 7 2 2 3 2 3" xfId="23305" xr:uid="{00000000-0005-0000-0000-0000710C0000}"/>
    <cellStyle name="20% - Accent2 7 2 2 3 3" xfId="11821" xr:uid="{00000000-0005-0000-0000-0000720C0000}"/>
    <cellStyle name="20% - Accent2 7 2 2 3 4" xfId="19776" xr:uid="{00000000-0005-0000-0000-0000730C0000}"/>
    <cellStyle name="20% - Accent2 7 2 2 4" xfId="5616" xr:uid="{00000000-0005-0000-0000-0000740C0000}"/>
    <cellStyle name="20% - Accent2 7 2 2 4 2" xfId="13600" xr:uid="{00000000-0005-0000-0000-0000750C0000}"/>
    <cellStyle name="20% - Accent2 7 2 2 4 3" xfId="21548" xr:uid="{00000000-0005-0000-0000-0000760C0000}"/>
    <cellStyle name="20% - Accent2 7 2 2 5" xfId="9169" xr:uid="{00000000-0005-0000-0000-0000770C0000}"/>
    <cellStyle name="20% - Accent2 7 2 2 5 2" xfId="17127" xr:uid="{00000000-0005-0000-0000-0000780C0000}"/>
    <cellStyle name="20% - Accent2 7 2 2 5 3" xfId="25071" xr:uid="{00000000-0005-0000-0000-0000790C0000}"/>
    <cellStyle name="20% - Accent2 7 2 2 6" xfId="10065" xr:uid="{00000000-0005-0000-0000-00007A0C0000}"/>
    <cellStyle name="20% - Accent2 7 2 2 7" xfId="18020" xr:uid="{00000000-0005-0000-0000-00007B0C0000}"/>
    <cellStyle name="20% - Accent2 7 2 2_Exh G" xfId="2161" xr:uid="{00000000-0005-0000-0000-00007C0C0000}"/>
    <cellStyle name="20% - Accent2 7 2 3" xfId="1144" xr:uid="{00000000-0005-0000-0000-00007D0C0000}"/>
    <cellStyle name="20% - Accent2 7 2 3 2" xfId="4674" xr:uid="{00000000-0005-0000-0000-00007E0C0000}"/>
    <cellStyle name="20% - Accent2 7 2 3 2 2" xfId="8265" xr:uid="{00000000-0005-0000-0000-00007F0C0000}"/>
    <cellStyle name="20% - Accent2 7 2 3 2 2 2" xfId="16236" xr:uid="{00000000-0005-0000-0000-0000800C0000}"/>
    <cellStyle name="20% - Accent2 7 2 3 2 2 3" xfId="24182" xr:uid="{00000000-0005-0000-0000-0000810C0000}"/>
    <cellStyle name="20% - Accent2 7 2 3 2 3" xfId="12698" xr:uid="{00000000-0005-0000-0000-0000820C0000}"/>
    <cellStyle name="20% - Accent2 7 2 3 2 4" xfId="20653" xr:uid="{00000000-0005-0000-0000-0000830C0000}"/>
    <cellStyle name="20% - Accent2 7 2 3 3" xfId="6506" xr:uid="{00000000-0005-0000-0000-0000840C0000}"/>
    <cellStyle name="20% - Accent2 7 2 3 3 2" xfId="14478" xr:uid="{00000000-0005-0000-0000-0000850C0000}"/>
    <cellStyle name="20% - Accent2 7 2 3 3 3" xfId="22425" xr:uid="{00000000-0005-0000-0000-0000860C0000}"/>
    <cellStyle name="20% - Accent2 7 2 3 4" xfId="10942" xr:uid="{00000000-0005-0000-0000-0000870C0000}"/>
    <cellStyle name="20% - Accent2 7 2 3 5" xfId="18897" xr:uid="{00000000-0005-0000-0000-0000880C0000}"/>
    <cellStyle name="20% - Accent2 7 2 3_Exh G" xfId="2163" xr:uid="{00000000-0005-0000-0000-0000890C0000}"/>
    <cellStyle name="20% - Accent2 7 2 4" xfId="3795" xr:uid="{00000000-0005-0000-0000-00008A0C0000}"/>
    <cellStyle name="20% - Accent2 7 2 4 2" xfId="7387" xr:uid="{00000000-0005-0000-0000-00008B0C0000}"/>
    <cellStyle name="20% - Accent2 7 2 4 2 2" xfId="15358" xr:uid="{00000000-0005-0000-0000-00008C0C0000}"/>
    <cellStyle name="20% - Accent2 7 2 4 2 3" xfId="23304" xr:uid="{00000000-0005-0000-0000-00008D0C0000}"/>
    <cellStyle name="20% - Accent2 7 2 4 3" xfId="11820" xr:uid="{00000000-0005-0000-0000-00008E0C0000}"/>
    <cellStyle name="20% - Accent2 7 2 4 4" xfId="19775" xr:uid="{00000000-0005-0000-0000-00008F0C0000}"/>
    <cellStyle name="20% - Accent2 7 2 5" xfId="5615" xr:uid="{00000000-0005-0000-0000-0000900C0000}"/>
    <cellStyle name="20% - Accent2 7 2 5 2" xfId="13599" xr:uid="{00000000-0005-0000-0000-0000910C0000}"/>
    <cellStyle name="20% - Accent2 7 2 5 3" xfId="21547" xr:uid="{00000000-0005-0000-0000-0000920C0000}"/>
    <cellStyle name="20% - Accent2 7 2 6" xfId="9168" xr:uid="{00000000-0005-0000-0000-0000930C0000}"/>
    <cellStyle name="20% - Accent2 7 2 6 2" xfId="17126" xr:uid="{00000000-0005-0000-0000-0000940C0000}"/>
    <cellStyle name="20% - Accent2 7 2 6 3" xfId="25070" xr:uid="{00000000-0005-0000-0000-0000950C0000}"/>
    <cellStyle name="20% - Accent2 7 2 7" xfId="10064" xr:uid="{00000000-0005-0000-0000-0000960C0000}"/>
    <cellStyle name="20% - Accent2 7 2 8" xfId="18019" xr:uid="{00000000-0005-0000-0000-0000970C0000}"/>
    <cellStyle name="20% - Accent2 7 2_Exh G" xfId="2160" xr:uid="{00000000-0005-0000-0000-0000980C0000}"/>
    <cellStyle name="20% - Accent2 7 3" xfId="118" xr:uid="{00000000-0005-0000-0000-0000990C0000}"/>
    <cellStyle name="20% - Accent2 7 3 2" xfId="1146" xr:uid="{00000000-0005-0000-0000-00009A0C0000}"/>
    <cellStyle name="20% - Accent2 7 3 2 2" xfId="4676" xr:uid="{00000000-0005-0000-0000-00009B0C0000}"/>
    <cellStyle name="20% - Accent2 7 3 2 2 2" xfId="8267" xr:uid="{00000000-0005-0000-0000-00009C0C0000}"/>
    <cellStyle name="20% - Accent2 7 3 2 2 2 2" xfId="16238" xr:uid="{00000000-0005-0000-0000-00009D0C0000}"/>
    <cellStyle name="20% - Accent2 7 3 2 2 2 3" xfId="24184" xr:uid="{00000000-0005-0000-0000-00009E0C0000}"/>
    <cellStyle name="20% - Accent2 7 3 2 2 3" xfId="12700" xr:uid="{00000000-0005-0000-0000-00009F0C0000}"/>
    <cellStyle name="20% - Accent2 7 3 2 2 4" xfId="20655" xr:uid="{00000000-0005-0000-0000-0000A00C0000}"/>
    <cellStyle name="20% - Accent2 7 3 2 3" xfId="6508" xr:uid="{00000000-0005-0000-0000-0000A10C0000}"/>
    <cellStyle name="20% - Accent2 7 3 2 3 2" xfId="14480" xr:uid="{00000000-0005-0000-0000-0000A20C0000}"/>
    <cellStyle name="20% - Accent2 7 3 2 3 3" xfId="22427" xr:uid="{00000000-0005-0000-0000-0000A30C0000}"/>
    <cellStyle name="20% - Accent2 7 3 2 4" xfId="10944" xr:uid="{00000000-0005-0000-0000-0000A40C0000}"/>
    <cellStyle name="20% - Accent2 7 3 2 5" xfId="18899" xr:uid="{00000000-0005-0000-0000-0000A50C0000}"/>
    <cellStyle name="20% - Accent2 7 3 2_Exh G" xfId="2165" xr:uid="{00000000-0005-0000-0000-0000A60C0000}"/>
    <cellStyle name="20% - Accent2 7 3 3" xfId="3797" xr:uid="{00000000-0005-0000-0000-0000A70C0000}"/>
    <cellStyle name="20% - Accent2 7 3 3 2" xfId="7389" xr:uid="{00000000-0005-0000-0000-0000A80C0000}"/>
    <cellStyle name="20% - Accent2 7 3 3 2 2" xfId="15360" xr:uid="{00000000-0005-0000-0000-0000A90C0000}"/>
    <cellStyle name="20% - Accent2 7 3 3 2 3" xfId="23306" xr:uid="{00000000-0005-0000-0000-0000AA0C0000}"/>
    <cellStyle name="20% - Accent2 7 3 3 3" xfId="11822" xr:uid="{00000000-0005-0000-0000-0000AB0C0000}"/>
    <cellStyle name="20% - Accent2 7 3 3 4" xfId="19777" xr:uid="{00000000-0005-0000-0000-0000AC0C0000}"/>
    <cellStyle name="20% - Accent2 7 3 4" xfId="5617" xr:uid="{00000000-0005-0000-0000-0000AD0C0000}"/>
    <cellStyle name="20% - Accent2 7 3 4 2" xfId="13601" xr:uid="{00000000-0005-0000-0000-0000AE0C0000}"/>
    <cellStyle name="20% - Accent2 7 3 4 3" xfId="21549" xr:uid="{00000000-0005-0000-0000-0000AF0C0000}"/>
    <cellStyle name="20% - Accent2 7 3 5" xfId="9170" xr:uid="{00000000-0005-0000-0000-0000B00C0000}"/>
    <cellStyle name="20% - Accent2 7 3 5 2" xfId="17128" xr:uid="{00000000-0005-0000-0000-0000B10C0000}"/>
    <cellStyle name="20% - Accent2 7 3 5 3" xfId="25072" xr:uid="{00000000-0005-0000-0000-0000B20C0000}"/>
    <cellStyle name="20% - Accent2 7 3 6" xfId="10066" xr:uid="{00000000-0005-0000-0000-0000B30C0000}"/>
    <cellStyle name="20% - Accent2 7 3 7" xfId="18021" xr:uid="{00000000-0005-0000-0000-0000B40C0000}"/>
    <cellStyle name="20% - Accent2 7 3_Exh G" xfId="2164" xr:uid="{00000000-0005-0000-0000-0000B50C0000}"/>
    <cellStyle name="20% - Accent2 7 4" xfId="883" xr:uid="{00000000-0005-0000-0000-0000B60C0000}"/>
    <cellStyle name="20% - Accent2 7 4 2" xfId="1816" xr:uid="{00000000-0005-0000-0000-0000B70C0000}"/>
    <cellStyle name="20% - Accent2 7 4 2 2" xfId="5334" xr:uid="{00000000-0005-0000-0000-0000B80C0000}"/>
    <cellStyle name="20% - Accent2 7 4 2 2 2" xfId="8925" xr:uid="{00000000-0005-0000-0000-0000B90C0000}"/>
    <cellStyle name="20% - Accent2 7 4 2 2 2 2" xfId="16896" xr:uid="{00000000-0005-0000-0000-0000BA0C0000}"/>
    <cellStyle name="20% - Accent2 7 4 2 2 2 3" xfId="24842" xr:uid="{00000000-0005-0000-0000-0000BB0C0000}"/>
    <cellStyle name="20% - Accent2 7 4 2 2 3" xfId="13358" xr:uid="{00000000-0005-0000-0000-0000BC0C0000}"/>
    <cellStyle name="20% - Accent2 7 4 2 2 4" xfId="21313" xr:uid="{00000000-0005-0000-0000-0000BD0C0000}"/>
    <cellStyle name="20% - Accent2 7 4 2 3" xfId="7166" xr:uid="{00000000-0005-0000-0000-0000BE0C0000}"/>
    <cellStyle name="20% - Accent2 7 4 2 3 2" xfId="15138" xr:uid="{00000000-0005-0000-0000-0000BF0C0000}"/>
    <cellStyle name="20% - Accent2 7 4 2 3 3" xfId="23085" xr:uid="{00000000-0005-0000-0000-0000C00C0000}"/>
    <cellStyle name="20% - Accent2 7 4 2 4" xfId="11602" xr:uid="{00000000-0005-0000-0000-0000C10C0000}"/>
    <cellStyle name="20% - Accent2 7 4 2 5" xfId="19557" xr:uid="{00000000-0005-0000-0000-0000C20C0000}"/>
    <cellStyle name="20% - Accent2 7 4 2_Exh G" xfId="2167" xr:uid="{00000000-0005-0000-0000-0000C30C0000}"/>
    <cellStyle name="20% - Accent2 7 4 3" xfId="4455" xr:uid="{00000000-0005-0000-0000-0000C40C0000}"/>
    <cellStyle name="20% - Accent2 7 4 3 2" xfId="8047" xr:uid="{00000000-0005-0000-0000-0000C50C0000}"/>
    <cellStyle name="20% - Accent2 7 4 3 2 2" xfId="16018" xr:uid="{00000000-0005-0000-0000-0000C60C0000}"/>
    <cellStyle name="20% - Accent2 7 4 3 2 3" xfId="23964" xr:uid="{00000000-0005-0000-0000-0000C70C0000}"/>
    <cellStyle name="20% - Accent2 7 4 3 3" xfId="12480" xr:uid="{00000000-0005-0000-0000-0000C80C0000}"/>
    <cellStyle name="20% - Accent2 7 4 3 4" xfId="20435" xr:uid="{00000000-0005-0000-0000-0000C90C0000}"/>
    <cellStyle name="20% - Accent2 7 4 4" xfId="6285" xr:uid="{00000000-0005-0000-0000-0000CA0C0000}"/>
    <cellStyle name="20% - Accent2 7 4 4 2" xfId="14260" xr:uid="{00000000-0005-0000-0000-0000CB0C0000}"/>
    <cellStyle name="20% - Accent2 7 4 4 3" xfId="22207" xr:uid="{00000000-0005-0000-0000-0000CC0C0000}"/>
    <cellStyle name="20% - Accent2 7 4 5" xfId="9828" xr:uid="{00000000-0005-0000-0000-0000CD0C0000}"/>
    <cellStyle name="20% - Accent2 7 4 5 2" xfId="17786" xr:uid="{00000000-0005-0000-0000-0000CE0C0000}"/>
    <cellStyle name="20% - Accent2 7 4 5 3" xfId="25730" xr:uid="{00000000-0005-0000-0000-0000CF0C0000}"/>
    <cellStyle name="20% - Accent2 7 4 6" xfId="10724" xr:uid="{00000000-0005-0000-0000-0000D00C0000}"/>
    <cellStyle name="20% - Accent2 7 4 7" xfId="18679" xr:uid="{00000000-0005-0000-0000-0000D10C0000}"/>
    <cellStyle name="20% - Accent2 7 4_Exh G" xfId="2166" xr:uid="{00000000-0005-0000-0000-0000D20C0000}"/>
    <cellStyle name="20% - Accent2 7 5" xfId="1143" xr:uid="{00000000-0005-0000-0000-0000D30C0000}"/>
    <cellStyle name="20% - Accent2 7 5 2" xfId="4673" xr:uid="{00000000-0005-0000-0000-0000D40C0000}"/>
    <cellStyle name="20% - Accent2 7 5 2 2" xfId="8264" xr:uid="{00000000-0005-0000-0000-0000D50C0000}"/>
    <cellStyle name="20% - Accent2 7 5 2 2 2" xfId="16235" xr:uid="{00000000-0005-0000-0000-0000D60C0000}"/>
    <cellStyle name="20% - Accent2 7 5 2 2 3" xfId="24181" xr:uid="{00000000-0005-0000-0000-0000D70C0000}"/>
    <cellStyle name="20% - Accent2 7 5 2 3" xfId="12697" xr:uid="{00000000-0005-0000-0000-0000D80C0000}"/>
    <cellStyle name="20% - Accent2 7 5 2 4" xfId="20652" xr:uid="{00000000-0005-0000-0000-0000D90C0000}"/>
    <cellStyle name="20% - Accent2 7 5 3" xfId="6505" xr:uid="{00000000-0005-0000-0000-0000DA0C0000}"/>
    <cellStyle name="20% - Accent2 7 5 3 2" xfId="14477" xr:uid="{00000000-0005-0000-0000-0000DB0C0000}"/>
    <cellStyle name="20% - Accent2 7 5 3 3" xfId="22424" xr:uid="{00000000-0005-0000-0000-0000DC0C0000}"/>
    <cellStyle name="20% - Accent2 7 5 4" xfId="10941" xr:uid="{00000000-0005-0000-0000-0000DD0C0000}"/>
    <cellStyle name="20% - Accent2 7 5 5" xfId="18896" xr:uid="{00000000-0005-0000-0000-0000DE0C0000}"/>
    <cellStyle name="20% - Accent2 7 5_Exh G" xfId="2168" xr:uid="{00000000-0005-0000-0000-0000DF0C0000}"/>
    <cellStyle name="20% - Accent2 7 6" xfId="3794" xr:uid="{00000000-0005-0000-0000-0000E00C0000}"/>
    <cellStyle name="20% - Accent2 7 6 2" xfId="7386" xr:uid="{00000000-0005-0000-0000-0000E10C0000}"/>
    <cellStyle name="20% - Accent2 7 6 2 2" xfId="15357" xr:uid="{00000000-0005-0000-0000-0000E20C0000}"/>
    <cellStyle name="20% - Accent2 7 6 2 3" xfId="23303" xr:uid="{00000000-0005-0000-0000-0000E30C0000}"/>
    <cellStyle name="20% - Accent2 7 6 3" xfId="11819" xr:uid="{00000000-0005-0000-0000-0000E40C0000}"/>
    <cellStyle name="20% - Accent2 7 6 4" xfId="19774" xr:uid="{00000000-0005-0000-0000-0000E50C0000}"/>
    <cellStyle name="20% - Accent2 7 7" xfId="5614" xr:uid="{00000000-0005-0000-0000-0000E60C0000}"/>
    <cellStyle name="20% - Accent2 7 7 2" xfId="13598" xr:uid="{00000000-0005-0000-0000-0000E70C0000}"/>
    <cellStyle name="20% - Accent2 7 7 3" xfId="21546" xr:uid="{00000000-0005-0000-0000-0000E80C0000}"/>
    <cellStyle name="20% - Accent2 7 8" xfId="9167" xr:uid="{00000000-0005-0000-0000-0000E90C0000}"/>
    <cellStyle name="20% - Accent2 7 8 2" xfId="17125" xr:uid="{00000000-0005-0000-0000-0000EA0C0000}"/>
    <cellStyle name="20% - Accent2 7 8 3" xfId="25069" xr:uid="{00000000-0005-0000-0000-0000EB0C0000}"/>
    <cellStyle name="20% - Accent2 7 9" xfId="10063" xr:uid="{00000000-0005-0000-0000-0000EC0C0000}"/>
    <cellStyle name="20% - Accent2 7_Exh G" xfId="2159" xr:uid="{00000000-0005-0000-0000-0000ED0C0000}"/>
    <cellStyle name="20% - Accent2 8" xfId="119" xr:uid="{00000000-0005-0000-0000-0000EE0C0000}"/>
    <cellStyle name="20% - Accent2 8 10" xfId="18022" xr:uid="{00000000-0005-0000-0000-0000EF0C0000}"/>
    <cellStyle name="20% - Accent2 8 2" xfId="120" xr:uid="{00000000-0005-0000-0000-0000F00C0000}"/>
    <cellStyle name="20% - Accent2 8 2 2" xfId="121" xr:uid="{00000000-0005-0000-0000-0000F10C0000}"/>
    <cellStyle name="20% - Accent2 8 2 2 2" xfId="1149" xr:uid="{00000000-0005-0000-0000-0000F20C0000}"/>
    <cellStyle name="20% - Accent2 8 2 2 2 2" xfId="4679" xr:uid="{00000000-0005-0000-0000-0000F30C0000}"/>
    <cellStyle name="20% - Accent2 8 2 2 2 2 2" xfId="8270" xr:uid="{00000000-0005-0000-0000-0000F40C0000}"/>
    <cellStyle name="20% - Accent2 8 2 2 2 2 2 2" xfId="16241" xr:uid="{00000000-0005-0000-0000-0000F50C0000}"/>
    <cellStyle name="20% - Accent2 8 2 2 2 2 2 3" xfId="24187" xr:uid="{00000000-0005-0000-0000-0000F60C0000}"/>
    <cellStyle name="20% - Accent2 8 2 2 2 2 3" xfId="12703" xr:uid="{00000000-0005-0000-0000-0000F70C0000}"/>
    <cellStyle name="20% - Accent2 8 2 2 2 2 4" xfId="20658" xr:uid="{00000000-0005-0000-0000-0000F80C0000}"/>
    <cellStyle name="20% - Accent2 8 2 2 2 3" xfId="6511" xr:uid="{00000000-0005-0000-0000-0000F90C0000}"/>
    <cellStyle name="20% - Accent2 8 2 2 2 3 2" xfId="14483" xr:uid="{00000000-0005-0000-0000-0000FA0C0000}"/>
    <cellStyle name="20% - Accent2 8 2 2 2 3 3" xfId="22430" xr:uid="{00000000-0005-0000-0000-0000FB0C0000}"/>
    <cellStyle name="20% - Accent2 8 2 2 2 4" xfId="10947" xr:uid="{00000000-0005-0000-0000-0000FC0C0000}"/>
    <cellStyle name="20% - Accent2 8 2 2 2 5" xfId="18902" xr:uid="{00000000-0005-0000-0000-0000FD0C0000}"/>
    <cellStyle name="20% - Accent2 8 2 2 2_Exh G" xfId="2172" xr:uid="{00000000-0005-0000-0000-0000FE0C0000}"/>
    <cellStyle name="20% - Accent2 8 2 2 3" xfId="3800" xr:uid="{00000000-0005-0000-0000-0000FF0C0000}"/>
    <cellStyle name="20% - Accent2 8 2 2 3 2" xfId="7392" xr:uid="{00000000-0005-0000-0000-0000000D0000}"/>
    <cellStyle name="20% - Accent2 8 2 2 3 2 2" xfId="15363" xr:uid="{00000000-0005-0000-0000-0000010D0000}"/>
    <cellStyle name="20% - Accent2 8 2 2 3 2 3" xfId="23309" xr:uid="{00000000-0005-0000-0000-0000020D0000}"/>
    <cellStyle name="20% - Accent2 8 2 2 3 3" xfId="11825" xr:uid="{00000000-0005-0000-0000-0000030D0000}"/>
    <cellStyle name="20% - Accent2 8 2 2 3 4" xfId="19780" xr:uid="{00000000-0005-0000-0000-0000040D0000}"/>
    <cellStyle name="20% - Accent2 8 2 2 4" xfId="5620" xr:uid="{00000000-0005-0000-0000-0000050D0000}"/>
    <cellStyle name="20% - Accent2 8 2 2 4 2" xfId="13604" xr:uid="{00000000-0005-0000-0000-0000060D0000}"/>
    <cellStyle name="20% - Accent2 8 2 2 4 3" xfId="21552" xr:uid="{00000000-0005-0000-0000-0000070D0000}"/>
    <cellStyle name="20% - Accent2 8 2 2 5" xfId="9173" xr:uid="{00000000-0005-0000-0000-0000080D0000}"/>
    <cellStyle name="20% - Accent2 8 2 2 5 2" xfId="17131" xr:uid="{00000000-0005-0000-0000-0000090D0000}"/>
    <cellStyle name="20% - Accent2 8 2 2 5 3" xfId="25075" xr:uid="{00000000-0005-0000-0000-00000A0D0000}"/>
    <cellStyle name="20% - Accent2 8 2 2 6" xfId="10069" xr:uid="{00000000-0005-0000-0000-00000B0D0000}"/>
    <cellStyle name="20% - Accent2 8 2 2 7" xfId="18024" xr:uid="{00000000-0005-0000-0000-00000C0D0000}"/>
    <cellStyle name="20% - Accent2 8 2 2_Exh G" xfId="2171" xr:uid="{00000000-0005-0000-0000-00000D0D0000}"/>
    <cellStyle name="20% - Accent2 8 2 3" xfId="1148" xr:uid="{00000000-0005-0000-0000-00000E0D0000}"/>
    <cellStyle name="20% - Accent2 8 2 3 2" xfId="4678" xr:uid="{00000000-0005-0000-0000-00000F0D0000}"/>
    <cellStyle name="20% - Accent2 8 2 3 2 2" xfId="8269" xr:uid="{00000000-0005-0000-0000-0000100D0000}"/>
    <cellStyle name="20% - Accent2 8 2 3 2 2 2" xfId="16240" xr:uid="{00000000-0005-0000-0000-0000110D0000}"/>
    <cellStyle name="20% - Accent2 8 2 3 2 2 3" xfId="24186" xr:uid="{00000000-0005-0000-0000-0000120D0000}"/>
    <cellStyle name="20% - Accent2 8 2 3 2 3" xfId="12702" xr:uid="{00000000-0005-0000-0000-0000130D0000}"/>
    <cellStyle name="20% - Accent2 8 2 3 2 4" xfId="20657" xr:uid="{00000000-0005-0000-0000-0000140D0000}"/>
    <cellStyle name="20% - Accent2 8 2 3 3" xfId="6510" xr:uid="{00000000-0005-0000-0000-0000150D0000}"/>
    <cellStyle name="20% - Accent2 8 2 3 3 2" xfId="14482" xr:uid="{00000000-0005-0000-0000-0000160D0000}"/>
    <cellStyle name="20% - Accent2 8 2 3 3 3" xfId="22429" xr:uid="{00000000-0005-0000-0000-0000170D0000}"/>
    <cellStyle name="20% - Accent2 8 2 3 4" xfId="10946" xr:uid="{00000000-0005-0000-0000-0000180D0000}"/>
    <cellStyle name="20% - Accent2 8 2 3 5" xfId="18901" xr:uid="{00000000-0005-0000-0000-0000190D0000}"/>
    <cellStyle name="20% - Accent2 8 2 3_Exh G" xfId="2173" xr:uid="{00000000-0005-0000-0000-00001A0D0000}"/>
    <cellStyle name="20% - Accent2 8 2 4" xfId="3799" xr:uid="{00000000-0005-0000-0000-00001B0D0000}"/>
    <cellStyle name="20% - Accent2 8 2 4 2" xfId="7391" xr:uid="{00000000-0005-0000-0000-00001C0D0000}"/>
    <cellStyle name="20% - Accent2 8 2 4 2 2" xfId="15362" xr:uid="{00000000-0005-0000-0000-00001D0D0000}"/>
    <cellStyle name="20% - Accent2 8 2 4 2 3" xfId="23308" xr:uid="{00000000-0005-0000-0000-00001E0D0000}"/>
    <cellStyle name="20% - Accent2 8 2 4 3" xfId="11824" xr:uid="{00000000-0005-0000-0000-00001F0D0000}"/>
    <cellStyle name="20% - Accent2 8 2 4 4" xfId="19779" xr:uid="{00000000-0005-0000-0000-0000200D0000}"/>
    <cellStyle name="20% - Accent2 8 2 5" xfId="5619" xr:uid="{00000000-0005-0000-0000-0000210D0000}"/>
    <cellStyle name="20% - Accent2 8 2 5 2" xfId="13603" xr:uid="{00000000-0005-0000-0000-0000220D0000}"/>
    <cellStyle name="20% - Accent2 8 2 5 3" xfId="21551" xr:uid="{00000000-0005-0000-0000-0000230D0000}"/>
    <cellStyle name="20% - Accent2 8 2 6" xfId="9172" xr:uid="{00000000-0005-0000-0000-0000240D0000}"/>
    <cellStyle name="20% - Accent2 8 2 6 2" xfId="17130" xr:uid="{00000000-0005-0000-0000-0000250D0000}"/>
    <cellStyle name="20% - Accent2 8 2 6 3" xfId="25074" xr:uid="{00000000-0005-0000-0000-0000260D0000}"/>
    <cellStyle name="20% - Accent2 8 2 7" xfId="10068" xr:uid="{00000000-0005-0000-0000-0000270D0000}"/>
    <cellStyle name="20% - Accent2 8 2 8" xfId="18023" xr:uid="{00000000-0005-0000-0000-0000280D0000}"/>
    <cellStyle name="20% - Accent2 8 2_Exh G" xfId="2170" xr:uid="{00000000-0005-0000-0000-0000290D0000}"/>
    <cellStyle name="20% - Accent2 8 3" xfId="122" xr:uid="{00000000-0005-0000-0000-00002A0D0000}"/>
    <cellStyle name="20% - Accent2 8 3 2" xfId="1150" xr:uid="{00000000-0005-0000-0000-00002B0D0000}"/>
    <cellStyle name="20% - Accent2 8 3 2 2" xfId="4680" xr:uid="{00000000-0005-0000-0000-00002C0D0000}"/>
    <cellStyle name="20% - Accent2 8 3 2 2 2" xfId="8271" xr:uid="{00000000-0005-0000-0000-00002D0D0000}"/>
    <cellStyle name="20% - Accent2 8 3 2 2 2 2" xfId="16242" xr:uid="{00000000-0005-0000-0000-00002E0D0000}"/>
    <cellStyle name="20% - Accent2 8 3 2 2 2 3" xfId="24188" xr:uid="{00000000-0005-0000-0000-00002F0D0000}"/>
    <cellStyle name="20% - Accent2 8 3 2 2 3" xfId="12704" xr:uid="{00000000-0005-0000-0000-0000300D0000}"/>
    <cellStyle name="20% - Accent2 8 3 2 2 4" xfId="20659" xr:uid="{00000000-0005-0000-0000-0000310D0000}"/>
    <cellStyle name="20% - Accent2 8 3 2 3" xfId="6512" xr:uid="{00000000-0005-0000-0000-0000320D0000}"/>
    <cellStyle name="20% - Accent2 8 3 2 3 2" xfId="14484" xr:uid="{00000000-0005-0000-0000-0000330D0000}"/>
    <cellStyle name="20% - Accent2 8 3 2 3 3" xfId="22431" xr:uid="{00000000-0005-0000-0000-0000340D0000}"/>
    <cellStyle name="20% - Accent2 8 3 2 4" xfId="10948" xr:uid="{00000000-0005-0000-0000-0000350D0000}"/>
    <cellStyle name="20% - Accent2 8 3 2 5" xfId="18903" xr:uid="{00000000-0005-0000-0000-0000360D0000}"/>
    <cellStyle name="20% - Accent2 8 3 2_Exh G" xfId="2175" xr:uid="{00000000-0005-0000-0000-0000370D0000}"/>
    <cellStyle name="20% - Accent2 8 3 3" xfId="3801" xr:uid="{00000000-0005-0000-0000-0000380D0000}"/>
    <cellStyle name="20% - Accent2 8 3 3 2" xfId="7393" xr:uid="{00000000-0005-0000-0000-0000390D0000}"/>
    <cellStyle name="20% - Accent2 8 3 3 2 2" xfId="15364" xr:uid="{00000000-0005-0000-0000-00003A0D0000}"/>
    <cellStyle name="20% - Accent2 8 3 3 2 3" xfId="23310" xr:uid="{00000000-0005-0000-0000-00003B0D0000}"/>
    <cellStyle name="20% - Accent2 8 3 3 3" xfId="11826" xr:uid="{00000000-0005-0000-0000-00003C0D0000}"/>
    <cellStyle name="20% - Accent2 8 3 3 4" xfId="19781" xr:uid="{00000000-0005-0000-0000-00003D0D0000}"/>
    <cellStyle name="20% - Accent2 8 3 4" xfId="5621" xr:uid="{00000000-0005-0000-0000-00003E0D0000}"/>
    <cellStyle name="20% - Accent2 8 3 4 2" xfId="13605" xr:uid="{00000000-0005-0000-0000-00003F0D0000}"/>
    <cellStyle name="20% - Accent2 8 3 4 3" xfId="21553" xr:uid="{00000000-0005-0000-0000-0000400D0000}"/>
    <cellStyle name="20% - Accent2 8 3 5" xfId="9174" xr:uid="{00000000-0005-0000-0000-0000410D0000}"/>
    <cellStyle name="20% - Accent2 8 3 5 2" xfId="17132" xr:uid="{00000000-0005-0000-0000-0000420D0000}"/>
    <cellStyle name="20% - Accent2 8 3 5 3" xfId="25076" xr:uid="{00000000-0005-0000-0000-0000430D0000}"/>
    <cellStyle name="20% - Accent2 8 3 6" xfId="10070" xr:uid="{00000000-0005-0000-0000-0000440D0000}"/>
    <cellStyle name="20% - Accent2 8 3 7" xfId="18025" xr:uid="{00000000-0005-0000-0000-0000450D0000}"/>
    <cellStyle name="20% - Accent2 8 3_Exh G" xfId="2174" xr:uid="{00000000-0005-0000-0000-0000460D0000}"/>
    <cellStyle name="20% - Accent2 8 4" xfId="884" xr:uid="{00000000-0005-0000-0000-0000470D0000}"/>
    <cellStyle name="20% - Accent2 8 4 2" xfId="1817" xr:uid="{00000000-0005-0000-0000-0000480D0000}"/>
    <cellStyle name="20% - Accent2 8 4 2 2" xfId="5335" xr:uid="{00000000-0005-0000-0000-0000490D0000}"/>
    <cellStyle name="20% - Accent2 8 4 2 2 2" xfId="8926" xr:uid="{00000000-0005-0000-0000-00004A0D0000}"/>
    <cellStyle name="20% - Accent2 8 4 2 2 2 2" xfId="16897" xr:uid="{00000000-0005-0000-0000-00004B0D0000}"/>
    <cellStyle name="20% - Accent2 8 4 2 2 2 3" xfId="24843" xr:uid="{00000000-0005-0000-0000-00004C0D0000}"/>
    <cellStyle name="20% - Accent2 8 4 2 2 3" xfId="13359" xr:uid="{00000000-0005-0000-0000-00004D0D0000}"/>
    <cellStyle name="20% - Accent2 8 4 2 2 4" xfId="21314" xr:uid="{00000000-0005-0000-0000-00004E0D0000}"/>
    <cellStyle name="20% - Accent2 8 4 2 3" xfId="7167" xr:uid="{00000000-0005-0000-0000-00004F0D0000}"/>
    <cellStyle name="20% - Accent2 8 4 2 3 2" xfId="15139" xr:uid="{00000000-0005-0000-0000-0000500D0000}"/>
    <cellStyle name="20% - Accent2 8 4 2 3 3" xfId="23086" xr:uid="{00000000-0005-0000-0000-0000510D0000}"/>
    <cellStyle name="20% - Accent2 8 4 2 4" xfId="11603" xr:uid="{00000000-0005-0000-0000-0000520D0000}"/>
    <cellStyle name="20% - Accent2 8 4 2 5" xfId="19558" xr:uid="{00000000-0005-0000-0000-0000530D0000}"/>
    <cellStyle name="20% - Accent2 8 4 2_Exh G" xfId="2177" xr:uid="{00000000-0005-0000-0000-0000540D0000}"/>
    <cellStyle name="20% - Accent2 8 4 3" xfId="4456" xr:uid="{00000000-0005-0000-0000-0000550D0000}"/>
    <cellStyle name="20% - Accent2 8 4 3 2" xfId="8048" xr:uid="{00000000-0005-0000-0000-0000560D0000}"/>
    <cellStyle name="20% - Accent2 8 4 3 2 2" xfId="16019" xr:uid="{00000000-0005-0000-0000-0000570D0000}"/>
    <cellStyle name="20% - Accent2 8 4 3 2 3" xfId="23965" xr:uid="{00000000-0005-0000-0000-0000580D0000}"/>
    <cellStyle name="20% - Accent2 8 4 3 3" xfId="12481" xr:uid="{00000000-0005-0000-0000-0000590D0000}"/>
    <cellStyle name="20% - Accent2 8 4 3 4" xfId="20436" xr:uid="{00000000-0005-0000-0000-00005A0D0000}"/>
    <cellStyle name="20% - Accent2 8 4 4" xfId="6286" xr:uid="{00000000-0005-0000-0000-00005B0D0000}"/>
    <cellStyle name="20% - Accent2 8 4 4 2" xfId="14261" xr:uid="{00000000-0005-0000-0000-00005C0D0000}"/>
    <cellStyle name="20% - Accent2 8 4 4 3" xfId="22208" xr:uid="{00000000-0005-0000-0000-00005D0D0000}"/>
    <cellStyle name="20% - Accent2 8 4 5" xfId="9829" xr:uid="{00000000-0005-0000-0000-00005E0D0000}"/>
    <cellStyle name="20% - Accent2 8 4 5 2" xfId="17787" xr:uid="{00000000-0005-0000-0000-00005F0D0000}"/>
    <cellStyle name="20% - Accent2 8 4 5 3" xfId="25731" xr:uid="{00000000-0005-0000-0000-0000600D0000}"/>
    <cellStyle name="20% - Accent2 8 4 6" xfId="10725" xr:uid="{00000000-0005-0000-0000-0000610D0000}"/>
    <cellStyle name="20% - Accent2 8 4 7" xfId="18680" xr:uid="{00000000-0005-0000-0000-0000620D0000}"/>
    <cellStyle name="20% - Accent2 8 4_Exh G" xfId="2176" xr:uid="{00000000-0005-0000-0000-0000630D0000}"/>
    <cellStyle name="20% - Accent2 8 5" xfId="1147" xr:uid="{00000000-0005-0000-0000-0000640D0000}"/>
    <cellStyle name="20% - Accent2 8 5 2" xfId="4677" xr:uid="{00000000-0005-0000-0000-0000650D0000}"/>
    <cellStyle name="20% - Accent2 8 5 2 2" xfId="8268" xr:uid="{00000000-0005-0000-0000-0000660D0000}"/>
    <cellStyle name="20% - Accent2 8 5 2 2 2" xfId="16239" xr:uid="{00000000-0005-0000-0000-0000670D0000}"/>
    <cellStyle name="20% - Accent2 8 5 2 2 3" xfId="24185" xr:uid="{00000000-0005-0000-0000-0000680D0000}"/>
    <cellStyle name="20% - Accent2 8 5 2 3" xfId="12701" xr:uid="{00000000-0005-0000-0000-0000690D0000}"/>
    <cellStyle name="20% - Accent2 8 5 2 4" xfId="20656" xr:uid="{00000000-0005-0000-0000-00006A0D0000}"/>
    <cellStyle name="20% - Accent2 8 5 3" xfId="6509" xr:uid="{00000000-0005-0000-0000-00006B0D0000}"/>
    <cellStyle name="20% - Accent2 8 5 3 2" xfId="14481" xr:uid="{00000000-0005-0000-0000-00006C0D0000}"/>
    <cellStyle name="20% - Accent2 8 5 3 3" xfId="22428" xr:uid="{00000000-0005-0000-0000-00006D0D0000}"/>
    <cellStyle name="20% - Accent2 8 5 4" xfId="10945" xr:uid="{00000000-0005-0000-0000-00006E0D0000}"/>
    <cellStyle name="20% - Accent2 8 5 5" xfId="18900" xr:uid="{00000000-0005-0000-0000-00006F0D0000}"/>
    <cellStyle name="20% - Accent2 8 5_Exh G" xfId="2178" xr:uid="{00000000-0005-0000-0000-0000700D0000}"/>
    <cellStyle name="20% - Accent2 8 6" xfId="3798" xr:uid="{00000000-0005-0000-0000-0000710D0000}"/>
    <cellStyle name="20% - Accent2 8 6 2" xfId="7390" xr:uid="{00000000-0005-0000-0000-0000720D0000}"/>
    <cellStyle name="20% - Accent2 8 6 2 2" xfId="15361" xr:uid="{00000000-0005-0000-0000-0000730D0000}"/>
    <cellStyle name="20% - Accent2 8 6 2 3" xfId="23307" xr:uid="{00000000-0005-0000-0000-0000740D0000}"/>
    <cellStyle name="20% - Accent2 8 6 3" xfId="11823" xr:uid="{00000000-0005-0000-0000-0000750D0000}"/>
    <cellStyle name="20% - Accent2 8 6 4" xfId="19778" xr:uid="{00000000-0005-0000-0000-0000760D0000}"/>
    <cellStyle name="20% - Accent2 8 7" xfId="5618" xr:uid="{00000000-0005-0000-0000-0000770D0000}"/>
    <cellStyle name="20% - Accent2 8 7 2" xfId="13602" xr:uid="{00000000-0005-0000-0000-0000780D0000}"/>
    <cellStyle name="20% - Accent2 8 7 3" xfId="21550" xr:uid="{00000000-0005-0000-0000-0000790D0000}"/>
    <cellStyle name="20% - Accent2 8 8" xfId="9171" xr:uid="{00000000-0005-0000-0000-00007A0D0000}"/>
    <cellStyle name="20% - Accent2 8 8 2" xfId="17129" xr:uid="{00000000-0005-0000-0000-00007B0D0000}"/>
    <cellStyle name="20% - Accent2 8 8 3" xfId="25073" xr:uid="{00000000-0005-0000-0000-00007C0D0000}"/>
    <cellStyle name="20% - Accent2 8 9" xfId="10067" xr:uid="{00000000-0005-0000-0000-00007D0D0000}"/>
    <cellStyle name="20% - Accent2 8_Exh G" xfId="2169" xr:uid="{00000000-0005-0000-0000-00007E0D0000}"/>
    <cellStyle name="20% - Accent2 9" xfId="123" xr:uid="{00000000-0005-0000-0000-00007F0D0000}"/>
    <cellStyle name="20% - Accent2 9 10" xfId="18026" xr:uid="{00000000-0005-0000-0000-0000800D0000}"/>
    <cellStyle name="20% - Accent2 9 2" xfId="124" xr:uid="{00000000-0005-0000-0000-0000810D0000}"/>
    <cellStyle name="20% - Accent2 9 2 2" xfId="125" xr:uid="{00000000-0005-0000-0000-0000820D0000}"/>
    <cellStyle name="20% - Accent2 9 2 2 2" xfId="1153" xr:uid="{00000000-0005-0000-0000-0000830D0000}"/>
    <cellStyle name="20% - Accent2 9 2 2 2 2" xfId="4683" xr:uid="{00000000-0005-0000-0000-0000840D0000}"/>
    <cellStyle name="20% - Accent2 9 2 2 2 2 2" xfId="8274" xr:uid="{00000000-0005-0000-0000-0000850D0000}"/>
    <cellStyle name="20% - Accent2 9 2 2 2 2 2 2" xfId="16245" xr:uid="{00000000-0005-0000-0000-0000860D0000}"/>
    <cellStyle name="20% - Accent2 9 2 2 2 2 2 3" xfId="24191" xr:uid="{00000000-0005-0000-0000-0000870D0000}"/>
    <cellStyle name="20% - Accent2 9 2 2 2 2 3" xfId="12707" xr:uid="{00000000-0005-0000-0000-0000880D0000}"/>
    <cellStyle name="20% - Accent2 9 2 2 2 2 4" xfId="20662" xr:uid="{00000000-0005-0000-0000-0000890D0000}"/>
    <cellStyle name="20% - Accent2 9 2 2 2 3" xfId="6515" xr:uid="{00000000-0005-0000-0000-00008A0D0000}"/>
    <cellStyle name="20% - Accent2 9 2 2 2 3 2" xfId="14487" xr:uid="{00000000-0005-0000-0000-00008B0D0000}"/>
    <cellStyle name="20% - Accent2 9 2 2 2 3 3" xfId="22434" xr:uid="{00000000-0005-0000-0000-00008C0D0000}"/>
    <cellStyle name="20% - Accent2 9 2 2 2 4" xfId="10951" xr:uid="{00000000-0005-0000-0000-00008D0D0000}"/>
    <cellStyle name="20% - Accent2 9 2 2 2 5" xfId="18906" xr:uid="{00000000-0005-0000-0000-00008E0D0000}"/>
    <cellStyle name="20% - Accent2 9 2 2 2_Exh G" xfId="2182" xr:uid="{00000000-0005-0000-0000-00008F0D0000}"/>
    <cellStyle name="20% - Accent2 9 2 2 3" xfId="3804" xr:uid="{00000000-0005-0000-0000-0000900D0000}"/>
    <cellStyle name="20% - Accent2 9 2 2 3 2" xfId="7396" xr:uid="{00000000-0005-0000-0000-0000910D0000}"/>
    <cellStyle name="20% - Accent2 9 2 2 3 2 2" xfId="15367" xr:uid="{00000000-0005-0000-0000-0000920D0000}"/>
    <cellStyle name="20% - Accent2 9 2 2 3 2 3" xfId="23313" xr:uid="{00000000-0005-0000-0000-0000930D0000}"/>
    <cellStyle name="20% - Accent2 9 2 2 3 3" xfId="11829" xr:uid="{00000000-0005-0000-0000-0000940D0000}"/>
    <cellStyle name="20% - Accent2 9 2 2 3 4" xfId="19784" xr:uid="{00000000-0005-0000-0000-0000950D0000}"/>
    <cellStyle name="20% - Accent2 9 2 2 4" xfId="5624" xr:uid="{00000000-0005-0000-0000-0000960D0000}"/>
    <cellStyle name="20% - Accent2 9 2 2 4 2" xfId="13608" xr:uid="{00000000-0005-0000-0000-0000970D0000}"/>
    <cellStyle name="20% - Accent2 9 2 2 4 3" xfId="21556" xr:uid="{00000000-0005-0000-0000-0000980D0000}"/>
    <cellStyle name="20% - Accent2 9 2 2 5" xfId="9177" xr:uid="{00000000-0005-0000-0000-0000990D0000}"/>
    <cellStyle name="20% - Accent2 9 2 2 5 2" xfId="17135" xr:uid="{00000000-0005-0000-0000-00009A0D0000}"/>
    <cellStyle name="20% - Accent2 9 2 2 5 3" xfId="25079" xr:uid="{00000000-0005-0000-0000-00009B0D0000}"/>
    <cellStyle name="20% - Accent2 9 2 2 6" xfId="10073" xr:uid="{00000000-0005-0000-0000-00009C0D0000}"/>
    <cellStyle name="20% - Accent2 9 2 2 7" xfId="18028" xr:uid="{00000000-0005-0000-0000-00009D0D0000}"/>
    <cellStyle name="20% - Accent2 9 2 2_Exh G" xfId="2181" xr:uid="{00000000-0005-0000-0000-00009E0D0000}"/>
    <cellStyle name="20% - Accent2 9 2 3" xfId="1152" xr:uid="{00000000-0005-0000-0000-00009F0D0000}"/>
    <cellStyle name="20% - Accent2 9 2 3 2" xfId="4682" xr:uid="{00000000-0005-0000-0000-0000A00D0000}"/>
    <cellStyle name="20% - Accent2 9 2 3 2 2" xfId="8273" xr:uid="{00000000-0005-0000-0000-0000A10D0000}"/>
    <cellStyle name="20% - Accent2 9 2 3 2 2 2" xfId="16244" xr:uid="{00000000-0005-0000-0000-0000A20D0000}"/>
    <cellStyle name="20% - Accent2 9 2 3 2 2 3" xfId="24190" xr:uid="{00000000-0005-0000-0000-0000A30D0000}"/>
    <cellStyle name="20% - Accent2 9 2 3 2 3" xfId="12706" xr:uid="{00000000-0005-0000-0000-0000A40D0000}"/>
    <cellStyle name="20% - Accent2 9 2 3 2 4" xfId="20661" xr:uid="{00000000-0005-0000-0000-0000A50D0000}"/>
    <cellStyle name="20% - Accent2 9 2 3 3" xfId="6514" xr:uid="{00000000-0005-0000-0000-0000A60D0000}"/>
    <cellStyle name="20% - Accent2 9 2 3 3 2" xfId="14486" xr:uid="{00000000-0005-0000-0000-0000A70D0000}"/>
    <cellStyle name="20% - Accent2 9 2 3 3 3" xfId="22433" xr:uid="{00000000-0005-0000-0000-0000A80D0000}"/>
    <cellStyle name="20% - Accent2 9 2 3 4" xfId="10950" xr:uid="{00000000-0005-0000-0000-0000A90D0000}"/>
    <cellStyle name="20% - Accent2 9 2 3 5" xfId="18905" xr:uid="{00000000-0005-0000-0000-0000AA0D0000}"/>
    <cellStyle name="20% - Accent2 9 2 3_Exh G" xfId="2183" xr:uid="{00000000-0005-0000-0000-0000AB0D0000}"/>
    <cellStyle name="20% - Accent2 9 2 4" xfId="3803" xr:uid="{00000000-0005-0000-0000-0000AC0D0000}"/>
    <cellStyle name="20% - Accent2 9 2 4 2" xfId="7395" xr:uid="{00000000-0005-0000-0000-0000AD0D0000}"/>
    <cellStyle name="20% - Accent2 9 2 4 2 2" xfId="15366" xr:uid="{00000000-0005-0000-0000-0000AE0D0000}"/>
    <cellStyle name="20% - Accent2 9 2 4 2 3" xfId="23312" xr:uid="{00000000-0005-0000-0000-0000AF0D0000}"/>
    <cellStyle name="20% - Accent2 9 2 4 3" xfId="11828" xr:uid="{00000000-0005-0000-0000-0000B00D0000}"/>
    <cellStyle name="20% - Accent2 9 2 4 4" xfId="19783" xr:uid="{00000000-0005-0000-0000-0000B10D0000}"/>
    <cellStyle name="20% - Accent2 9 2 5" xfId="5623" xr:uid="{00000000-0005-0000-0000-0000B20D0000}"/>
    <cellStyle name="20% - Accent2 9 2 5 2" xfId="13607" xr:uid="{00000000-0005-0000-0000-0000B30D0000}"/>
    <cellStyle name="20% - Accent2 9 2 5 3" xfId="21555" xr:uid="{00000000-0005-0000-0000-0000B40D0000}"/>
    <cellStyle name="20% - Accent2 9 2 6" xfId="9176" xr:uid="{00000000-0005-0000-0000-0000B50D0000}"/>
    <cellStyle name="20% - Accent2 9 2 6 2" xfId="17134" xr:uid="{00000000-0005-0000-0000-0000B60D0000}"/>
    <cellStyle name="20% - Accent2 9 2 6 3" xfId="25078" xr:uid="{00000000-0005-0000-0000-0000B70D0000}"/>
    <cellStyle name="20% - Accent2 9 2 7" xfId="10072" xr:uid="{00000000-0005-0000-0000-0000B80D0000}"/>
    <cellStyle name="20% - Accent2 9 2 8" xfId="18027" xr:uid="{00000000-0005-0000-0000-0000B90D0000}"/>
    <cellStyle name="20% - Accent2 9 2_Exh G" xfId="2180" xr:uid="{00000000-0005-0000-0000-0000BA0D0000}"/>
    <cellStyle name="20% - Accent2 9 3" xfId="126" xr:uid="{00000000-0005-0000-0000-0000BB0D0000}"/>
    <cellStyle name="20% - Accent2 9 3 2" xfId="1154" xr:uid="{00000000-0005-0000-0000-0000BC0D0000}"/>
    <cellStyle name="20% - Accent2 9 3 2 2" xfId="4684" xr:uid="{00000000-0005-0000-0000-0000BD0D0000}"/>
    <cellStyle name="20% - Accent2 9 3 2 2 2" xfId="8275" xr:uid="{00000000-0005-0000-0000-0000BE0D0000}"/>
    <cellStyle name="20% - Accent2 9 3 2 2 2 2" xfId="16246" xr:uid="{00000000-0005-0000-0000-0000BF0D0000}"/>
    <cellStyle name="20% - Accent2 9 3 2 2 2 3" xfId="24192" xr:uid="{00000000-0005-0000-0000-0000C00D0000}"/>
    <cellStyle name="20% - Accent2 9 3 2 2 3" xfId="12708" xr:uid="{00000000-0005-0000-0000-0000C10D0000}"/>
    <cellStyle name="20% - Accent2 9 3 2 2 4" xfId="20663" xr:uid="{00000000-0005-0000-0000-0000C20D0000}"/>
    <cellStyle name="20% - Accent2 9 3 2 3" xfId="6516" xr:uid="{00000000-0005-0000-0000-0000C30D0000}"/>
    <cellStyle name="20% - Accent2 9 3 2 3 2" xfId="14488" xr:uid="{00000000-0005-0000-0000-0000C40D0000}"/>
    <cellStyle name="20% - Accent2 9 3 2 3 3" xfId="22435" xr:uid="{00000000-0005-0000-0000-0000C50D0000}"/>
    <cellStyle name="20% - Accent2 9 3 2 4" xfId="10952" xr:uid="{00000000-0005-0000-0000-0000C60D0000}"/>
    <cellStyle name="20% - Accent2 9 3 2 5" xfId="18907" xr:uid="{00000000-0005-0000-0000-0000C70D0000}"/>
    <cellStyle name="20% - Accent2 9 3 2_Exh G" xfId="2185" xr:uid="{00000000-0005-0000-0000-0000C80D0000}"/>
    <cellStyle name="20% - Accent2 9 3 3" xfId="3805" xr:uid="{00000000-0005-0000-0000-0000C90D0000}"/>
    <cellStyle name="20% - Accent2 9 3 3 2" xfId="7397" xr:uid="{00000000-0005-0000-0000-0000CA0D0000}"/>
    <cellStyle name="20% - Accent2 9 3 3 2 2" xfId="15368" xr:uid="{00000000-0005-0000-0000-0000CB0D0000}"/>
    <cellStyle name="20% - Accent2 9 3 3 2 3" xfId="23314" xr:uid="{00000000-0005-0000-0000-0000CC0D0000}"/>
    <cellStyle name="20% - Accent2 9 3 3 3" xfId="11830" xr:uid="{00000000-0005-0000-0000-0000CD0D0000}"/>
    <cellStyle name="20% - Accent2 9 3 3 4" xfId="19785" xr:uid="{00000000-0005-0000-0000-0000CE0D0000}"/>
    <cellStyle name="20% - Accent2 9 3 4" xfId="5625" xr:uid="{00000000-0005-0000-0000-0000CF0D0000}"/>
    <cellStyle name="20% - Accent2 9 3 4 2" xfId="13609" xr:uid="{00000000-0005-0000-0000-0000D00D0000}"/>
    <cellStyle name="20% - Accent2 9 3 4 3" xfId="21557" xr:uid="{00000000-0005-0000-0000-0000D10D0000}"/>
    <cellStyle name="20% - Accent2 9 3 5" xfId="9178" xr:uid="{00000000-0005-0000-0000-0000D20D0000}"/>
    <cellStyle name="20% - Accent2 9 3 5 2" xfId="17136" xr:uid="{00000000-0005-0000-0000-0000D30D0000}"/>
    <cellStyle name="20% - Accent2 9 3 5 3" xfId="25080" xr:uid="{00000000-0005-0000-0000-0000D40D0000}"/>
    <cellStyle name="20% - Accent2 9 3 6" xfId="10074" xr:uid="{00000000-0005-0000-0000-0000D50D0000}"/>
    <cellStyle name="20% - Accent2 9 3 7" xfId="18029" xr:uid="{00000000-0005-0000-0000-0000D60D0000}"/>
    <cellStyle name="20% - Accent2 9 3_Exh G" xfId="2184" xr:uid="{00000000-0005-0000-0000-0000D70D0000}"/>
    <cellStyle name="20% - Accent2 9 4" xfId="885" xr:uid="{00000000-0005-0000-0000-0000D80D0000}"/>
    <cellStyle name="20% - Accent2 9 4 2" xfId="1818" xr:uid="{00000000-0005-0000-0000-0000D90D0000}"/>
    <cellStyle name="20% - Accent2 9 4 2 2" xfId="5336" xr:uid="{00000000-0005-0000-0000-0000DA0D0000}"/>
    <cellStyle name="20% - Accent2 9 4 2 2 2" xfId="8927" xr:uid="{00000000-0005-0000-0000-0000DB0D0000}"/>
    <cellStyle name="20% - Accent2 9 4 2 2 2 2" xfId="16898" xr:uid="{00000000-0005-0000-0000-0000DC0D0000}"/>
    <cellStyle name="20% - Accent2 9 4 2 2 2 3" xfId="24844" xr:uid="{00000000-0005-0000-0000-0000DD0D0000}"/>
    <cellStyle name="20% - Accent2 9 4 2 2 3" xfId="13360" xr:uid="{00000000-0005-0000-0000-0000DE0D0000}"/>
    <cellStyle name="20% - Accent2 9 4 2 2 4" xfId="21315" xr:uid="{00000000-0005-0000-0000-0000DF0D0000}"/>
    <cellStyle name="20% - Accent2 9 4 2 3" xfId="7168" xr:uid="{00000000-0005-0000-0000-0000E00D0000}"/>
    <cellStyle name="20% - Accent2 9 4 2 3 2" xfId="15140" xr:uid="{00000000-0005-0000-0000-0000E10D0000}"/>
    <cellStyle name="20% - Accent2 9 4 2 3 3" xfId="23087" xr:uid="{00000000-0005-0000-0000-0000E20D0000}"/>
    <cellStyle name="20% - Accent2 9 4 2 4" xfId="11604" xr:uid="{00000000-0005-0000-0000-0000E30D0000}"/>
    <cellStyle name="20% - Accent2 9 4 2 5" xfId="19559" xr:uid="{00000000-0005-0000-0000-0000E40D0000}"/>
    <cellStyle name="20% - Accent2 9 4 2_Exh G" xfId="2187" xr:uid="{00000000-0005-0000-0000-0000E50D0000}"/>
    <cellStyle name="20% - Accent2 9 4 3" xfId="4457" xr:uid="{00000000-0005-0000-0000-0000E60D0000}"/>
    <cellStyle name="20% - Accent2 9 4 3 2" xfId="8049" xr:uid="{00000000-0005-0000-0000-0000E70D0000}"/>
    <cellStyle name="20% - Accent2 9 4 3 2 2" xfId="16020" xr:uid="{00000000-0005-0000-0000-0000E80D0000}"/>
    <cellStyle name="20% - Accent2 9 4 3 2 3" xfId="23966" xr:uid="{00000000-0005-0000-0000-0000E90D0000}"/>
    <cellStyle name="20% - Accent2 9 4 3 3" xfId="12482" xr:uid="{00000000-0005-0000-0000-0000EA0D0000}"/>
    <cellStyle name="20% - Accent2 9 4 3 4" xfId="20437" xr:uid="{00000000-0005-0000-0000-0000EB0D0000}"/>
    <cellStyle name="20% - Accent2 9 4 4" xfId="6287" xr:uid="{00000000-0005-0000-0000-0000EC0D0000}"/>
    <cellStyle name="20% - Accent2 9 4 4 2" xfId="14262" xr:uid="{00000000-0005-0000-0000-0000ED0D0000}"/>
    <cellStyle name="20% - Accent2 9 4 4 3" xfId="22209" xr:uid="{00000000-0005-0000-0000-0000EE0D0000}"/>
    <cellStyle name="20% - Accent2 9 4 5" xfId="9830" xr:uid="{00000000-0005-0000-0000-0000EF0D0000}"/>
    <cellStyle name="20% - Accent2 9 4 5 2" xfId="17788" xr:uid="{00000000-0005-0000-0000-0000F00D0000}"/>
    <cellStyle name="20% - Accent2 9 4 5 3" xfId="25732" xr:uid="{00000000-0005-0000-0000-0000F10D0000}"/>
    <cellStyle name="20% - Accent2 9 4 6" xfId="10726" xr:uid="{00000000-0005-0000-0000-0000F20D0000}"/>
    <cellStyle name="20% - Accent2 9 4 7" xfId="18681" xr:uid="{00000000-0005-0000-0000-0000F30D0000}"/>
    <cellStyle name="20% - Accent2 9 4_Exh G" xfId="2186" xr:uid="{00000000-0005-0000-0000-0000F40D0000}"/>
    <cellStyle name="20% - Accent2 9 5" xfId="1151" xr:uid="{00000000-0005-0000-0000-0000F50D0000}"/>
    <cellStyle name="20% - Accent2 9 5 2" xfId="4681" xr:uid="{00000000-0005-0000-0000-0000F60D0000}"/>
    <cellStyle name="20% - Accent2 9 5 2 2" xfId="8272" xr:uid="{00000000-0005-0000-0000-0000F70D0000}"/>
    <cellStyle name="20% - Accent2 9 5 2 2 2" xfId="16243" xr:uid="{00000000-0005-0000-0000-0000F80D0000}"/>
    <cellStyle name="20% - Accent2 9 5 2 2 3" xfId="24189" xr:uid="{00000000-0005-0000-0000-0000F90D0000}"/>
    <cellStyle name="20% - Accent2 9 5 2 3" xfId="12705" xr:uid="{00000000-0005-0000-0000-0000FA0D0000}"/>
    <cellStyle name="20% - Accent2 9 5 2 4" xfId="20660" xr:uid="{00000000-0005-0000-0000-0000FB0D0000}"/>
    <cellStyle name="20% - Accent2 9 5 3" xfId="6513" xr:uid="{00000000-0005-0000-0000-0000FC0D0000}"/>
    <cellStyle name="20% - Accent2 9 5 3 2" xfId="14485" xr:uid="{00000000-0005-0000-0000-0000FD0D0000}"/>
    <cellStyle name="20% - Accent2 9 5 3 3" xfId="22432" xr:uid="{00000000-0005-0000-0000-0000FE0D0000}"/>
    <cellStyle name="20% - Accent2 9 5 4" xfId="10949" xr:uid="{00000000-0005-0000-0000-0000FF0D0000}"/>
    <cellStyle name="20% - Accent2 9 5 5" xfId="18904" xr:uid="{00000000-0005-0000-0000-0000000E0000}"/>
    <cellStyle name="20% - Accent2 9 5_Exh G" xfId="2188" xr:uid="{00000000-0005-0000-0000-0000010E0000}"/>
    <cellStyle name="20% - Accent2 9 6" xfId="3802" xr:uid="{00000000-0005-0000-0000-0000020E0000}"/>
    <cellStyle name="20% - Accent2 9 6 2" xfId="7394" xr:uid="{00000000-0005-0000-0000-0000030E0000}"/>
    <cellStyle name="20% - Accent2 9 6 2 2" xfId="15365" xr:uid="{00000000-0005-0000-0000-0000040E0000}"/>
    <cellStyle name="20% - Accent2 9 6 2 3" xfId="23311" xr:uid="{00000000-0005-0000-0000-0000050E0000}"/>
    <cellStyle name="20% - Accent2 9 6 3" xfId="11827" xr:uid="{00000000-0005-0000-0000-0000060E0000}"/>
    <cellStyle name="20% - Accent2 9 6 4" xfId="19782" xr:uid="{00000000-0005-0000-0000-0000070E0000}"/>
    <cellStyle name="20% - Accent2 9 7" xfId="5622" xr:uid="{00000000-0005-0000-0000-0000080E0000}"/>
    <cellStyle name="20% - Accent2 9 7 2" xfId="13606" xr:uid="{00000000-0005-0000-0000-0000090E0000}"/>
    <cellStyle name="20% - Accent2 9 7 3" xfId="21554" xr:uid="{00000000-0005-0000-0000-00000A0E0000}"/>
    <cellStyle name="20% - Accent2 9 8" xfId="9175" xr:uid="{00000000-0005-0000-0000-00000B0E0000}"/>
    <cellStyle name="20% - Accent2 9 8 2" xfId="17133" xr:uid="{00000000-0005-0000-0000-00000C0E0000}"/>
    <cellStyle name="20% - Accent2 9 8 3" xfId="25077" xr:uid="{00000000-0005-0000-0000-00000D0E0000}"/>
    <cellStyle name="20% - Accent2 9 9" xfId="10071" xr:uid="{00000000-0005-0000-0000-00000E0E0000}"/>
    <cellStyle name="20% - Accent2 9_Exh G" xfId="2179" xr:uid="{00000000-0005-0000-0000-00000F0E0000}"/>
    <cellStyle name="20% - Accent3 10" xfId="127" xr:uid="{00000000-0005-0000-0000-0000100E0000}"/>
    <cellStyle name="20% - Accent3 10 10" xfId="18030" xr:uid="{00000000-0005-0000-0000-0000110E0000}"/>
    <cellStyle name="20% - Accent3 10 2" xfId="128" xr:uid="{00000000-0005-0000-0000-0000120E0000}"/>
    <cellStyle name="20% - Accent3 10 2 2" xfId="129" xr:uid="{00000000-0005-0000-0000-0000130E0000}"/>
    <cellStyle name="20% - Accent3 10 2 2 2" xfId="1157" xr:uid="{00000000-0005-0000-0000-0000140E0000}"/>
    <cellStyle name="20% - Accent3 10 2 2 2 2" xfId="4687" xr:uid="{00000000-0005-0000-0000-0000150E0000}"/>
    <cellStyle name="20% - Accent3 10 2 2 2 2 2" xfId="8278" xr:uid="{00000000-0005-0000-0000-0000160E0000}"/>
    <cellStyle name="20% - Accent3 10 2 2 2 2 2 2" xfId="16249" xr:uid="{00000000-0005-0000-0000-0000170E0000}"/>
    <cellStyle name="20% - Accent3 10 2 2 2 2 2 3" xfId="24195" xr:uid="{00000000-0005-0000-0000-0000180E0000}"/>
    <cellStyle name="20% - Accent3 10 2 2 2 2 3" xfId="12711" xr:uid="{00000000-0005-0000-0000-0000190E0000}"/>
    <cellStyle name="20% - Accent3 10 2 2 2 2 4" xfId="20666" xr:uid="{00000000-0005-0000-0000-00001A0E0000}"/>
    <cellStyle name="20% - Accent3 10 2 2 2 3" xfId="6519" xr:uid="{00000000-0005-0000-0000-00001B0E0000}"/>
    <cellStyle name="20% - Accent3 10 2 2 2 3 2" xfId="14491" xr:uid="{00000000-0005-0000-0000-00001C0E0000}"/>
    <cellStyle name="20% - Accent3 10 2 2 2 3 3" xfId="22438" xr:uid="{00000000-0005-0000-0000-00001D0E0000}"/>
    <cellStyle name="20% - Accent3 10 2 2 2 4" xfId="10955" xr:uid="{00000000-0005-0000-0000-00001E0E0000}"/>
    <cellStyle name="20% - Accent3 10 2 2 2 5" xfId="18910" xr:uid="{00000000-0005-0000-0000-00001F0E0000}"/>
    <cellStyle name="20% - Accent3 10 2 2 2_Exh G" xfId="2192" xr:uid="{00000000-0005-0000-0000-0000200E0000}"/>
    <cellStyle name="20% - Accent3 10 2 2 3" xfId="3808" xr:uid="{00000000-0005-0000-0000-0000210E0000}"/>
    <cellStyle name="20% - Accent3 10 2 2 3 2" xfId="7400" xr:uid="{00000000-0005-0000-0000-0000220E0000}"/>
    <cellStyle name="20% - Accent3 10 2 2 3 2 2" xfId="15371" xr:uid="{00000000-0005-0000-0000-0000230E0000}"/>
    <cellStyle name="20% - Accent3 10 2 2 3 2 3" xfId="23317" xr:uid="{00000000-0005-0000-0000-0000240E0000}"/>
    <cellStyle name="20% - Accent3 10 2 2 3 3" xfId="11833" xr:uid="{00000000-0005-0000-0000-0000250E0000}"/>
    <cellStyle name="20% - Accent3 10 2 2 3 4" xfId="19788" xr:uid="{00000000-0005-0000-0000-0000260E0000}"/>
    <cellStyle name="20% - Accent3 10 2 2 4" xfId="5628" xr:uid="{00000000-0005-0000-0000-0000270E0000}"/>
    <cellStyle name="20% - Accent3 10 2 2 4 2" xfId="13612" xr:uid="{00000000-0005-0000-0000-0000280E0000}"/>
    <cellStyle name="20% - Accent3 10 2 2 4 3" xfId="21560" xr:uid="{00000000-0005-0000-0000-0000290E0000}"/>
    <cellStyle name="20% - Accent3 10 2 2 5" xfId="9181" xr:uid="{00000000-0005-0000-0000-00002A0E0000}"/>
    <cellStyle name="20% - Accent3 10 2 2 5 2" xfId="17139" xr:uid="{00000000-0005-0000-0000-00002B0E0000}"/>
    <cellStyle name="20% - Accent3 10 2 2 5 3" xfId="25083" xr:uid="{00000000-0005-0000-0000-00002C0E0000}"/>
    <cellStyle name="20% - Accent3 10 2 2 6" xfId="10077" xr:uid="{00000000-0005-0000-0000-00002D0E0000}"/>
    <cellStyle name="20% - Accent3 10 2 2 7" xfId="18032" xr:uid="{00000000-0005-0000-0000-00002E0E0000}"/>
    <cellStyle name="20% - Accent3 10 2 2_Exh G" xfId="2191" xr:uid="{00000000-0005-0000-0000-00002F0E0000}"/>
    <cellStyle name="20% - Accent3 10 2 3" xfId="1156" xr:uid="{00000000-0005-0000-0000-0000300E0000}"/>
    <cellStyle name="20% - Accent3 10 2 3 2" xfId="4686" xr:uid="{00000000-0005-0000-0000-0000310E0000}"/>
    <cellStyle name="20% - Accent3 10 2 3 2 2" xfId="8277" xr:uid="{00000000-0005-0000-0000-0000320E0000}"/>
    <cellStyle name="20% - Accent3 10 2 3 2 2 2" xfId="16248" xr:uid="{00000000-0005-0000-0000-0000330E0000}"/>
    <cellStyle name="20% - Accent3 10 2 3 2 2 3" xfId="24194" xr:uid="{00000000-0005-0000-0000-0000340E0000}"/>
    <cellStyle name="20% - Accent3 10 2 3 2 3" xfId="12710" xr:uid="{00000000-0005-0000-0000-0000350E0000}"/>
    <cellStyle name="20% - Accent3 10 2 3 2 4" xfId="20665" xr:uid="{00000000-0005-0000-0000-0000360E0000}"/>
    <cellStyle name="20% - Accent3 10 2 3 3" xfId="6518" xr:uid="{00000000-0005-0000-0000-0000370E0000}"/>
    <cellStyle name="20% - Accent3 10 2 3 3 2" xfId="14490" xr:uid="{00000000-0005-0000-0000-0000380E0000}"/>
    <cellStyle name="20% - Accent3 10 2 3 3 3" xfId="22437" xr:uid="{00000000-0005-0000-0000-0000390E0000}"/>
    <cellStyle name="20% - Accent3 10 2 3 4" xfId="10954" xr:uid="{00000000-0005-0000-0000-00003A0E0000}"/>
    <cellStyle name="20% - Accent3 10 2 3 5" xfId="18909" xr:uid="{00000000-0005-0000-0000-00003B0E0000}"/>
    <cellStyle name="20% - Accent3 10 2 3_Exh G" xfId="2193" xr:uid="{00000000-0005-0000-0000-00003C0E0000}"/>
    <cellStyle name="20% - Accent3 10 2 4" xfId="3807" xr:uid="{00000000-0005-0000-0000-00003D0E0000}"/>
    <cellStyle name="20% - Accent3 10 2 4 2" xfId="7399" xr:uid="{00000000-0005-0000-0000-00003E0E0000}"/>
    <cellStyle name="20% - Accent3 10 2 4 2 2" xfId="15370" xr:uid="{00000000-0005-0000-0000-00003F0E0000}"/>
    <cellStyle name="20% - Accent3 10 2 4 2 3" xfId="23316" xr:uid="{00000000-0005-0000-0000-0000400E0000}"/>
    <cellStyle name="20% - Accent3 10 2 4 3" xfId="11832" xr:uid="{00000000-0005-0000-0000-0000410E0000}"/>
    <cellStyle name="20% - Accent3 10 2 4 4" xfId="19787" xr:uid="{00000000-0005-0000-0000-0000420E0000}"/>
    <cellStyle name="20% - Accent3 10 2 5" xfId="5627" xr:uid="{00000000-0005-0000-0000-0000430E0000}"/>
    <cellStyle name="20% - Accent3 10 2 5 2" xfId="13611" xr:uid="{00000000-0005-0000-0000-0000440E0000}"/>
    <cellStyle name="20% - Accent3 10 2 5 3" xfId="21559" xr:uid="{00000000-0005-0000-0000-0000450E0000}"/>
    <cellStyle name="20% - Accent3 10 2 6" xfId="9180" xr:uid="{00000000-0005-0000-0000-0000460E0000}"/>
    <cellStyle name="20% - Accent3 10 2 6 2" xfId="17138" xr:uid="{00000000-0005-0000-0000-0000470E0000}"/>
    <cellStyle name="20% - Accent3 10 2 6 3" xfId="25082" xr:uid="{00000000-0005-0000-0000-0000480E0000}"/>
    <cellStyle name="20% - Accent3 10 2 7" xfId="10076" xr:uid="{00000000-0005-0000-0000-0000490E0000}"/>
    <cellStyle name="20% - Accent3 10 2 8" xfId="18031" xr:uid="{00000000-0005-0000-0000-00004A0E0000}"/>
    <cellStyle name="20% - Accent3 10 2_Exh G" xfId="2190" xr:uid="{00000000-0005-0000-0000-00004B0E0000}"/>
    <cellStyle name="20% - Accent3 10 3" xfId="130" xr:uid="{00000000-0005-0000-0000-00004C0E0000}"/>
    <cellStyle name="20% - Accent3 10 3 2" xfId="1158" xr:uid="{00000000-0005-0000-0000-00004D0E0000}"/>
    <cellStyle name="20% - Accent3 10 3 2 2" xfId="4688" xr:uid="{00000000-0005-0000-0000-00004E0E0000}"/>
    <cellStyle name="20% - Accent3 10 3 2 2 2" xfId="8279" xr:uid="{00000000-0005-0000-0000-00004F0E0000}"/>
    <cellStyle name="20% - Accent3 10 3 2 2 2 2" xfId="16250" xr:uid="{00000000-0005-0000-0000-0000500E0000}"/>
    <cellStyle name="20% - Accent3 10 3 2 2 2 3" xfId="24196" xr:uid="{00000000-0005-0000-0000-0000510E0000}"/>
    <cellStyle name="20% - Accent3 10 3 2 2 3" xfId="12712" xr:uid="{00000000-0005-0000-0000-0000520E0000}"/>
    <cellStyle name="20% - Accent3 10 3 2 2 4" xfId="20667" xr:uid="{00000000-0005-0000-0000-0000530E0000}"/>
    <cellStyle name="20% - Accent3 10 3 2 3" xfId="6520" xr:uid="{00000000-0005-0000-0000-0000540E0000}"/>
    <cellStyle name="20% - Accent3 10 3 2 3 2" xfId="14492" xr:uid="{00000000-0005-0000-0000-0000550E0000}"/>
    <cellStyle name="20% - Accent3 10 3 2 3 3" xfId="22439" xr:uid="{00000000-0005-0000-0000-0000560E0000}"/>
    <cellStyle name="20% - Accent3 10 3 2 4" xfId="10956" xr:uid="{00000000-0005-0000-0000-0000570E0000}"/>
    <cellStyle name="20% - Accent3 10 3 2 5" xfId="18911" xr:uid="{00000000-0005-0000-0000-0000580E0000}"/>
    <cellStyle name="20% - Accent3 10 3 2_Exh G" xfId="2195" xr:uid="{00000000-0005-0000-0000-0000590E0000}"/>
    <cellStyle name="20% - Accent3 10 3 3" xfId="3809" xr:uid="{00000000-0005-0000-0000-00005A0E0000}"/>
    <cellStyle name="20% - Accent3 10 3 3 2" xfId="7401" xr:uid="{00000000-0005-0000-0000-00005B0E0000}"/>
    <cellStyle name="20% - Accent3 10 3 3 2 2" xfId="15372" xr:uid="{00000000-0005-0000-0000-00005C0E0000}"/>
    <cellStyle name="20% - Accent3 10 3 3 2 3" xfId="23318" xr:uid="{00000000-0005-0000-0000-00005D0E0000}"/>
    <cellStyle name="20% - Accent3 10 3 3 3" xfId="11834" xr:uid="{00000000-0005-0000-0000-00005E0E0000}"/>
    <cellStyle name="20% - Accent3 10 3 3 4" xfId="19789" xr:uid="{00000000-0005-0000-0000-00005F0E0000}"/>
    <cellStyle name="20% - Accent3 10 3 4" xfId="5629" xr:uid="{00000000-0005-0000-0000-0000600E0000}"/>
    <cellStyle name="20% - Accent3 10 3 4 2" xfId="13613" xr:uid="{00000000-0005-0000-0000-0000610E0000}"/>
    <cellStyle name="20% - Accent3 10 3 4 3" xfId="21561" xr:uid="{00000000-0005-0000-0000-0000620E0000}"/>
    <cellStyle name="20% - Accent3 10 3 5" xfId="9182" xr:uid="{00000000-0005-0000-0000-0000630E0000}"/>
    <cellStyle name="20% - Accent3 10 3 5 2" xfId="17140" xr:uid="{00000000-0005-0000-0000-0000640E0000}"/>
    <cellStyle name="20% - Accent3 10 3 5 3" xfId="25084" xr:uid="{00000000-0005-0000-0000-0000650E0000}"/>
    <cellStyle name="20% - Accent3 10 3 6" xfId="10078" xr:uid="{00000000-0005-0000-0000-0000660E0000}"/>
    <cellStyle name="20% - Accent3 10 3 7" xfId="18033" xr:uid="{00000000-0005-0000-0000-0000670E0000}"/>
    <cellStyle name="20% - Accent3 10 3_Exh G" xfId="2194" xr:uid="{00000000-0005-0000-0000-0000680E0000}"/>
    <cellStyle name="20% - Accent3 10 4" xfId="886" xr:uid="{00000000-0005-0000-0000-0000690E0000}"/>
    <cellStyle name="20% - Accent3 10 5" xfId="1155" xr:uid="{00000000-0005-0000-0000-00006A0E0000}"/>
    <cellStyle name="20% - Accent3 10 5 2" xfId="4685" xr:uid="{00000000-0005-0000-0000-00006B0E0000}"/>
    <cellStyle name="20% - Accent3 10 5 2 2" xfId="8276" xr:uid="{00000000-0005-0000-0000-00006C0E0000}"/>
    <cellStyle name="20% - Accent3 10 5 2 2 2" xfId="16247" xr:uid="{00000000-0005-0000-0000-00006D0E0000}"/>
    <cellStyle name="20% - Accent3 10 5 2 2 3" xfId="24193" xr:uid="{00000000-0005-0000-0000-00006E0E0000}"/>
    <cellStyle name="20% - Accent3 10 5 2 3" xfId="12709" xr:uid="{00000000-0005-0000-0000-00006F0E0000}"/>
    <cellStyle name="20% - Accent3 10 5 2 4" xfId="20664" xr:uid="{00000000-0005-0000-0000-0000700E0000}"/>
    <cellStyle name="20% - Accent3 10 5 3" xfId="6517" xr:uid="{00000000-0005-0000-0000-0000710E0000}"/>
    <cellStyle name="20% - Accent3 10 5 3 2" xfId="14489" xr:uid="{00000000-0005-0000-0000-0000720E0000}"/>
    <cellStyle name="20% - Accent3 10 5 3 3" xfId="22436" xr:uid="{00000000-0005-0000-0000-0000730E0000}"/>
    <cellStyle name="20% - Accent3 10 5 4" xfId="10953" xr:uid="{00000000-0005-0000-0000-0000740E0000}"/>
    <cellStyle name="20% - Accent3 10 5 5" xfId="18908" xr:uid="{00000000-0005-0000-0000-0000750E0000}"/>
    <cellStyle name="20% - Accent3 10 5_Exh G" xfId="2196" xr:uid="{00000000-0005-0000-0000-0000760E0000}"/>
    <cellStyle name="20% - Accent3 10 6" xfId="3806" xr:uid="{00000000-0005-0000-0000-0000770E0000}"/>
    <cellStyle name="20% - Accent3 10 6 2" xfId="7398" xr:uid="{00000000-0005-0000-0000-0000780E0000}"/>
    <cellStyle name="20% - Accent3 10 6 2 2" xfId="15369" xr:uid="{00000000-0005-0000-0000-0000790E0000}"/>
    <cellStyle name="20% - Accent3 10 6 2 3" xfId="23315" xr:uid="{00000000-0005-0000-0000-00007A0E0000}"/>
    <cellStyle name="20% - Accent3 10 6 3" xfId="11831" xr:uid="{00000000-0005-0000-0000-00007B0E0000}"/>
    <cellStyle name="20% - Accent3 10 6 4" xfId="19786" xr:uid="{00000000-0005-0000-0000-00007C0E0000}"/>
    <cellStyle name="20% - Accent3 10 7" xfId="5626" xr:uid="{00000000-0005-0000-0000-00007D0E0000}"/>
    <cellStyle name="20% - Accent3 10 7 2" xfId="13610" xr:uid="{00000000-0005-0000-0000-00007E0E0000}"/>
    <cellStyle name="20% - Accent3 10 7 3" xfId="21558" xr:uid="{00000000-0005-0000-0000-00007F0E0000}"/>
    <cellStyle name="20% - Accent3 10 8" xfId="9179" xr:uid="{00000000-0005-0000-0000-0000800E0000}"/>
    <cellStyle name="20% - Accent3 10 8 2" xfId="17137" xr:uid="{00000000-0005-0000-0000-0000810E0000}"/>
    <cellStyle name="20% - Accent3 10 8 3" xfId="25081" xr:uid="{00000000-0005-0000-0000-0000820E0000}"/>
    <cellStyle name="20% - Accent3 10 9" xfId="10075" xr:uid="{00000000-0005-0000-0000-0000830E0000}"/>
    <cellStyle name="20% - Accent3 10_Exh G" xfId="2189" xr:uid="{00000000-0005-0000-0000-0000840E0000}"/>
    <cellStyle name="20% - Accent3 11" xfId="131" xr:uid="{00000000-0005-0000-0000-0000850E0000}"/>
    <cellStyle name="20% - Accent3 11 2" xfId="132" xr:uid="{00000000-0005-0000-0000-0000860E0000}"/>
    <cellStyle name="20% - Accent3 11 2 2" xfId="133" xr:uid="{00000000-0005-0000-0000-0000870E0000}"/>
    <cellStyle name="20% - Accent3 11 2 2 2" xfId="1161" xr:uid="{00000000-0005-0000-0000-0000880E0000}"/>
    <cellStyle name="20% - Accent3 11 2 2 2 2" xfId="4691" xr:uid="{00000000-0005-0000-0000-0000890E0000}"/>
    <cellStyle name="20% - Accent3 11 2 2 2 2 2" xfId="8282" xr:uid="{00000000-0005-0000-0000-00008A0E0000}"/>
    <cellStyle name="20% - Accent3 11 2 2 2 2 2 2" xfId="16253" xr:uid="{00000000-0005-0000-0000-00008B0E0000}"/>
    <cellStyle name="20% - Accent3 11 2 2 2 2 2 3" xfId="24199" xr:uid="{00000000-0005-0000-0000-00008C0E0000}"/>
    <cellStyle name="20% - Accent3 11 2 2 2 2 3" xfId="12715" xr:uid="{00000000-0005-0000-0000-00008D0E0000}"/>
    <cellStyle name="20% - Accent3 11 2 2 2 2 4" xfId="20670" xr:uid="{00000000-0005-0000-0000-00008E0E0000}"/>
    <cellStyle name="20% - Accent3 11 2 2 2 3" xfId="6523" xr:uid="{00000000-0005-0000-0000-00008F0E0000}"/>
    <cellStyle name="20% - Accent3 11 2 2 2 3 2" xfId="14495" xr:uid="{00000000-0005-0000-0000-0000900E0000}"/>
    <cellStyle name="20% - Accent3 11 2 2 2 3 3" xfId="22442" xr:uid="{00000000-0005-0000-0000-0000910E0000}"/>
    <cellStyle name="20% - Accent3 11 2 2 2 4" xfId="10959" xr:uid="{00000000-0005-0000-0000-0000920E0000}"/>
    <cellStyle name="20% - Accent3 11 2 2 2 5" xfId="18914" xr:uid="{00000000-0005-0000-0000-0000930E0000}"/>
    <cellStyle name="20% - Accent3 11 2 2 2_Exh G" xfId="2200" xr:uid="{00000000-0005-0000-0000-0000940E0000}"/>
    <cellStyle name="20% - Accent3 11 2 2 3" xfId="3812" xr:uid="{00000000-0005-0000-0000-0000950E0000}"/>
    <cellStyle name="20% - Accent3 11 2 2 3 2" xfId="7404" xr:uid="{00000000-0005-0000-0000-0000960E0000}"/>
    <cellStyle name="20% - Accent3 11 2 2 3 2 2" xfId="15375" xr:uid="{00000000-0005-0000-0000-0000970E0000}"/>
    <cellStyle name="20% - Accent3 11 2 2 3 2 3" xfId="23321" xr:uid="{00000000-0005-0000-0000-0000980E0000}"/>
    <cellStyle name="20% - Accent3 11 2 2 3 3" xfId="11837" xr:uid="{00000000-0005-0000-0000-0000990E0000}"/>
    <cellStyle name="20% - Accent3 11 2 2 3 4" xfId="19792" xr:uid="{00000000-0005-0000-0000-00009A0E0000}"/>
    <cellStyle name="20% - Accent3 11 2 2 4" xfId="5632" xr:uid="{00000000-0005-0000-0000-00009B0E0000}"/>
    <cellStyle name="20% - Accent3 11 2 2 4 2" xfId="13616" xr:uid="{00000000-0005-0000-0000-00009C0E0000}"/>
    <cellStyle name="20% - Accent3 11 2 2 4 3" xfId="21564" xr:uid="{00000000-0005-0000-0000-00009D0E0000}"/>
    <cellStyle name="20% - Accent3 11 2 2 5" xfId="9185" xr:uid="{00000000-0005-0000-0000-00009E0E0000}"/>
    <cellStyle name="20% - Accent3 11 2 2 5 2" xfId="17143" xr:uid="{00000000-0005-0000-0000-00009F0E0000}"/>
    <cellStyle name="20% - Accent3 11 2 2 5 3" xfId="25087" xr:uid="{00000000-0005-0000-0000-0000A00E0000}"/>
    <cellStyle name="20% - Accent3 11 2 2 6" xfId="10081" xr:uid="{00000000-0005-0000-0000-0000A10E0000}"/>
    <cellStyle name="20% - Accent3 11 2 2 7" xfId="18036" xr:uid="{00000000-0005-0000-0000-0000A20E0000}"/>
    <cellStyle name="20% - Accent3 11 2 2_Exh G" xfId="2199" xr:uid="{00000000-0005-0000-0000-0000A30E0000}"/>
    <cellStyle name="20% - Accent3 11 2 3" xfId="1160" xr:uid="{00000000-0005-0000-0000-0000A40E0000}"/>
    <cellStyle name="20% - Accent3 11 2 3 2" xfId="4690" xr:uid="{00000000-0005-0000-0000-0000A50E0000}"/>
    <cellStyle name="20% - Accent3 11 2 3 2 2" xfId="8281" xr:uid="{00000000-0005-0000-0000-0000A60E0000}"/>
    <cellStyle name="20% - Accent3 11 2 3 2 2 2" xfId="16252" xr:uid="{00000000-0005-0000-0000-0000A70E0000}"/>
    <cellStyle name="20% - Accent3 11 2 3 2 2 3" xfId="24198" xr:uid="{00000000-0005-0000-0000-0000A80E0000}"/>
    <cellStyle name="20% - Accent3 11 2 3 2 3" xfId="12714" xr:uid="{00000000-0005-0000-0000-0000A90E0000}"/>
    <cellStyle name="20% - Accent3 11 2 3 2 4" xfId="20669" xr:uid="{00000000-0005-0000-0000-0000AA0E0000}"/>
    <cellStyle name="20% - Accent3 11 2 3 3" xfId="6522" xr:uid="{00000000-0005-0000-0000-0000AB0E0000}"/>
    <cellStyle name="20% - Accent3 11 2 3 3 2" xfId="14494" xr:uid="{00000000-0005-0000-0000-0000AC0E0000}"/>
    <cellStyle name="20% - Accent3 11 2 3 3 3" xfId="22441" xr:uid="{00000000-0005-0000-0000-0000AD0E0000}"/>
    <cellStyle name="20% - Accent3 11 2 3 4" xfId="10958" xr:uid="{00000000-0005-0000-0000-0000AE0E0000}"/>
    <cellStyle name="20% - Accent3 11 2 3 5" xfId="18913" xr:uid="{00000000-0005-0000-0000-0000AF0E0000}"/>
    <cellStyle name="20% - Accent3 11 2 3_Exh G" xfId="2201" xr:uid="{00000000-0005-0000-0000-0000B00E0000}"/>
    <cellStyle name="20% - Accent3 11 2 4" xfId="3811" xr:uid="{00000000-0005-0000-0000-0000B10E0000}"/>
    <cellStyle name="20% - Accent3 11 2 4 2" xfId="7403" xr:uid="{00000000-0005-0000-0000-0000B20E0000}"/>
    <cellStyle name="20% - Accent3 11 2 4 2 2" xfId="15374" xr:uid="{00000000-0005-0000-0000-0000B30E0000}"/>
    <cellStyle name="20% - Accent3 11 2 4 2 3" xfId="23320" xr:uid="{00000000-0005-0000-0000-0000B40E0000}"/>
    <cellStyle name="20% - Accent3 11 2 4 3" xfId="11836" xr:uid="{00000000-0005-0000-0000-0000B50E0000}"/>
    <cellStyle name="20% - Accent3 11 2 4 4" xfId="19791" xr:uid="{00000000-0005-0000-0000-0000B60E0000}"/>
    <cellStyle name="20% - Accent3 11 2 5" xfId="5631" xr:uid="{00000000-0005-0000-0000-0000B70E0000}"/>
    <cellStyle name="20% - Accent3 11 2 5 2" xfId="13615" xr:uid="{00000000-0005-0000-0000-0000B80E0000}"/>
    <cellStyle name="20% - Accent3 11 2 5 3" xfId="21563" xr:uid="{00000000-0005-0000-0000-0000B90E0000}"/>
    <cellStyle name="20% - Accent3 11 2 6" xfId="9184" xr:uid="{00000000-0005-0000-0000-0000BA0E0000}"/>
    <cellStyle name="20% - Accent3 11 2 6 2" xfId="17142" xr:uid="{00000000-0005-0000-0000-0000BB0E0000}"/>
    <cellStyle name="20% - Accent3 11 2 6 3" xfId="25086" xr:uid="{00000000-0005-0000-0000-0000BC0E0000}"/>
    <cellStyle name="20% - Accent3 11 2 7" xfId="10080" xr:uid="{00000000-0005-0000-0000-0000BD0E0000}"/>
    <cellStyle name="20% - Accent3 11 2 8" xfId="18035" xr:uid="{00000000-0005-0000-0000-0000BE0E0000}"/>
    <cellStyle name="20% - Accent3 11 2_Exh G" xfId="2198" xr:uid="{00000000-0005-0000-0000-0000BF0E0000}"/>
    <cellStyle name="20% - Accent3 11 3" xfId="134" xr:uid="{00000000-0005-0000-0000-0000C00E0000}"/>
    <cellStyle name="20% - Accent3 11 3 2" xfId="1162" xr:uid="{00000000-0005-0000-0000-0000C10E0000}"/>
    <cellStyle name="20% - Accent3 11 3 2 2" xfId="4692" xr:uid="{00000000-0005-0000-0000-0000C20E0000}"/>
    <cellStyle name="20% - Accent3 11 3 2 2 2" xfId="8283" xr:uid="{00000000-0005-0000-0000-0000C30E0000}"/>
    <cellStyle name="20% - Accent3 11 3 2 2 2 2" xfId="16254" xr:uid="{00000000-0005-0000-0000-0000C40E0000}"/>
    <cellStyle name="20% - Accent3 11 3 2 2 2 3" xfId="24200" xr:uid="{00000000-0005-0000-0000-0000C50E0000}"/>
    <cellStyle name="20% - Accent3 11 3 2 2 3" xfId="12716" xr:uid="{00000000-0005-0000-0000-0000C60E0000}"/>
    <cellStyle name="20% - Accent3 11 3 2 2 4" xfId="20671" xr:uid="{00000000-0005-0000-0000-0000C70E0000}"/>
    <cellStyle name="20% - Accent3 11 3 2 3" xfId="6524" xr:uid="{00000000-0005-0000-0000-0000C80E0000}"/>
    <cellStyle name="20% - Accent3 11 3 2 3 2" xfId="14496" xr:uid="{00000000-0005-0000-0000-0000C90E0000}"/>
    <cellStyle name="20% - Accent3 11 3 2 3 3" xfId="22443" xr:uid="{00000000-0005-0000-0000-0000CA0E0000}"/>
    <cellStyle name="20% - Accent3 11 3 2 4" xfId="10960" xr:uid="{00000000-0005-0000-0000-0000CB0E0000}"/>
    <cellStyle name="20% - Accent3 11 3 2 5" xfId="18915" xr:uid="{00000000-0005-0000-0000-0000CC0E0000}"/>
    <cellStyle name="20% - Accent3 11 3 2_Exh G" xfId="2203" xr:uid="{00000000-0005-0000-0000-0000CD0E0000}"/>
    <cellStyle name="20% - Accent3 11 3 3" xfId="3813" xr:uid="{00000000-0005-0000-0000-0000CE0E0000}"/>
    <cellStyle name="20% - Accent3 11 3 3 2" xfId="7405" xr:uid="{00000000-0005-0000-0000-0000CF0E0000}"/>
    <cellStyle name="20% - Accent3 11 3 3 2 2" xfId="15376" xr:uid="{00000000-0005-0000-0000-0000D00E0000}"/>
    <cellStyle name="20% - Accent3 11 3 3 2 3" xfId="23322" xr:uid="{00000000-0005-0000-0000-0000D10E0000}"/>
    <cellStyle name="20% - Accent3 11 3 3 3" xfId="11838" xr:uid="{00000000-0005-0000-0000-0000D20E0000}"/>
    <cellStyle name="20% - Accent3 11 3 3 4" xfId="19793" xr:uid="{00000000-0005-0000-0000-0000D30E0000}"/>
    <cellStyle name="20% - Accent3 11 3 4" xfId="5633" xr:uid="{00000000-0005-0000-0000-0000D40E0000}"/>
    <cellStyle name="20% - Accent3 11 3 4 2" xfId="13617" xr:uid="{00000000-0005-0000-0000-0000D50E0000}"/>
    <cellStyle name="20% - Accent3 11 3 4 3" xfId="21565" xr:uid="{00000000-0005-0000-0000-0000D60E0000}"/>
    <cellStyle name="20% - Accent3 11 3 5" xfId="9186" xr:uid="{00000000-0005-0000-0000-0000D70E0000}"/>
    <cellStyle name="20% - Accent3 11 3 5 2" xfId="17144" xr:uid="{00000000-0005-0000-0000-0000D80E0000}"/>
    <cellStyle name="20% - Accent3 11 3 5 3" xfId="25088" xr:uid="{00000000-0005-0000-0000-0000D90E0000}"/>
    <cellStyle name="20% - Accent3 11 3 6" xfId="10082" xr:uid="{00000000-0005-0000-0000-0000DA0E0000}"/>
    <cellStyle name="20% - Accent3 11 3 7" xfId="18037" xr:uid="{00000000-0005-0000-0000-0000DB0E0000}"/>
    <cellStyle name="20% - Accent3 11 3_Exh G" xfId="2202" xr:uid="{00000000-0005-0000-0000-0000DC0E0000}"/>
    <cellStyle name="20% - Accent3 11 4" xfId="1159" xr:uid="{00000000-0005-0000-0000-0000DD0E0000}"/>
    <cellStyle name="20% - Accent3 11 4 2" xfId="4689" xr:uid="{00000000-0005-0000-0000-0000DE0E0000}"/>
    <cellStyle name="20% - Accent3 11 4 2 2" xfId="8280" xr:uid="{00000000-0005-0000-0000-0000DF0E0000}"/>
    <cellStyle name="20% - Accent3 11 4 2 2 2" xfId="16251" xr:uid="{00000000-0005-0000-0000-0000E00E0000}"/>
    <cellStyle name="20% - Accent3 11 4 2 2 3" xfId="24197" xr:uid="{00000000-0005-0000-0000-0000E10E0000}"/>
    <cellStyle name="20% - Accent3 11 4 2 3" xfId="12713" xr:uid="{00000000-0005-0000-0000-0000E20E0000}"/>
    <cellStyle name="20% - Accent3 11 4 2 4" xfId="20668" xr:uid="{00000000-0005-0000-0000-0000E30E0000}"/>
    <cellStyle name="20% - Accent3 11 4 3" xfId="6521" xr:uid="{00000000-0005-0000-0000-0000E40E0000}"/>
    <cellStyle name="20% - Accent3 11 4 3 2" xfId="14493" xr:uid="{00000000-0005-0000-0000-0000E50E0000}"/>
    <cellStyle name="20% - Accent3 11 4 3 3" xfId="22440" xr:uid="{00000000-0005-0000-0000-0000E60E0000}"/>
    <cellStyle name="20% - Accent3 11 4 4" xfId="10957" xr:uid="{00000000-0005-0000-0000-0000E70E0000}"/>
    <cellStyle name="20% - Accent3 11 4 5" xfId="18912" xr:uid="{00000000-0005-0000-0000-0000E80E0000}"/>
    <cellStyle name="20% - Accent3 11 4_Exh G" xfId="2204" xr:uid="{00000000-0005-0000-0000-0000E90E0000}"/>
    <cellStyle name="20% - Accent3 11 5" xfId="3810" xr:uid="{00000000-0005-0000-0000-0000EA0E0000}"/>
    <cellStyle name="20% - Accent3 11 5 2" xfId="7402" xr:uid="{00000000-0005-0000-0000-0000EB0E0000}"/>
    <cellStyle name="20% - Accent3 11 5 2 2" xfId="15373" xr:uid="{00000000-0005-0000-0000-0000EC0E0000}"/>
    <cellStyle name="20% - Accent3 11 5 2 3" xfId="23319" xr:uid="{00000000-0005-0000-0000-0000ED0E0000}"/>
    <cellStyle name="20% - Accent3 11 5 3" xfId="11835" xr:uid="{00000000-0005-0000-0000-0000EE0E0000}"/>
    <cellStyle name="20% - Accent3 11 5 4" xfId="19790" xr:uid="{00000000-0005-0000-0000-0000EF0E0000}"/>
    <cellStyle name="20% - Accent3 11 6" xfId="5630" xr:uid="{00000000-0005-0000-0000-0000F00E0000}"/>
    <cellStyle name="20% - Accent3 11 6 2" xfId="13614" xr:uid="{00000000-0005-0000-0000-0000F10E0000}"/>
    <cellStyle name="20% - Accent3 11 6 3" xfId="21562" xr:uid="{00000000-0005-0000-0000-0000F20E0000}"/>
    <cellStyle name="20% - Accent3 11 7" xfId="9183" xr:uid="{00000000-0005-0000-0000-0000F30E0000}"/>
    <cellStyle name="20% - Accent3 11 7 2" xfId="17141" xr:uid="{00000000-0005-0000-0000-0000F40E0000}"/>
    <cellStyle name="20% - Accent3 11 7 3" xfId="25085" xr:uid="{00000000-0005-0000-0000-0000F50E0000}"/>
    <cellStyle name="20% - Accent3 11 8" xfId="10079" xr:uid="{00000000-0005-0000-0000-0000F60E0000}"/>
    <cellStyle name="20% - Accent3 11 9" xfId="18034" xr:uid="{00000000-0005-0000-0000-0000F70E0000}"/>
    <cellStyle name="20% - Accent3 11_Exh G" xfId="2197" xr:uid="{00000000-0005-0000-0000-0000F80E0000}"/>
    <cellStyle name="20% - Accent3 12" xfId="135" xr:uid="{00000000-0005-0000-0000-0000F90E0000}"/>
    <cellStyle name="20% - Accent3 12 2" xfId="136" xr:uid="{00000000-0005-0000-0000-0000FA0E0000}"/>
    <cellStyle name="20% - Accent3 12 2 2" xfId="137" xr:uid="{00000000-0005-0000-0000-0000FB0E0000}"/>
    <cellStyle name="20% - Accent3 12 2 2 2" xfId="1165" xr:uid="{00000000-0005-0000-0000-0000FC0E0000}"/>
    <cellStyle name="20% - Accent3 12 2 2 2 2" xfId="4695" xr:uid="{00000000-0005-0000-0000-0000FD0E0000}"/>
    <cellStyle name="20% - Accent3 12 2 2 2 2 2" xfId="8286" xr:uid="{00000000-0005-0000-0000-0000FE0E0000}"/>
    <cellStyle name="20% - Accent3 12 2 2 2 2 2 2" xfId="16257" xr:uid="{00000000-0005-0000-0000-0000FF0E0000}"/>
    <cellStyle name="20% - Accent3 12 2 2 2 2 2 3" xfId="24203" xr:uid="{00000000-0005-0000-0000-0000000F0000}"/>
    <cellStyle name="20% - Accent3 12 2 2 2 2 3" xfId="12719" xr:uid="{00000000-0005-0000-0000-0000010F0000}"/>
    <cellStyle name="20% - Accent3 12 2 2 2 2 4" xfId="20674" xr:uid="{00000000-0005-0000-0000-0000020F0000}"/>
    <cellStyle name="20% - Accent3 12 2 2 2 3" xfId="6527" xr:uid="{00000000-0005-0000-0000-0000030F0000}"/>
    <cellStyle name="20% - Accent3 12 2 2 2 3 2" xfId="14499" xr:uid="{00000000-0005-0000-0000-0000040F0000}"/>
    <cellStyle name="20% - Accent3 12 2 2 2 3 3" xfId="22446" xr:uid="{00000000-0005-0000-0000-0000050F0000}"/>
    <cellStyle name="20% - Accent3 12 2 2 2 4" xfId="10963" xr:uid="{00000000-0005-0000-0000-0000060F0000}"/>
    <cellStyle name="20% - Accent3 12 2 2 2 5" xfId="18918" xr:uid="{00000000-0005-0000-0000-0000070F0000}"/>
    <cellStyle name="20% - Accent3 12 2 2 2_Exh G" xfId="2208" xr:uid="{00000000-0005-0000-0000-0000080F0000}"/>
    <cellStyle name="20% - Accent3 12 2 2 3" xfId="3816" xr:uid="{00000000-0005-0000-0000-0000090F0000}"/>
    <cellStyle name="20% - Accent3 12 2 2 3 2" xfId="7408" xr:uid="{00000000-0005-0000-0000-00000A0F0000}"/>
    <cellStyle name="20% - Accent3 12 2 2 3 2 2" xfId="15379" xr:uid="{00000000-0005-0000-0000-00000B0F0000}"/>
    <cellStyle name="20% - Accent3 12 2 2 3 2 3" xfId="23325" xr:uid="{00000000-0005-0000-0000-00000C0F0000}"/>
    <cellStyle name="20% - Accent3 12 2 2 3 3" xfId="11841" xr:uid="{00000000-0005-0000-0000-00000D0F0000}"/>
    <cellStyle name="20% - Accent3 12 2 2 3 4" xfId="19796" xr:uid="{00000000-0005-0000-0000-00000E0F0000}"/>
    <cellStyle name="20% - Accent3 12 2 2 4" xfId="5636" xr:uid="{00000000-0005-0000-0000-00000F0F0000}"/>
    <cellStyle name="20% - Accent3 12 2 2 4 2" xfId="13620" xr:uid="{00000000-0005-0000-0000-0000100F0000}"/>
    <cellStyle name="20% - Accent3 12 2 2 4 3" xfId="21568" xr:uid="{00000000-0005-0000-0000-0000110F0000}"/>
    <cellStyle name="20% - Accent3 12 2 2 5" xfId="9189" xr:uid="{00000000-0005-0000-0000-0000120F0000}"/>
    <cellStyle name="20% - Accent3 12 2 2 5 2" xfId="17147" xr:uid="{00000000-0005-0000-0000-0000130F0000}"/>
    <cellStyle name="20% - Accent3 12 2 2 5 3" xfId="25091" xr:uid="{00000000-0005-0000-0000-0000140F0000}"/>
    <cellStyle name="20% - Accent3 12 2 2 6" xfId="10085" xr:uid="{00000000-0005-0000-0000-0000150F0000}"/>
    <cellStyle name="20% - Accent3 12 2 2 7" xfId="18040" xr:uid="{00000000-0005-0000-0000-0000160F0000}"/>
    <cellStyle name="20% - Accent3 12 2 2_Exh G" xfId="2207" xr:uid="{00000000-0005-0000-0000-0000170F0000}"/>
    <cellStyle name="20% - Accent3 12 2 3" xfId="1164" xr:uid="{00000000-0005-0000-0000-0000180F0000}"/>
    <cellStyle name="20% - Accent3 12 2 3 2" xfId="4694" xr:uid="{00000000-0005-0000-0000-0000190F0000}"/>
    <cellStyle name="20% - Accent3 12 2 3 2 2" xfId="8285" xr:uid="{00000000-0005-0000-0000-00001A0F0000}"/>
    <cellStyle name="20% - Accent3 12 2 3 2 2 2" xfId="16256" xr:uid="{00000000-0005-0000-0000-00001B0F0000}"/>
    <cellStyle name="20% - Accent3 12 2 3 2 2 3" xfId="24202" xr:uid="{00000000-0005-0000-0000-00001C0F0000}"/>
    <cellStyle name="20% - Accent3 12 2 3 2 3" xfId="12718" xr:uid="{00000000-0005-0000-0000-00001D0F0000}"/>
    <cellStyle name="20% - Accent3 12 2 3 2 4" xfId="20673" xr:uid="{00000000-0005-0000-0000-00001E0F0000}"/>
    <cellStyle name="20% - Accent3 12 2 3 3" xfId="6526" xr:uid="{00000000-0005-0000-0000-00001F0F0000}"/>
    <cellStyle name="20% - Accent3 12 2 3 3 2" xfId="14498" xr:uid="{00000000-0005-0000-0000-0000200F0000}"/>
    <cellStyle name="20% - Accent3 12 2 3 3 3" xfId="22445" xr:uid="{00000000-0005-0000-0000-0000210F0000}"/>
    <cellStyle name="20% - Accent3 12 2 3 4" xfId="10962" xr:uid="{00000000-0005-0000-0000-0000220F0000}"/>
    <cellStyle name="20% - Accent3 12 2 3 5" xfId="18917" xr:uid="{00000000-0005-0000-0000-0000230F0000}"/>
    <cellStyle name="20% - Accent3 12 2 3_Exh G" xfId="2209" xr:uid="{00000000-0005-0000-0000-0000240F0000}"/>
    <cellStyle name="20% - Accent3 12 2 4" xfId="3815" xr:uid="{00000000-0005-0000-0000-0000250F0000}"/>
    <cellStyle name="20% - Accent3 12 2 4 2" xfId="7407" xr:uid="{00000000-0005-0000-0000-0000260F0000}"/>
    <cellStyle name="20% - Accent3 12 2 4 2 2" xfId="15378" xr:uid="{00000000-0005-0000-0000-0000270F0000}"/>
    <cellStyle name="20% - Accent3 12 2 4 2 3" xfId="23324" xr:uid="{00000000-0005-0000-0000-0000280F0000}"/>
    <cellStyle name="20% - Accent3 12 2 4 3" xfId="11840" xr:uid="{00000000-0005-0000-0000-0000290F0000}"/>
    <cellStyle name="20% - Accent3 12 2 4 4" xfId="19795" xr:uid="{00000000-0005-0000-0000-00002A0F0000}"/>
    <cellStyle name="20% - Accent3 12 2 5" xfId="5635" xr:uid="{00000000-0005-0000-0000-00002B0F0000}"/>
    <cellStyle name="20% - Accent3 12 2 5 2" xfId="13619" xr:uid="{00000000-0005-0000-0000-00002C0F0000}"/>
    <cellStyle name="20% - Accent3 12 2 5 3" xfId="21567" xr:uid="{00000000-0005-0000-0000-00002D0F0000}"/>
    <cellStyle name="20% - Accent3 12 2 6" xfId="9188" xr:uid="{00000000-0005-0000-0000-00002E0F0000}"/>
    <cellStyle name="20% - Accent3 12 2 6 2" xfId="17146" xr:uid="{00000000-0005-0000-0000-00002F0F0000}"/>
    <cellStyle name="20% - Accent3 12 2 6 3" xfId="25090" xr:uid="{00000000-0005-0000-0000-0000300F0000}"/>
    <cellStyle name="20% - Accent3 12 2 7" xfId="10084" xr:uid="{00000000-0005-0000-0000-0000310F0000}"/>
    <cellStyle name="20% - Accent3 12 2 8" xfId="18039" xr:uid="{00000000-0005-0000-0000-0000320F0000}"/>
    <cellStyle name="20% - Accent3 12 2_Exh G" xfId="2206" xr:uid="{00000000-0005-0000-0000-0000330F0000}"/>
    <cellStyle name="20% - Accent3 12 3" xfId="138" xr:uid="{00000000-0005-0000-0000-0000340F0000}"/>
    <cellStyle name="20% - Accent3 12 3 2" xfId="1166" xr:uid="{00000000-0005-0000-0000-0000350F0000}"/>
    <cellStyle name="20% - Accent3 12 3 2 2" xfId="4696" xr:uid="{00000000-0005-0000-0000-0000360F0000}"/>
    <cellStyle name="20% - Accent3 12 3 2 2 2" xfId="8287" xr:uid="{00000000-0005-0000-0000-0000370F0000}"/>
    <cellStyle name="20% - Accent3 12 3 2 2 2 2" xfId="16258" xr:uid="{00000000-0005-0000-0000-0000380F0000}"/>
    <cellStyle name="20% - Accent3 12 3 2 2 2 3" xfId="24204" xr:uid="{00000000-0005-0000-0000-0000390F0000}"/>
    <cellStyle name="20% - Accent3 12 3 2 2 3" xfId="12720" xr:uid="{00000000-0005-0000-0000-00003A0F0000}"/>
    <cellStyle name="20% - Accent3 12 3 2 2 4" xfId="20675" xr:uid="{00000000-0005-0000-0000-00003B0F0000}"/>
    <cellStyle name="20% - Accent3 12 3 2 3" xfId="6528" xr:uid="{00000000-0005-0000-0000-00003C0F0000}"/>
    <cellStyle name="20% - Accent3 12 3 2 3 2" xfId="14500" xr:uid="{00000000-0005-0000-0000-00003D0F0000}"/>
    <cellStyle name="20% - Accent3 12 3 2 3 3" xfId="22447" xr:uid="{00000000-0005-0000-0000-00003E0F0000}"/>
    <cellStyle name="20% - Accent3 12 3 2 4" xfId="10964" xr:uid="{00000000-0005-0000-0000-00003F0F0000}"/>
    <cellStyle name="20% - Accent3 12 3 2 5" xfId="18919" xr:uid="{00000000-0005-0000-0000-0000400F0000}"/>
    <cellStyle name="20% - Accent3 12 3 2_Exh G" xfId="2211" xr:uid="{00000000-0005-0000-0000-0000410F0000}"/>
    <cellStyle name="20% - Accent3 12 3 3" xfId="3817" xr:uid="{00000000-0005-0000-0000-0000420F0000}"/>
    <cellStyle name="20% - Accent3 12 3 3 2" xfId="7409" xr:uid="{00000000-0005-0000-0000-0000430F0000}"/>
    <cellStyle name="20% - Accent3 12 3 3 2 2" xfId="15380" xr:uid="{00000000-0005-0000-0000-0000440F0000}"/>
    <cellStyle name="20% - Accent3 12 3 3 2 3" xfId="23326" xr:uid="{00000000-0005-0000-0000-0000450F0000}"/>
    <cellStyle name="20% - Accent3 12 3 3 3" xfId="11842" xr:uid="{00000000-0005-0000-0000-0000460F0000}"/>
    <cellStyle name="20% - Accent3 12 3 3 4" xfId="19797" xr:uid="{00000000-0005-0000-0000-0000470F0000}"/>
    <cellStyle name="20% - Accent3 12 3 4" xfId="5637" xr:uid="{00000000-0005-0000-0000-0000480F0000}"/>
    <cellStyle name="20% - Accent3 12 3 4 2" xfId="13621" xr:uid="{00000000-0005-0000-0000-0000490F0000}"/>
    <cellStyle name="20% - Accent3 12 3 4 3" xfId="21569" xr:uid="{00000000-0005-0000-0000-00004A0F0000}"/>
    <cellStyle name="20% - Accent3 12 3 5" xfId="9190" xr:uid="{00000000-0005-0000-0000-00004B0F0000}"/>
    <cellStyle name="20% - Accent3 12 3 5 2" xfId="17148" xr:uid="{00000000-0005-0000-0000-00004C0F0000}"/>
    <cellStyle name="20% - Accent3 12 3 5 3" xfId="25092" xr:uid="{00000000-0005-0000-0000-00004D0F0000}"/>
    <cellStyle name="20% - Accent3 12 3 6" xfId="10086" xr:uid="{00000000-0005-0000-0000-00004E0F0000}"/>
    <cellStyle name="20% - Accent3 12 3 7" xfId="18041" xr:uid="{00000000-0005-0000-0000-00004F0F0000}"/>
    <cellStyle name="20% - Accent3 12 3_Exh G" xfId="2210" xr:uid="{00000000-0005-0000-0000-0000500F0000}"/>
    <cellStyle name="20% - Accent3 12 4" xfId="1163" xr:uid="{00000000-0005-0000-0000-0000510F0000}"/>
    <cellStyle name="20% - Accent3 12 4 2" xfId="4693" xr:uid="{00000000-0005-0000-0000-0000520F0000}"/>
    <cellStyle name="20% - Accent3 12 4 2 2" xfId="8284" xr:uid="{00000000-0005-0000-0000-0000530F0000}"/>
    <cellStyle name="20% - Accent3 12 4 2 2 2" xfId="16255" xr:uid="{00000000-0005-0000-0000-0000540F0000}"/>
    <cellStyle name="20% - Accent3 12 4 2 2 3" xfId="24201" xr:uid="{00000000-0005-0000-0000-0000550F0000}"/>
    <cellStyle name="20% - Accent3 12 4 2 3" xfId="12717" xr:uid="{00000000-0005-0000-0000-0000560F0000}"/>
    <cellStyle name="20% - Accent3 12 4 2 4" xfId="20672" xr:uid="{00000000-0005-0000-0000-0000570F0000}"/>
    <cellStyle name="20% - Accent3 12 4 3" xfId="6525" xr:uid="{00000000-0005-0000-0000-0000580F0000}"/>
    <cellStyle name="20% - Accent3 12 4 3 2" xfId="14497" xr:uid="{00000000-0005-0000-0000-0000590F0000}"/>
    <cellStyle name="20% - Accent3 12 4 3 3" xfId="22444" xr:uid="{00000000-0005-0000-0000-00005A0F0000}"/>
    <cellStyle name="20% - Accent3 12 4 4" xfId="10961" xr:uid="{00000000-0005-0000-0000-00005B0F0000}"/>
    <cellStyle name="20% - Accent3 12 4 5" xfId="18916" xr:uid="{00000000-0005-0000-0000-00005C0F0000}"/>
    <cellStyle name="20% - Accent3 12 4_Exh G" xfId="2212" xr:uid="{00000000-0005-0000-0000-00005D0F0000}"/>
    <cellStyle name="20% - Accent3 12 5" xfId="3814" xr:uid="{00000000-0005-0000-0000-00005E0F0000}"/>
    <cellStyle name="20% - Accent3 12 5 2" xfId="7406" xr:uid="{00000000-0005-0000-0000-00005F0F0000}"/>
    <cellStyle name="20% - Accent3 12 5 2 2" xfId="15377" xr:uid="{00000000-0005-0000-0000-0000600F0000}"/>
    <cellStyle name="20% - Accent3 12 5 2 3" xfId="23323" xr:uid="{00000000-0005-0000-0000-0000610F0000}"/>
    <cellStyle name="20% - Accent3 12 5 3" xfId="11839" xr:uid="{00000000-0005-0000-0000-0000620F0000}"/>
    <cellStyle name="20% - Accent3 12 5 4" xfId="19794" xr:uid="{00000000-0005-0000-0000-0000630F0000}"/>
    <cellStyle name="20% - Accent3 12 6" xfId="5634" xr:uid="{00000000-0005-0000-0000-0000640F0000}"/>
    <cellStyle name="20% - Accent3 12 6 2" xfId="13618" xr:uid="{00000000-0005-0000-0000-0000650F0000}"/>
    <cellStyle name="20% - Accent3 12 6 3" xfId="21566" xr:uid="{00000000-0005-0000-0000-0000660F0000}"/>
    <cellStyle name="20% - Accent3 12 7" xfId="9187" xr:uid="{00000000-0005-0000-0000-0000670F0000}"/>
    <cellStyle name="20% - Accent3 12 7 2" xfId="17145" xr:uid="{00000000-0005-0000-0000-0000680F0000}"/>
    <cellStyle name="20% - Accent3 12 7 3" xfId="25089" xr:uid="{00000000-0005-0000-0000-0000690F0000}"/>
    <cellStyle name="20% - Accent3 12 8" xfId="10083" xr:uid="{00000000-0005-0000-0000-00006A0F0000}"/>
    <cellStyle name="20% - Accent3 12 9" xfId="18038" xr:uid="{00000000-0005-0000-0000-00006B0F0000}"/>
    <cellStyle name="20% - Accent3 12_Exh G" xfId="2205" xr:uid="{00000000-0005-0000-0000-00006C0F0000}"/>
    <cellStyle name="20% - Accent3 13" xfId="139" xr:uid="{00000000-0005-0000-0000-00006D0F0000}"/>
    <cellStyle name="20% - Accent3 13 2" xfId="140" xr:uid="{00000000-0005-0000-0000-00006E0F0000}"/>
    <cellStyle name="20% - Accent3 13 2 2" xfId="141" xr:uid="{00000000-0005-0000-0000-00006F0F0000}"/>
    <cellStyle name="20% - Accent3 13 2 2 2" xfId="1169" xr:uid="{00000000-0005-0000-0000-0000700F0000}"/>
    <cellStyle name="20% - Accent3 13 2 2 2 2" xfId="4699" xr:uid="{00000000-0005-0000-0000-0000710F0000}"/>
    <cellStyle name="20% - Accent3 13 2 2 2 2 2" xfId="8290" xr:uid="{00000000-0005-0000-0000-0000720F0000}"/>
    <cellStyle name="20% - Accent3 13 2 2 2 2 2 2" xfId="16261" xr:uid="{00000000-0005-0000-0000-0000730F0000}"/>
    <cellStyle name="20% - Accent3 13 2 2 2 2 2 3" xfId="24207" xr:uid="{00000000-0005-0000-0000-0000740F0000}"/>
    <cellStyle name="20% - Accent3 13 2 2 2 2 3" xfId="12723" xr:uid="{00000000-0005-0000-0000-0000750F0000}"/>
    <cellStyle name="20% - Accent3 13 2 2 2 2 4" xfId="20678" xr:uid="{00000000-0005-0000-0000-0000760F0000}"/>
    <cellStyle name="20% - Accent3 13 2 2 2 3" xfId="6531" xr:uid="{00000000-0005-0000-0000-0000770F0000}"/>
    <cellStyle name="20% - Accent3 13 2 2 2 3 2" xfId="14503" xr:uid="{00000000-0005-0000-0000-0000780F0000}"/>
    <cellStyle name="20% - Accent3 13 2 2 2 3 3" xfId="22450" xr:uid="{00000000-0005-0000-0000-0000790F0000}"/>
    <cellStyle name="20% - Accent3 13 2 2 2 4" xfId="10967" xr:uid="{00000000-0005-0000-0000-00007A0F0000}"/>
    <cellStyle name="20% - Accent3 13 2 2 2 5" xfId="18922" xr:uid="{00000000-0005-0000-0000-00007B0F0000}"/>
    <cellStyle name="20% - Accent3 13 2 2 2_Exh G" xfId="2216" xr:uid="{00000000-0005-0000-0000-00007C0F0000}"/>
    <cellStyle name="20% - Accent3 13 2 2 3" xfId="3820" xr:uid="{00000000-0005-0000-0000-00007D0F0000}"/>
    <cellStyle name="20% - Accent3 13 2 2 3 2" xfId="7412" xr:uid="{00000000-0005-0000-0000-00007E0F0000}"/>
    <cellStyle name="20% - Accent3 13 2 2 3 2 2" xfId="15383" xr:uid="{00000000-0005-0000-0000-00007F0F0000}"/>
    <cellStyle name="20% - Accent3 13 2 2 3 2 3" xfId="23329" xr:uid="{00000000-0005-0000-0000-0000800F0000}"/>
    <cellStyle name="20% - Accent3 13 2 2 3 3" xfId="11845" xr:uid="{00000000-0005-0000-0000-0000810F0000}"/>
    <cellStyle name="20% - Accent3 13 2 2 3 4" xfId="19800" xr:uid="{00000000-0005-0000-0000-0000820F0000}"/>
    <cellStyle name="20% - Accent3 13 2 2 4" xfId="5640" xr:uid="{00000000-0005-0000-0000-0000830F0000}"/>
    <cellStyle name="20% - Accent3 13 2 2 4 2" xfId="13624" xr:uid="{00000000-0005-0000-0000-0000840F0000}"/>
    <cellStyle name="20% - Accent3 13 2 2 4 3" xfId="21572" xr:uid="{00000000-0005-0000-0000-0000850F0000}"/>
    <cellStyle name="20% - Accent3 13 2 2 5" xfId="9193" xr:uid="{00000000-0005-0000-0000-0000860F0000}"/>
    <cellStyle name="20% - Accent3 13 2 2 5 2" xfId="17151" xr:uid="{00000000-0005-0000-0000-0000870F0000}"/>
    <cellStyle name="20% - Accent3 13 2 2 5 3" xfId="25095" xr:uid="{00000000-0005-0000-0000-0000880F0000}"/>
    <cellStyle name="20% - Accent3 13 2 2 6" xfId="10089" xr:uid="{00000000-0005-0000-0000-0000890F0000}"/>
    <cellStyle name="20% - Accent3 13 2 2 7" xfId="18044" xr:uid="{00000000-0005-0000-0000-00008A0F0000}"/>
    <cellStyle name="20% - Accent3 13 2 2_Exh G" xfId="2215" xr:uid="{00000000-0005-0000-0000-00008B0F0000}"/>
    <cellStyle name="20% - Accent3 13 2 3" xfId="1168" xr:uid="{00000000-0005-0000-0000-00008C0F0000}"/>
    <cellStyle name="20% - Accent3 13 2 3 2" xfId="4698" xr:uid="{00000000-0005-0000-0000-00008D0F0000}"/>
    <cellStyle name="20% - Accent3 13 2 3 2 2" xfId="8289" xr:uid="{00000000-0005-0000-0000-00008E0F0000}"/>
    <cellStyle name="20% - Accent3 13 2 3 2 2 2" xfId="16260" xr:uid="{00000000-0005-0000-0000-00008F0F0000}"/>
    <cellStyle name="20% - Accent3 13 2 3 2 2 3" xfId="24206" xr:uid="{00000000-0005-0000-0000-0000900F0000}"/>
    <cellStyle name="20% - Accent3 13 2 3 2 3" xfId="12722" xr:uid="{00000000-0005-0000-0000-0000910F0000}"/>
    <cellStyle name="20% - Accent3 13 2 3 2 4" xfId="20677" xr:uid="{00000000-0005-0000-0000-0000920F0000}"/>
    <cellStyle name="20% - Accent3 13 2 3 3" xfId="6530" xr:uid="{00000000-0005-0000-0000-0000930F0000}"/>
    <cellStyle name="20% - Accent3 13 2 3 3 2" xfId="14502" xr:uid="{00000000-0005-0000-0000-0000940F0000}"/>
    <cellStyle name="20% - Accent3 13 2 3 3 3" xfId="22449" xr:uid="{00000000-0005-0000-0000-0000950F0000}"/>
    <cellStyle name="20% - Accent3 13 2 3 4" xfId="10966" xr:uid="{00000000-0005-0000-0000-0000960F0000}"/>
    <cellStyle name="20% - Accent3 13 2 3 5" xfId="18921" xr:uid="{00000000-0005-0000-0000-0000970F0000}"/>
    <cellStyle name="20% - Accent3 13 2 3_Exh G" xfId="2217" xr:uid="{00000000-0005-0000-0000-0000980F0000}"/>
    <cellStyle name="20% - Accent3 13 2 4" xfId="3819" xr:uid="{00000000-0005-0000-0000-0000990F0000}"/>
    <cellStyle name="20% - Accent3 13 2 4 2" xfId="7411" xr:uid="{00000000-0005-0000-0000-00009A0F0000}"/>
    <cellStyle name="20% - Accent3 13 2 4 2 2" xfId="15382" xr:uid="{00000000-0005-0000-0000-00009B0F0000}"/>
    <cellStyle name="20% - Accent3 13 2 4 2 3" xfId="23328" xr:uid="{00000000-0005-0000-0000-00009C0F0000}"/>
    <cellStyle name="20% - Accent3 13 2 4 3" xfId="11844" xr:uid="{00000000-0005-0000-0000-00009D0F0000}"/>
    <cellStyle name="20% - Accent3 13 2 4 4" xfId="19799" xr:uid="{00000000-0005-0000-0000-00009E0F0000}"/>
    <cellStyle name="20% - Accent3 13 2 5" xfId="5639" xr:uid="{00000000-0005-0000-0000-00009F0F0000}"/>
    <cellStyle name="20% - Accent3 13 2 5 2" xfId="13623" xr:uid="{00000000-0005-0000-0000-0000A00F0000}"/>
    <cellStyle name="20% - Accent3 13 2 5 3" xfId="21571" xr:uid="{00000000-0005-0000-0000-0000A10F0000}"/>
    <cellStyle name="20% - Accent3 13 2 6" xfId="9192" xr:uid="{00000000-0005-0000-0000-0000A20F0000}"/>
    <cellStyle name="20% - Accent3 13 2 6 2" xfId="17150" xr:uid="{00000000-0005-0000-0000-0000A30F0000}"/>
    <cellStyle name="20% - Accent3 13 2 6 3" xfId="25094" xr:uid="{00000000-0005-0000-0000-0000A40F0000}"/>
    <cellStyle name="20% - Accent3 13 2 7" xfId="10088" xr:uid="{00000000-0005-0000-0000-0000A50F0000}"/>
    <cellStyle name="20% - Accent3 13 2 8" xfId="18043" xr:uid="{00000000-0005-0000-0000-0000A60F0000}"/>
    <cellStyle name="20% - Accent3 13 2_Exh G" xfId="2214" xr:uid="{00000000-0005-0000-0000-0000A70F0000}"/>
    <cellStyle name="20% - Accent3 13 3" xfId="142" xr:uid="{00000000-0005-0000-0000-0000A80F0000}"/>
    <cellStyle name="20% - Accent3 13 3 2" xfId="1170" xr:uid="{00000000-0005-0000-0000-0000A90F0000}"/>
    <cellStyle name="20% - Accent3 13 3 2 2" xfId="4700" xr:uid="{00000000-0005-0000-0000-0000AA0F0000}"/>
    <cellStyle name="20% - Accent3 13 3 2 2 2" xfId="8291" xr:uid="{00000000-0005-0000-0000-0000AB0F0000}"/>
    <cellStyle name="20% - Accent3 13 3 2 2 2 2" xfId="16262" xr:uid="{00000000-0005-0000-0000-0000AC0F0000}"/>
    <cellStyle name="20% - Accent3 13 3 2 2 2 3" xfId="24208" xr:uid="{00000000-0005-0000-0000-0000AD0F0000}"/>
    <cellStyle name="20% - Accent3 13 3 2 2 3" xfId="12724" xr:uid="{00000000-0005-0000-0000-0000AE0F0000}"/>
    <cellStyle name="20% - Accent3 13 3 2 2 4" xfId="20679" xr:uid="{00000000-0005-0000-0000-0000AF0F0000}"/>
    <cellStyle name="20% - Accent3 13 3 2 3" xfId="6532" xr:uid="{00000000-0005-0000-0000-0000B00F0000}"/>
    <cellStyle name="20% - Accent3 13 3 2 3 2" xfId="14504" xr:uid="{00000000-0005-0000-0000-0000B10F0000}"/>
    <cellStyle name="20% - Accent3 13 3 2 3 3" xfId="22451" xr:uid="{00000000-0005-0000-0000-0000B20F0000}"/>
    <cellStyle name="20% - Accent3 13 3 2 4" xfId="10968" xr:uid="{00000000-0005-0000-0000-0000B30F0000}"/>
    <cellStyle name="20% - Accent3 13 3 2 5" xfId="18923" xr:uid="{00000000-0005-0000-0000-0000B40F0000}"/>
    <cellStyle name="20% - Accent3 13 3 2_Exh G" xfId="2219" xr:uid="{00000000-0005-0000-0000-0000B50F0000}"/>
    <cellStyle name="20% - Accent3 13 3 3" xfId="3821" xr:uid="{00000000-0005-0000-0000-0000B60F0000}"/>
    <cellStyle name="20% - Accent3 13 3 3 2" xfId="7413" xr:uid="{00000000-0005-0000-0000-0000B70F0000}"/>
    <cellStyle name="20% - Accent3 13 3 3 2 2" xfId="15384" xr:uid="{00000000-0005-0000-0000-0000B80F0000}"/>
    <cellStyle name="20% - Accent3 13 3 3 2 3" xfId="23330" xr:uid="{00000000-0005-0000-0000-0000B90F0000}"/>
    <cellStyle name="20% - Accent3 13 3 3 3" xfId="11846" xr:uid="{00000000-0005-0000-0000-0000BA0F0000}"/>
    <cellStyle name="20% - Accent3 13 3 3 4" xfId="19801" xr:uid="{00000000-0005-0000-0000-0000BB0F0000}"/>
    <cellStyle name="20% - Accent3 13 3 4" xfId="5641" xr:uid="{00000000-0005-0000-0000-0000BC0F0000}"/>
    <cellStyle name="20% - Accent3 13 3 4 2" xfId="13625" xr:uid="{00000000-0005-0000-0000-0000BD0F0000}"/>
    <cellStyle name="20% - Accent3 13 3 4 3" xfId="21573" xr:uid="{00000000-0005-0000-0000-0000BE0F0000}"/>
    <cellStyle name="20% - Accent3 13 3 5" xfId="9194" xr:uid="{00000000-0005-0000-0000-0000BF0F0000}"/>
    <cellStyle name="20% - Accent3 13 3 5 2" xfId="17152" xr:uid="{00000000-0005-0000-0000-0000C00F0000}"/>
    <cellStyle name="20% - Accent3 13 3 5 3" xfId="25096" xr:uid="{00000000-0005-0000-0000-0000C10F0000}"/>
    <cellStyle name="20% - Accent3 13 3 6" xfId="10090" xr:uid="{00000000-0005-0000-0000-0000C20F0000}"/>
    <cellStyle name="20% - Accent3 13 3 7" xfId="18045" xr:uid="{00000000-0005-0000-0000-0000C30F0000}"/>
    <cellStyle name="20% - Accent3 13 3_Exh G" xfId="2218" xr:uid="{00000000-0005-0000-0000-0000C40F0000}"/>
    <cellStyle name="20% - Accent3 13 4" xfId="1167" xr:uid="{00000000-0005-0000-0000-0000C50F0000}"/>
    <cellStyle name="20% - Accent3 13 4 2" xfId="4697" xr:uid="{00000000-0005-0000-0000-0000C60F0000}"/>
    <cellStyle name="20% - Accent3 13 4 2 2" xfId="8288" xr:uid="{00000000-0005-0000-0000-0000C70F0000}"/>
    <cellStyle name="20% - Accent3 13 4 2 2 2" xfId="16259" xr:uid="{00000000-0005-0000-0000-0000C80F0000}"/>
    <cellStyle name="20% - Accent3 13 4 2 2 3" xfId="24205" xr:uid="{00000000-0005-0000-0000-0000C90F0000}"/>
    <cellStyle name="20% - Accent3 13 4 2 3" xfId="12721" xr:uid="{00000000-0005-0000-0000-0000CA0F0000}"/>
    <cellStyle name="20% - Accent3 13 4 2 4" xfId="20676" xr:uid="{00000000-0005-0000-0000-0000CB0F0000}"/>
    <cellStyle name="20% - Accent3 13 4 3" xfId="6529" xr:uid="{00000000-0005-0000-0000-0000CC0F0000}"/>
    <cellStyle name="20% - Accent3 13 4 3 2" xfId="14501" xr:uid="{00000000-0005-0000-0000-0000CD0F0000}"/>
    <cellStyle name="20% - Accent3 13 4 3 3" xfId="22448" xr:uid="{00000000-0005-0000-0000-0000CE0F0000}"/>
    <cellStyle name="20% - Accent3 13 4 4" xfId="10965" xr:uid="{00000000-0005-0000-0000-0000CF0F0000}"/>
    <cellStyle name="20% - Accent3 13 4 5" xfId="18920" xr:uid="{00000000-0005-0000-0000-0000D00F0000}"/>
    <cellStyle name="20% - Accent3 13 4_Exh G" xfId="2220" xr:uid="{00000000-0005-0000-0000-0000D10F0000}"/>
    <cellStyle name="20% - Accent3 13 5" xfId="3818" xr:uid="{00000000-0005-0000-0000-0000D20F0000}"/>
    <cellStyle name="20% - Accent3 13 5 2" xfId="7410" xr:uid="{00000000-0005-0000-0000-0000D30F0000}"/>
    <cellStyle name="20% - Accent3 13 5 2 2" xfId="15381" xr:uid="{00000000-0005-0000-0000-0000D40F0000}"/>
    <cellStyle name="20% - Accent3 13 5 2 3" xfId="23327" xr:uid="{00000000-0005-0000-0000-0000D50F0000}"/>
    <cellStyle name="20% - Accent3 13 5 3" xfId="11843" xr:uid="{00000000-0005-0000-0000-0000D60F0000}"/>
    <cellStyle name="20% - Accent3 13 5 4" xfId="19798" xr:uid="{00000000-0005-0000-0000-0000D70F0000}"/>
    <cellStyle name="20% - Accent3 13 6" xfId="5638" xr:uid="{00000000-0005-0000-0000-0000D80F0000}"/>
    <cellStyle name="20% - Accent3 13 6 2" xfId="13622" xr:uid="{00000000-0005-0000-0000-0000D90F0000}"/>
    <cellStyle name="20% - Accent3 13 6 3" xfId="21570" xr:uid="{00000000-0005-0000-0000-0000DA0F0000}"/>
    <cellStyle name="20% - Accent3 13 7" xfId="9191" xr:uid="{00000000-0005-0000-0000-0000DB0F0000}"/>
    <cellStyle name="20% - Accent3 13 7 2" xfId="17149" xr:uid="{00000000-0005-0000-0000-0000DC0F0000}"/>
    <cellStyle name="20% - Accent3 13 7 3" xfId="25093" xr:uid="{00000000-0005-0000-0000-0000DD0F0000}"/>
    <cellStyle name="20% - Accent3 13 8" xfId="10087" xr:uid="{00000000-0005-0000-0000-0000DE0F0000}"/>
    <cellStyle name="20% - Accent3 13 9" xfId="18042" xr:uid="{00000000-0005-0000-0000-0000DF0F0000}"/>
    <cellStyle name="20% - Accent3 13_Exh G" xfId="2213" xr:uid="{00000000-0005-0000-0000-0000E00F0000}"/>
    <cellStyle name="20% - Accent3 14" xfId="143" xr:uid="{00000000-0005-0000-0000-0000E10F0000}"/>
    <cellStyle name="20% - Accent3 14 2" xfId="144" xr:uid="{00000000-0005-0000-0000-0000E20F0000}"/>
    <cellStyle name="20% - Accent3 14 2 2" xfId="1172" xr:uid="{00000000-0005-0000-0000-0000E30F0000}"/>
    <cellStyle name="20% - Accent3 14 2 2 2" xfId="4702" xr:uid="{00000000-0005-0000-0000-0000E40F0000}"/>
    <cellStyle name="20% - Accent3 14 2 2 2 2" xfId="8293" xr:uid="{00000000-0005-0000-0000-0000E50F0000}"/>
    <cellStyle name="20% - Accent3 14 2 2 2 2 2" xfId="16264" xr:uid="{00000000-0005-0000-0000-0000E60F0000}"/>
    <cellStyle name="20% - Accent3 14 2 2 2 2 3" xfId="24210" xr:uid="{00000000-0005-0000-0000-0000E70F0000}"/>
    <cellStyle name="20% - Accent3 14 2 2 2 3" xfId="12726" xr:uid="{00000000-0005-0000-0000-0000E80F0000}"/>
    <cellStyle name="20% - Accent3 14 2 2 2 4" xfId="20681" xr:uid="{00000000-0005-0000-0000-0000E90F0000}"/>
    <cellStyle name="20% - Accent3 14 2 2 3" xfId="6534" xr:uid="{00000000-0005-0000-0000-0000EA0F0000}"/>
    <cellStyle name="20% - Accent3 14 2 2 3 2" xfId="14506" xr:uid="{00000000-0005-0000-0000-0000EB0F0000}"/>
    <cellStyle name="20% - Accent3 14 2 2 3 3" xfId="22453" xr:uid="{00000000-0005-0000-0000-0000EC0F0000}"/>
    <cellStyle name="20% - Accent3 14 2 2 4" xfId="10970" xr:uid="{00000000-0005-0000-0000-0000ED0F0000}"/>
    <cellStyle name="20% - Accent3 14 2 2 5" xfId="18925" xr:uid="{00000000-0005-0000-0000-0000EE0F0000}"/>
    <cellStyle name="20% - Accent3 14 2 2_Exh G" xfId="2223" xr:uid="{00000000-0005-0000-0000-0000EF0F0000}"/>
    <cellStyle name="20% - Accent3 14 2 3" xfId="3823" xr:uid="{00000000-0005-0000-0000-0000F00F0000}"/>
    <cellStyle name="20% - Accent3 14 2 3 2" xfId="7415" xr:uid="{00000000-0005-0000-0000-0000F10F0000}"/>
    <cellStyle name="20% - Accent3 14 2 3 2 2" xfId="15386" xr:uid="{00000000-0005-0000-0000-0000F20F0000}"/>
    <cellStyle name="20% - Accent3 14 2 3 2 3" xfId="23332" xr:uid="{00000000-0005-0000-0000-0000F30F0000}"/>
    <cellStyle name="20% - Accent3 14 2 3 3" xfId="11848" xr:uid="{00000000-0005-0000-0000-0000F40F0000}"/>
    <cellStyle name="20% - Accent3 14 2 3 4" xfId="19803" xr:uid="{00000000-0005-0000-0000-0000F50F0000}"/>
    <cellStyle name="20% - Accent3 14 2 4" xfId="5643" xr:uid="{00000000-0005-0000-0000-0000F60F0000}"/>
    <cellStyle name="20% - Accent3 14 2 4 2" xfId="13627" xr:uid="{00000000-0005-0000-0000-0000F70F0000}"/>
    <cellStyle name="20% - Accent3 14 2 4 3" xfId="21575" xr:uid="{00000000-0005-0000-0000-0000F80F0000}"/>
    <cellStyle name="20% - Accent3 14 2 5" xfId="9196" xr:uid="{00000000-0005-0000-0000-0000F90F0000}"/>
    <cellStyle name="20% - Accent3 14 2 5 2" xfId="17154" xr:uid="{00000000-0005-0000-0000-0000FA0F0000}"/>
    <cellStyle name="20% - Accent3 14 2 5 3" xfId="25098" xr:uid="{00000000-0005-0000-0000-0000FB0F0000}"/>
    <cellStyle name="20% - Accent3 14 2 6" xfId="10092" xr:uid="{00000000-0005-0000-0000-0000FC0F0000}"/>
    <cellStyle name="20% - Accent3 14 2 7" xfId="18047" xr:uid="{00000000-0005-0000-0000-0000FD0F0000}"/>
    <cellStyle name="20% - Accent3 14 2_Exh G" xfId="2222" xr:uid="{00000000-0005-0000-0000-0000FE0F0000}"/>
    <cellStyle name="20% - Accent3 14 3" xfId="1171" xr:uid="{00000000-0005-0000-0000-0000FF0F0000}"/>
    <cellStyle name="20% - Accent3 14 3 2" xfId="4701" xr:uid="{00000000-0005-0000-0000-000000100000}"/>
    <cellStyle name="20% - Accent3 14 3 2 2" xfId="8292" xr:uid="{00000000-0005-0000-0000-000001100000}"/>
    <cellStyle name="20% - Accent3 14 3 2 2 2" xfId="16263" xr:uid="{00000000-0005-0000-0000-000002100000}"/>
    <cellStyle name="20% - Accent3 14 3 2 2 3" xfId="24209" xr:uid="{00000000-0005-0000-0000-000003100000}"/>
    <cellStyle name="20% - Accent3 14 3 2 3" xfId="12725" xr:uid="{00000000-0005-0000-0000-000004100000}"/>
    <cellStyle name="20% - Accent3 14 3 2 4" xfId="20680" xr:uid="{00000000-0005-0000-0000-000005100000}"/>
    <cellStyle name="20% - Accent3 14 3 3" xfId="6533" xr:uid="{00000000-0005-0000-0000-000006100000}"/>
    <cellStyle name="20% - Accent3 14 3 3 2" xfId="14505" xr:uid="{00000000-0005-0000-0000-000007100000}"/>
    <cellStyle name="20% - Accent3 14 3 3 3" xfId="22452" xr:uid="{00000000-0005-0000-0000-000008100000}"/>
    <cellStyle name="20% - Accent3 14 3 4" xfId="10969" xr:uid="{00000000-0005-0000-0000-000009100000}"/>
    <cellStyle name="20% - Accent3 14 3 5" xfId="18924" xr:uid="{00000000-0005-0000-0000-00000A100000}"/>
    <cellStyle name="20% - Accent3 14 3_Exh G" xfId="2224" xr:uid="{00000000-0005-0000-0000-00000B100000}"/>
    <cellStyle name="20% - Accent3 14 4" xfId="3822" xr:uid="{00000000-0005-0000-0000-00000C100000}"/>
    <cellStyle name="20% - Accent3 14 4 2" xfId="7414" xr:uid="{00000000-0005-0000-0000-00000D100000}"/>
    <cellStyle name="20% - Accent3 14 4 2 2" xfId="15385" xr:uid="{00000000-0005-0000-0000-00000E100000}"/>
    <cellStyle name="20% - Accent3 14 4 2 3" xfId="23331" xr:uid="{00000000-0005-0000-0000-00000F100000}"/>
    <cellStyle name="20% - Accent3 14 4 3" xfId="11847" xr:uid="{00000000-0005-0000-0000-000010100000}"/>
    <cellStyle name="20% - Accent3 14 4 4" xfId="19802" xr:uid="{00000000-0005-0000-0000-000011100000}"/>
    <cellStyle name="20% - Accent3 14 5" xfId="5642" xr:uid="{00000000-0005-0000-0000-000012100000}"/>
    <cellStyle name="20% - Accent3 14 5 2" xfId="13626" xr:uid="{00000000-0005-0000-0000-000013100000}"/>
    <cellStyle name="20% - Accent3 14 5 3" xfId="21574" xr:uid="{00000000-0005-0000-0000-000014100000}"/>
    <cellStyle name="20% - Accent3 14 6" xfId="9195" xr:uid="{00000000-0005-0000-0000-000015100000}"/>
    <cellStyle name="20% - Accent3 14 6 2" xfId="17153" xr:uid="{00000000-0005-0000-0000-000016100000}"/>
    <cellStyle name="20% - Accent3 14 6 3" xfId="25097" xr:uid="{00000000-0005-0000-0000-000017100000}"/>
    <cellStyle name="20% - Accent3 14 7" xfId="10091" xr:uid="{00000000-0005-0000-0000-000018100000}"/>
    <cellStyle name="20% - Accent3 14 8" xfId="18046" xr:uid="{00000000-0005-0000-0000-000019100000}"/>
    <cellStyle name="20% - Accent3 14_Exh G" xfId="2221" xr:uid="{00000000-0005-0000-0000-00001A100000}"/>
    <cellStyle name="20% - Accent3 15" xfId="145" xr:uid="{00000000-0005-0000-0000-00001B100000}"/>
    <cellStyle name="20% - Accent3 15 2" xfId="1173" xr:uid="{00000000-0005-0000-0000-00001C100000}"/>
    <cellStyle name="20% - Accent3 15 2 2" xfId="4703" xr:uid="{00000000-0005-0000-0000-00001D100000}"/>
    <cellStyle name="20% - Accent3 15 2 2 2" xfId="8294" xr:uid="{00000000-0005-0000-0000-00001E100000}"/>
    <cellStyle name="20% - Accent3 15 2 2 2 2" xfId="16265" xr:uid="{00000000-0005-0000-0000-00001F100000}"/>
    <cellStyle name="20% - Accent3 15 2 2 2 3" xfId="24211" xr:uid="{00000000-0005-0000-0000-000020100000}"/>
    <cellStyle name="20% - Accent3 15 2 2 3" xfId="12727" xr:uid="{00000000-0005-0000-0000-000021100000}"/>
    <cellStyle name="20% - Accent3 15 2 2 4" xfId="20682" xr:uid="{00000000-0005-0000-0000-000022100000}"/>
    <cellStyle name="20% - Accent3 15 2 3" xfId="6535" xr:uid="{00000000-0005-0000-0000-000023100000}"/>
    <cellStyle name="20% - Accent3 15 2 3 2" xfId="14507" xr:uid="{00000000-0005-0000-0000-000024100000}"/>
    <cellStyle name="20% - Accent3 15 2 3 3" xfId="22454" xr:uid="{00000000-0005-0000-0000-000025100000}"/>
    <cellStyle name="20% - Accent3 15 2 4" xfId="10971" xr:uid="{00000000-0005-0000-0000-000026100000}"/>
    <cellStyle name="20% - Accent3 15 2 5" xfId="18926" xr:uid="{00000000-0005-0000-0000-000027100000}"/>
    <cellStyle name="20% - Accent3 15 2_Exh G" xfId="2226" xr:uid="{00000000-0005-0000-0000-000028100000}"/>
    <cellStyle name="20% - Accent3 15 3" xfId="3824" xr:uid="{00000000-0005-0000-0000-000029100000}"/>
    <cellStyle name="20% - Accent3 15 3 2" xfId="7416" xr:uid="{00000000-0005-0000-0000-00002A100000}"/>
    <cellStyle name="20% - Accent3 15 3 2 2" xfId="15387" xr:uid="{00000000-0005-0000-0000-00002B100000}"/>
    <cellStyle name="20% - Accent3 15 3 2 3" xfId="23333" xr:uid="{00000000-0005-0000-0000-00002C100000}"/>
    <cellStyle name="20% - Accent3 15 3 3" xfId="11849" xr:uid="{00000000-0005-0000-0000-00002D100000}"/>
    <cellStyle name="20% - Accent3 15 3 4" xfId="19804" xr:uid="{00000000-0005-0000-0000-00002E100000}"/>
    <cellStyle name="20% - Accent3 15 4" xfId="5644" xr:uid="{00000000-0005-0000-0000-00002F100000}"/>
    <cellStyle name="20% - Accent3 15 4 2" xfId="13628" xr:uid="{00000000-0005-0000-0000-000030100000}"/>
    <cellStyle name="20% - Accent3 15 4 3" xfId="21576" xr:uid="{00000000-0005-0000-0000-000031100000}"/>
    <cellStyle name="20% - Accent3 15 5" xfId="9197" xr:uid="{00000000-0005-0000-0000-000032100000}"/>
    <cellStyle name="20% - Accent3 15 5 2" xfId="17155" xr:uid="{00000000-0005-0000-0000-000033100000}"/>
    <cellStyle name="20% - Accent3 15 5 3" xfId="25099" xr:uid="{00000000-0005-0000-0000-000034100000}"/>
    <cellStyle name="20% - Accent3 15 6" xfId="10093" xr:uid="{00000000-0005-0000-0000-000035100000}"/>
    <cellStyle name="20% - Accent3 15 7" xfId="18048" xr:uid="{00000000-0005-0000-0000-000036100000}"/>
    <cellStyle name="20% - Accent3 15_Exh G" xfId="2225" xr:uid="{00000000-0005-0000-0000-000037100000}"/>
    <cellStyle name="20% - Accent3 16" xfId="845" xr:uid="{00000000-0005-0000-0000-000038100000}"/>
    <cellStyle name="20% - Accent3 16 2" xfId="1784" xr:uid="{00000000-0005-0000-0000-000039100000}"/>
    <cellStyle name="20% - Accent3 16 2 2" xfId="5305" xr:uid="{00000000-0005-0000-0000-00003A100000}"/>
    <cellStyle name="20% - Accent3 16 2 2 2" xfId="8896" xr:uid="{00000000-0005-0000-0000-00003B100000}"/>
    <cellStyle name="20% - Accent3 16 2 2 2 2" xfId="16867" xr:uid="{00000000-0005-0000-0000-00003C100000}"/>
    <cellStyle name="20% - Accent3 16 2 2 2 3" xfId="24813" xr:uid="{00000000-0005-0000-0000-00003D100000}"/>
    <cellStyle name="20% - Accent3 16 2 2 3" xfId="13329" xr:uid="{00000000-0005-0000-0000-00003E100000}"/>
    <cellStyle name="20% - Accent3 16 2 2 4" xfId="21284" xr:uid="{00000000-0005-0000-0000-00003F100000}"/>
    <cellStyle name="20% - Accent3 16 2 3" xfId="7137" xr:uid="{00000000-0005-0000-0000-000040100000}"/>
    <cellStyle name="20% - Accent3 16 2 3 2" xfId="15109" xr:uid="{00000000-0005-0000-0000-000041100000}"/>
    <cellStyle name="20% - Accent3 16 2 3 3" xfId="23056" xr:uid="{00000000-0005-0000-0000-000042100000}"/>
    <cellStyle name="20% - Accent3 16 2 4" xfId="11573" xr:uid="{00000000-0005-0000-0000-000043100000}"/>
    <cellStyle name="20% - Accent3 16 2 5" xfId="19528" xr:uid="{00000000-0005-0000-0000-000044100000}"/>
    <cellStyle name="20% - Accent3 16 2_Exh G" xfId="2228" xr:uid="{00000000-0005-0000-0000-000045100000}"/>
    <cellStyle name="20% - Accent3 16 3" xfId="4426" xr:uid="{00000000-0005-0000-0000-000046100000}"/>
    <cellStyle name="20% - Accent3 16 3 2" xfId="8018" xr:uid="{00000000-0005-0000-0000-000047100000}"/>
    <cellStyle name="20% - Accent3 16 3 2 2" xfId="15989" xr:uid="{00000000-0005-0000-0000-000048100000}"/>
    <cellStyle name="20% - Accent3 16 3 2 3" xfId="23935" xr:uid="{00000000-0005-0000-0000-000049100000}"/>
    <cellStyle name="20% - Accent3 16 3 3" xfId="12451" xr:uid="{00000000-0005-0000-0000-00004A100000}"/>
    <cellStyle name="20% - Accent3 16 3 4" xfId="20406" xr:uid="{00000000-0005-0000-0000-00004B100000}"/>
    <cellStyle name="20% - Accent3 16 4" xfId="6256" xr:uid="{00000000-0005-0000-0000-00004C100000}"/>
    <cellStyle name="20% - Accent3 16 4 2" xfId="14231" xr:uid="{00000000-0005-0000-0000-00004D100000}"/>
    <cellStyle name="20% - Accent3 16 4 3" xfId="22178" xr:uid="{00000000-0005-0000-0000-00004E100000}"/>
    <cellStyle name="20% - Accent3 16 5" xfId="9799" xr:uid="{00000000-0005-0000-0000-00004F100000}"/>
    <cellStyle name="20% - Accent3 16 5 2" xfId="17757" xr:uid="{00000000-0005-0000-0000-000050100000}"/>
    <cellStyle name="20% - Accent3 16 5 3" xfId="25701" xr:uid="{00000000-0005-0000-0000-000051100000}"/>
    <cellStyle name="20% - Accent3 16 6" xfId="10695" xr:uid="{00000000-0005-0000-0000-000052100000}"/>
    <cellStyle name="20% - Accent3 16 7" xfId="18650" xr:uid="{00000000-0005-0000-0000-000053100000}"/>
    <cellStyle name="20% - Accent3 16_Exh G" xfId="2227" xr:uid="{00000000-0005-0000-0000-000054100000}"/>
    <cellStyle name="20% - Accent3 2" xfId="146" xr:uid="{00000000-0005-0000-0000-000055100000}"/>
    <cellStyle name="20% - Accent3 2 10" xfId="18049" xr:uid="{00000000-0005-0000-0000-000056100000}"/>
    <cellStyle name="20% - Accent3 2 2" xfId="147" xr:uid="{00000000-0005-0000-0000-000057100000}"/>
    <cellStyle name="20% - Accent3 2 2 2" xfId="148" xr:uid="{00000000-0005-0000-0000-000058100000}"/>
    <cellStyle name="20% - Accent3 2 2 2 2" xfId="1176" xr:uid="{00000000-0005-0000-0000-000059100000}"/>
    <cellStyle name="20% - Accent3 2 2 2 2 2" xfId="4706" xr:uid="{00000000-0005-0000-0000-00005A100000}"/>
    <cellStyle name="20% - Accent3 2 2 2 2 2 2" xfId="8297" xr:uid="{00000000-0005-0000-0000-00005B100000}"/>
    <cellStyle name="20% - Accent3 2 2 2 2 2 2 2" xfId="16268" xr:uid="{00000000-0005-0000-0000-00005C100000}"/>
    <cellStyle name="20% - Accent3 2 2 2 2 2 2 3" xfId="24214" xr:uid="{00000000-0005-0000-0000-00005D100000}"/>
    <cellStyle name="20% - Accent3 2 2 2 2 2 3" xfId="12730" xr:uid="{00000000-0005-0000-0000-00005E100000}"/>
    <cellStyle name="20% - Accent3 2 2 2 2 2 4" xfId="20685" xr:uid="{00000000-0005-0000-0000-00005F100000}"/>
    <cellStyle name="20% - Accent3 2 2 2 2 3" xfId="6538" xr:uid="{00000000-0005-0000-0000-000060100000}"/>
    <cellStyle name="20% - Accent3 2 2 2 2 3 2" xfId="14510" xr:uid="{00000000-0005-0000-0000-000061100000}"/>
    <cellStyle name="20% - Accent3 2 2 2 2 3 3" xfId="22457" xr:uid="{00000000-0005-0000-0000-000062100000}"/>
    <cellStyle name="20% - Accent3 2 2 2 2 4" xfId="10974" xr:uid="{00000000-0005-0000-0000-000063100000}"/>
    <cellStyle name="20% - Accent3 2 2 2 2 5" xfId="18929" xr:uid="{00000000-0005-0000-0000-000064100000}"/>
    <cellStyle name="20% - Accent3 2 2 2 2_Exh G" xfId="2232" xr:uid="{00000000-0005-0000-0000-000065100000}"/>
    <cellStyle name="20% - Accent3 2 2 2 3" xfId="3827" xr:uid="{00000000-0005-0000-0000-000066100000}"/>
    <cellStyle name="20% - Accent3 2 2 2 3 2" xfId="7419" xr:uid="{00000000-0005-0000-0000-000067100000}"/>
    <cellStyle name="20% - Accent3 2 2 2 3 2 2" xfId="15390" xr:uid="{00000000-0005-0000-0000-000068100000}"/>
    <cellStyle name="20% - Accent3 2 2 2 3 2 3" xfId="23336" xr:uid="{00000000-0005-0000-0000-000069100000}"/>
    <cellStyle name="20% - Accent3 2 2 2 3 3" xfId="11852" xr:uid="{00000000-0005-0000-0000-00006A100000}"/>
    <cellStyle name="20% - Accent3 2 2 2 3 4" xfId="19807" xr:uid="{00000000-0005-0000-0000-00006B100000}"/>
    <cellStyle name="20% - Accent3 2 2 2 4" xfId="5647" xr:uid="{00000000-0005-0000-0000-00006C100000}"/>
    <cellStyle name="20% - Accent3 2 2 2 4 2" xfId="13631" xr:uid="{00000000-0005-0000-0000-00006D100000}"/>
    <cellStyle name="20% - Accent3 2 2 2 4 3" xfId="21579" xr:uid="{00000000-0005-0000-0000-00006E100000}"/>
    <cellStyle name="20% - Accent3 2 2 2 5" xfId="9200" xr:uid="{00000000-0005-0000-0000-00006F100000}"/>
    <cellStyle name="20% - Accent3 2 2 2 5 2" xfId="17158" xr:uid="{00000000-0005-0000-0000-000070100000}"/>
    <cellStyle name="20% - Accent3 2 2 2 5 3" xfId="25102" xr:uid="{00000000-0005-0000-0000-000071100000}"/>
    <cellStyle name="20% - Accent3 2 2 2 6" xfId="10096" xr:uid="{00000000-0005-0000-0000-000072100000}"/>
    <cellStyle name="20% - Accent3 2 2 2 7" xfId="18051" xr:uid="{00000000-0005-0000-0000-000073100000}"/>
    <cellStyle name="20% - Accent3 2 2 2_Exh G" xfId="2231" xr:uid="{00000000-0005-0000-0000-000074100000}"/>
    <cellStyle name="20% - Accent3 2 2 3" xfId="888" xr:uid="{00000000-0005-0000-0000-000075100000}"/>
    <cellStyle name="20% - Accent3 2 2 3 2" xfId="1820" xr:uid="{00000000-0005-0000-0000-000076100000}"/>
    <cellStyle name="20% - Accent3 2 2 3 2 2" xfId="5338" xr:uid="{00000000-0005-0000-0000-000077100000}"/>
    <cellStyle name="20% - Accent3 2 2 3 2 2 2" xfId="8929" xr:uid="{00000000-0005-0000-0000-000078100000}"/>
    <cellStyle name="20% - Accent3 2 2 3 2 2 2 2" xfId="16900" xr:uid="{00000000-0005-0000-0000-000079100000}"/>
    <cellStyle name="20% - Accent3 2 2 3 2 2 2 3" xfId="24846" xr:uid="{00000000-0005-0000-0000-00007A100000}"/>
    <cellStyle name="20% - Accent3 2 2 3 2 2 3" xfId="13362" xr:uid="{00000000-0005-0000-0000-00007B100000}"/>
    <cellStyle name="20% - Accent3 2 2 3 2 2 4" xfId="21317" xr:uid="{00000000-0005-0000-0000-00007C100000}"/>
    <cellStyle name="20% - Accent3 2 2 3 2 3" xfId="7170" xr:uid="{00000000-0005-0000-0000-00007D100000}"/>
    <cellStyle name="20% - Accent3 2 2 3 2 3 2" xfId="15142" xr:uid="{00000000-0005-0000-0000-00007E100000}"/>
    <cellStyle name="20% - Accent3 2 2 3 2 3 3" xfId="23089" xr:uid="{00000000-0005-0000-0000-00007F100000}"/>
    <cellStyle name="20% - Accent3 2 2 3 2 4" xfId="11606" xr:uid="{00000000-0005-0000-0000-000080100000}"/>
    <cellStyle name="20% - Accent3 2 2 3 2 5" xfId="19561" xr:uid="{00000000-0005-0000-0000-000081100000}"/>
    <cellStyle name="20% - Accent3 2 2 3 2_Exh G" xfId="2234" xr:uid="{00000000-0005-0000-0000-000082100000}"/>
    <cellStyle name="20% - Accent3 2 2 3 3" xfId="4459" xr:uid="{00000000-0005-0000-0000-000083100000}"/>
    <cellStyle name="20% - Accent3 2 2 3 3 2" xfId="8051" xr:uid="{00000000-0005-0000-0000-000084100000}"/>
    <cellStyle name="20% - Accent3 2 2 3 3 2 2" xfId="16022" xr:uid="{00000000-0005-0000-0000-000085100000}"/>
    <cellStyle name="20% - Accent3 2 2 3 3 2 3" xfId="23968" xr:uid="{00000000-0005-0000-0000-000086100000}"/>
    <cellStyle name="20% - Accent3 2 2 3 3 3" xfId="12484" xr:uid="{00000000-0005-0000-0000-000087100000}"/>
    <cellStyle name="20% - Accent3 2 2 3 3 4" xfId="20439" xr:uid="{00000000-0005-0000-0000-000088100000}"/>
    <cellStyle name="20% - Accent3 2 2 3 4" xfId="6289" xr:uid="{00000000-0005-0000-0000-000089100000}"/>
    <cellStyle name="20% - Accent3 2 2 3 4 2" xfId="14264" xr:uid="{00000000-0005-0000-0000-00008A100000}"/>
    <cellStyle name="20% - Accent3 2 2 3 4 3" xfId="22211" xr:uid="{00000000-0005-0000-0000-00008B100000}"/>
    <cellStyle name="20% - Accent3 2 2 3 5" xfId="9832" xr:uid="{00000000-0005-0000-0000-00008C100000}"/>
    <cellStyle name="20% - Accent3 2 2 3 5 2" xfId="17790" xr:uid="{00000000-0005-0000-0000-00008D100000}"/>
    <cellStyle name="20% - Accent3 2 2 3 5 3" xfId="25734" xr:uid="{00000000-0005-0000-0000-00008E100000}"/>
    <cellStyle name="20% - Accent3 2 2 3 6" xfId="10728" xr:uid="{00000000-0005-0000-0000-00008F100000}"/>
    <cellStyle name="20% - Accent3 2 2 3 7" xfId="18683" xr:uid="{00000000-0005-0000-0000-000090100000}"/>
    <cellStyle name="20% - Accent3 2 2 3_Exh G" xfId="2233" xr:uid="{00000000-0005-0000-0000-000091100000}"/>
    <cellStyle name="20% - Accent3 2 2 4" xfId="1175" xr:uid="{00000000-0005-0000-0000-000092100000}"/>
    <cellStyle name="20% - Accent3 2 2 4 2" xfId="4705" xr:uid="{00000000-0005-0000-0000-000093100000}"/>
    <cellStyle name="20% - Accent3 2 2 4 2 2" xfId="8296" xr:uid="{00000000-0005-0000-0000-000094100000}"/>
    <cellStyle name="20% - Accent3 2 2 4 2 2 2" xfId="16267" xr:uid="{00000000-0005-0000-0000-000095100000}"/>
    <cellStyle name="20% - Accent3 2 2 4 2 2 3" xfId="24213" xr:uid="{00000000-0005-0000-0000-000096100000}"/>
    <cellStyle name="20% - Accent3 2 2 4 2 3" xfId="12729" xr:uid="{00000000-0005-0000-0000-000097100000}"/>
    <cellStyle name="20% - Accent3 2 2 4 2 4" xfId="20684" xr:uid="{00000000-0005-0000-0000-000098100000}"/>
    <cellStyle name="20% - Accent3 2 2 4 3" xfId="6537" xr:uid="{00000000-0005-0000-0000-000099100000}"/>
    <cellStyle name="20% - Accent3 2 2 4 3 2" xfId="14509" xr:uid="{00000000-0005-0000-0000-00009A100000}"/>
    <cellStyle name="20% - Accent3 2 2 4 3 3" xfId="22456" xr:uid="{00000000-0005-0000-0000-00009B100000}"/>
    <cellStyle name="20% - Accent3 2 2 4 4" xfId="10973" xr:uid="{00000000-0005-0000-0000-00009C100000}"/>
    <cellStyle name="20% - Accent3 2 2 4 5" xfId="18928" xr:uid="{00000000-0005-0000-0000-00009D100000}"/>
    <cellStyle name="20% - Accent3 2 2 4_Exh G" xfId="2235" xr:uid="{00000000-0005-0000-0000-00009E100000}"/>
    <cellStyle name="20% - Accent3 2 2 5" xfId="3826" xr:uid="{00000000-0005-0000-0000-00009F100000}"/>
    <cellStyle name="20% - Accent3 2 2 5 2" xfId="7418" xr:uid="{00000000-0005-0000-0000-0000A0100000}"/>
    <cellStyle name="20% - Accent3 2 2 5 2 2" xfId="15389" xr:uid="{00000000-0005-0000-0000-0000A1100000}"/>
    <cellStyle name="20% - Accent3 2 2 5 2 3" xfId="23335" xr:uid="{00000000-0005-0000-0000-0000A2100000}"/>
    <cellStyle name="20% - Accent3 2 2 5 3" xfId="11851" xr:uid="{00000000-0005-0000-0000-0000A3100000}"/>
    <cellStyle name="20% - Accent3 2 2 5 4" xfId="19806" xr:uid="{00000000-0005-0000-0000-0000A4100000}"/>
    <cellStyle name="20% - Accent3 2 2 6" xfId="5646" xr:uid="{00000000-0005-0000-0000-0000A5100000}"/>
    <cellStyle name="20% - Accent3 2 2 6 2" xfId="13630" xr:uid="{00000000-0005-0000-0000-0000A6100000}"/>
    <cellStyle name="20% - Accent3 2 2 6 3" xfId="21578" xr:uid="{00000000-0005-0000-0000-0000A7100000}"/>
    <cellStyle name="20% - Accent3 2 2 7" xfId="9199" xr:uid="{00000000-0005-0000-0000-0000A8100000}"/>
    <cellStyle name="20% - Accent3 2 2 7 2" xfId="17157" xr:uid="{00000000-0005-0000-0000-0000A9100000}"/>
    <cellStyle name="20% - Accent3 2 2 7 3" xfId="25101" xr:uid="{00000000-0005-0000-0000-0000AA100000}"/>
    <cellStyle name="20% - Accent3 2 2 8" xfId="10095" xr:uid="{00000000-0005-0000-0000-0000AB100000}"/>
    <cellStyle name="20% - Accent3 2 2 9" xfId="18050" xr:uid="{00000000-0005-0000-0000-0000AC100000}"/>
    <cellStyle name="20% - Accent3 2 2_Exh G" xfId="2230" xr:uid="{00000000-0005-0000-0000-0000AD100000}"/>
    <cellStyle name="20% - Accent3 2 3" xfId="149" xr:uid="{00000000-0005-0000-0000-0000AE100000}"/>
    <cellStyle name="20% - Accent3 2 3 2" xfId="1177" xr:uid="{00000000-0005-0000-0000-0000AF100000}"/>
    <cellStyle name="20% - Accent3 2 3 2 2" xfId="4707" xr:uid="{00000000-0005-0000-0000-0000B0100000}"/>
    <cellStyle name="20% - Accent3 2 3 2 2 2" xfId="8298" xr:uid="{00000000-0005-0000-0000-0000B1100000}"/>
    <cellStyle name="20% - Accent3 2 3 2 2 2 2" xfId="16269" xr:uid="{00000000-0005-0000-0000-0000B2100000}"/>
    <cellStyle name="20% - Accent3 2 3 2 2 2 3" xfId="24215" xr:uid="{00000000-0005-0000-0000-0000B3100000}"/>
    <cellStyle name="20% - Accent3 2 3 2 2 3" xfId="12731" xr:uid="{00000000-0005-0000-0000-0000B4100000}"/>
    <cellStyle name="20% - Accent3 2 3 2 2 4" xfId="20686" xr:uid="{00000000-0005-0000-0000-0000B5100000}"/>
    <cellStyle name="20% - Accent3 2 3 2 3" xfId="6539" xr:uid="{00000000-0005-0000-0000-0000B6100000}"/>
    <cellStyle name="20% - Accent3 2 3 2 3 2" xfId="14511" xr:uid="{00000000-0005-0000-0000-0000B7100000}"/>
    <cellStyle name="20% - Accent3 2 3 2 3 3" xfId="22458" xr:uid="{00000000-0005-0000-0000-0000B8100000}"/>
    <cellStyle name="20% - Accent3 2 3 2 4" xfId="10975" xr:uid="{00000000-0005-0000-0000-0000B9100000}"/>
    <cellStyle name="20% - Accent3 2 3 2 5" xfId="18930" xr:uid="{00000000-0005-0000-0000-0000BA100000}"/>
    <cellStyle name="20% - Accent3 2 3 2_Exh G" xfId="2237" xr:uid="{00000000-0005-0000-0000-0000BB100000}"/>
    <cellStyle name="20% - Accent3 2 3 3" xfId="3828" xr:uid="{00000000-0005-0000-0000-0000BC100000}"/>
    <cellStyle name="20% - Accent3 2 3 3 2" xfId="7420" xr:uid="{00000000-0005-0000-0000-0000BD100000}"/>
    <cellStyle name="20% - Accent3 2 3 3 2 2" xfId="15391" xr:uid="{00000000-0005-0000-0000-0000BE100000}"/>
    <cellStyle name="20% - Accent3 2 3 3 2 3" xfId="23337" xr:uid="{00000000-0005-0000-0000-0000BF100000}"/>
    <cellStyle name="20% - Accent3 2 3 3 3" xfId="11853" xr:uid="{00000000-0005-0000-0000-0000C0100000}"/>
    <cellStyle name="20% - Accent3 2 3 3 4" xfId="19808" xr:uid="{00000000-0005-0000-0000-0000C1100000}"/>
    <cellStyle name="20% - Accent3 2 3 4" xfId="5648" xr:uid="{00000000-0005-0000-0000-0000C2100000}"/>
    <cellStyle name="20% - Accent3 2 3 4 2" xfId="13632" xr:uid="{00000000-0005-0000-0000-0000C3100000}"/>
    <cellStyle name="20% - Accent3 2 3 4 3" xfId="21580" xr:uid="{00000000-0005-0000-0000-0000C4100000}"/>
    <cellStyle name="20% - Accent3 2 3 5" xfId="9201" xr:uid="{00000000-0005-0000-0000-0000C5100000}"/>
    <cellStyle name="20% - Accent3 2 3 5 2" xfId="17159" xr:uid="{00000000-0005-0000-0000-0000C6100000}"/>
    <cellStyle name="20% - Accent3 2 3 5 3" xfId="25103" xr:uid="{00000000-0005-0000-0000-0000C7100000}"/>
    <cellStyle name="20% - Accent3 2 3 6" xfId="10097" xr:uid="{00000000-0005-0000-0000-0000C8100000}"/>
    <cellStyle name="20% - Accent3 2 3 7" xfId="18052" xr:uid="{00000000-0005-0000-0000-0000C9100000}"/>
    <cellStyle name="20% - Accent3 2 3_Exh G" xfId="2236" xr:uid="{00000000-0005-0000-0000-0000CA100000}"/>
    <cellStyle name="20% - Accent3 2 4" xfId="887" xr:uid="{00000000-0005-0000-0000-0000CB100000}"/>
    <cellStyle name="20% - Accent3 2 4 2" xfId="1819" xr:uid="{00000000-0005-0000-0000-0000CC100000}"/>
    <cellStyle name="20% - Accent3 2 4 2 2" xfId="5337" xr:uid="{00000000-0005-0000-0000-0000CD100000}"/>
    <cellStyle name="20% - Accent3 2 4 2 2 2" xfId="8928" xr:uid="{00000000-0005-0000-0000-0000CE100000}"/>
    <cellStyle name="20% - Accent3 2 4 2 2 2 2" xfId="16899" xr:uid="{00000000-0005-0000-0000-0000CF100000}"/>
    <cellStyle name="20% - Accent3 2 4 2 2 2 3" xfId="24845" xr:uid="{00000000-0005-0000-0000-0000D0100000}"/>
    <cellStyle name="20% - Accent3 2 4 2 2 3" xfId="13361" xr:uid="{00000000-0005-0000-0000-0000D1100000}"/>
    <cellStyle name="20% - Accent3 2 4 2 2 4" xfId="21316" xr:uid="{00000000-0005-0000-0000-0000D2100000}"/>
    <cellStyle name="20% - Accent3 2 4 2 3" xfId="7169" xr:uid="{00000000-0005-0000-0000-0000D3100000}"/>
    <cellStyle name="20% - Accent3 2 4 2 3 2" xfId="15141" xr:uid="{00000000-0005-0000-0000-0000D4100000}"/>
    <cellStyle name="20% - Accent3 2 4 2 3 3" xfId="23088" xr:uid="{00000000-0005-0000-0000-0000D5100000}"/>
    <cellStyle name="20% - Accent3 2 4 2 4" xfId="11605" xr:uid="{00000000-0005-0000-0000-0000D6100000}"/>
    <cellStyle name="20% - Accent3 2 4 2 5" xfId="19560" xr:uid="{00000000-0005-0000-0000-0000D7100000}"/>
    <cellStyle name="20% - Accent3 2 4 2_Exh G" xfId="2239" xr:uid="{00000000-0005-0000-0000-0000D8100000}"/>
    <cellStyle name="20% - Accent3 2 4 3" xfId="4458" xr:uid="{00000000-0005-0000-0000-0000D9100000}"/>
    <cellStyle name="20% - Accent3 2 4 3 2" xfId="8050" xr:uid="{00000000-0005-0000-0000-0000DA100000}"/>
    <cellStyle name="20% - Accent3 2 4 3 2 2" xfId="16021" xr:uid="{00000000-0005-0000-0000-0000DB100000}"/>
    <cellStyle name="20% - Accent3 2 4 3 2 3" xfId="23967" xr:uid="{00000000-0005-0000-0000-0000DC100000}"/>
    <cellStyle name="20% - Accent3 2 4 3 3" xfId="12483" xr:uid="{00000000-0005-0000-0000-0000DD100000}"/>
    <cellStyle name="20% - Accent3 2 4 3 4" xfId="20438" xr:uid="{00000000-0005-0000-0000-0000DE100000}"/>
    <cellStyle name="20% - Accent3 2 4 4" xfId="6288" xr:uid="{00000000-0005-0000-0000-0000DF100000}"/>
    <cellStyle name="20% - Accent3 2 4 4 2" xfId="14263" xr:uid="{00000000-0005-0000-0000-0000E0100000}"/>
    <cellStyle name="20% - Accent3 2 4 4 3" xfId="22210" xr:uid="{00000000-0005-0000-0000-0000E1100000}"/>
    <cellStyle name="20% - Accent3 2 4 5" xfId="9831" xr:uid="{00000000-0005-0000-0000-0000E2100000}"/>
    <cellStyle name="20% - Accent3 2 4 5 2" xfId="17789" xr:uid="{00000000-0005-0000-0000-0000E3100000}"/>
    <cellStyle name="20% - Accent3 2 4 5 3" xfId="25733" xr:uid="{00000000-0005-0000-0000-0000E4100000}"/>
    <cellStyle name="20% - Accent3 2 4 6" xfId="10727" xr:uid="{00000000-0005-0000-0000-0000E5100000}"/>
    <cellStyle name="20% - Accent3 2 4 7" xfId="18682" xr:uid="{00000000-0005-0000-0000-0000E6100000}"/>
    <cellStyle name="20% - Accent3 2 4_Exh G" xfId="2238" xr:uid="{00000000-0005-0000-0000-0000E7100000}"/>
    <cellStyle name="20% - Accent3 2 5" xfId="1174" xr:uid="{00000000-0005-0000-0000-0000E8100000}"/>
    <cellStyle name="20% - Accent3 2 5 2" xfId="4704" xr:uid="{00000000-0005-0000-0000-0000E9100000}"/>
    <cellStyle name="20% - Accent3 2 5 2 2" xfId="8295" xr:uid="{00000000-0005-0000-0000-0000EA100000}"/>
    <cellStyle name="20% - Accent3 2 5 2 2 2" xfId="16266" xr:uid="{00000000-0005-0000-0000-0000EB100000}"/>
    <cellStyle name="20% - Accent3 2 5 2 2 3" xfId="24212" xr:uid="{00000000-0005-0000-0000-0000EC100000}"/>
    <cellStyle name="20% - Accent3 2 5 2 3" xfId="12728" xr:uid="{00000000-0005-0000-0000-0000ED100000}"/>
    <cellStyle name="20% - Accent3 2 5 2 4" xfId="20683" xr:uid="{00000000-0005-0000-0000-0000EE100000}"/>
    <cellStyle name="20% - Accent3 2 5 3" xfId="6536" xr:uid="{00000000-0005-0000-0000-0000EF100000}"/>
    <cellStyle name="20% - Accent3 2 5 3 2" xfId="14508" xr:uid="{00000000-0005-0000-0000-0000F0100000}"/>
    <cellStyle name="20% - Accent3 2 5 3 3" xfId="22455" xr:uid="{00000000-0005-0000-0000-0000F1100000}"/>
    <cellStyle name="20% - Accent3 2 5 4" xfId="10972" xr:uid="{00000000-0005-0000-0000-0000F2100000}"/>
    <cellStyle name="20% - Accent3 2 5 5" xfId="18927" xr:uid="{00000000-0005-0000-0000-0000F3100000}"/>
    <cellStyle name="20% - Accent3 2 5_Exh G" xfId="2240" xr:uid="{00000000-0005-0000-0000-0000F4100000}"/>
    <cellStyle name="20% - Accent3 2 6" xfId="3825" xr:uid="{00000000-0005-0000-0000-0000F5100000}"/>
    <cellStyle name="20% - Accent3 2 6 2" xfId="7417" xr:uid="{00000000-0005-0000-0000-0000F6100000}"/>
    <cellStyle name="20% - Accent3 2 6 2 2" xfId="15388" xr:uid="{00000000-0005-0000-0000-0000F7100000}"/>
    <cellStyle name="20% - Accent3 2 6 2 3" xfId="23334" xr:uid="{00000000-0005-0000-0000-0000F8100000}"/>
    <cellStyle name="20% - Accent3 2 6 3" xfId="11850" xr:uid="{00000000-0005-0000-0000-0000F9100000}"/>
    <cellStyle name="20% - Accent3 2 6 4" xfId="19805" xr:uid="{00000000-0005-0000-0000-0000FA100000}"/>
    <cellStyle name="20% - Accent3 2 7" xfId="5645" xr:uid="{00000000-0005-0000-0000-0000FB100000}"/>
    <cellStyle name="20% - Accent3 2 7 2" xfId="13629" xr:uid="{00000000-0005-0000-0000-0000FC100000}"/>
    <cellStyle name="20% - Accent3 2 7 3" xfId="21577" xr:uid="{00000000-0005-0000-0000-0000FD100000}"/>
    <cellStyle name="20% - Accent3 2 8" xfId="9198" xr:uid="{00000000-0005-0000-0000-0000FE100000}"/>
    <cellStyle name="20% - Accent3 2 8 2" xfId="17156" xr:uid="{00000000-0005-0000-0000-0000FF100000}"/>
    <cellStyle name="20% - Accent3 2 8 3" xfId="25100" xr:uid="{00000000-0005-0000-0000-000000110000}"/>
    <cellStyle name="20% - Accent3 2 9" xfId="10094" xr:uid="{00000000-0005-0000-0000-000001110000}"/>
    <cellStyle name="20% - Accent3 2_Exh G" xfId="2229" xr:uid="{00000000-0005-0000-0000-000002110000}"/>
    <cellStyle name="20% - Accent3 3" xfId="150" xr:uid="{00000000-0005-0000-0000-000003110000}"/>
    <cellStyle name="20% - Accent3 3 10" xfId="18053" xr:uid="{00000000-0005-0000-0000-000004110000}"/>
    <cellStyle name="20% - Accent3 3 2" xfId="151" xr:uid="{00000000-0005-0000-0000-000005110000}"/>
    <cellStyle name="20% - Accent3 3 2 2" xfId="152" xr:uid="{00000000-0005-0000-0000-000006110000}"/>
    <cellStyle name="20% - Accent3 3 2 2 2" xfId="1180" xr:uid="{00000000-0005-0000-0000-000007110000}"/>
    <cellStyle name="20% - Accent3 3 2 2 2 2" xfId="4710" xr:uid="{00000000-0005-0000-0000-000008110000}"/>
    <cellStyle name="20% - Accent3 3 2 2 2 2 2" xfId="8301" xr:uid="{00000000-0005-0000-0000-000009110000}"/>
    <cellStyle name="20% - Accent3 3 2 2 2 2 2 2" xfId="16272" xr:uid="{00000000-0005-0000-0000-00000A110000}"/>
    <cellStyle name="20% - Accent3 3 2 2 2 2 2 3" xfId="24218" xr:uid="{00000000-0005-0000-0000-00000B110000}"/>
    <cellStyle name="20% - Accent3 3 2 2 2 2 3" xfId="12734" xr:uid="{00000000-0005-0000-0000-00000C110000}"/>
    <cellStyle name="20% - Accent3 3 2 2 2 2 4" xfId="20689" xr:uid="{00000000-0005-0000-0000-00000D110000}"/>
    <cellStyle name="20% - Accent3 3 2 2 2 3" xfId="6542" xr:uid="{00000000-0005-0000-0000-00000E110000}"/>
    <cellStyle name="20% - Accent3 3 2 2 2 3 2" xfId="14514" xr:uid="{00000000-0005-0000-0000-00000F110000}"/>
    <cellStyle name="20% - Accent3 3 2 2 2 3 3" xfId="22461" xr:uid="{00000000-0005-0000-0000-000010110000}"/>
    <cellStyle name="20% - Accent3 3 2 2 2 4" xfId="10978" xr:uid="{00000000-0005-0000-0000-000011110000}"/>
    <cellStyle name="20% - Accent3 3 2 2 2 5" xfId="18933" xr:uid="{00000000-0005-0000-0000-000012110000}"/>
    <cellStyle name="20% - Accent3 3 2 2 2_Exh G" xfId="2244" xr:uid="{00000000-0005-0000-0000-000013110000}"/>
    <cellStyle name="20% - Accent3 3 2 2 3" xfId="3831" xr:uid="{00000000-0005-0000-0000-000014110000}"/>
    <cellStyle name="20% - Accent3 3 2 2 3 2" xfId="7423" xr:uid="{00000000-0005-0000-0000-000015110000}"/>
    <cellStyle name="20% - Accent3 3 2 2 3 2 2" xfId="15394" xr:uid="{00000000-0005-0000-0000-000016110000}"/>
    <cellStyle name="20% - Accent3 3 2 2 3 2 3" xfId="23340" xr:uid="{00000000-0005-0000-0000-000017110000}"/>
    <cellStyle name="20% - Accent3 3 2 2 3 3" xfId="11856" xr:uid="{00000000-0005-0000-0000-000018110000}"/>
    <cellStyle name="20% - Accent3 3 2 2 3 4" xfId="19811" xr:uid="{00000000-0005-0000-0000-000019110000}"/>
    <cellStyle name="20% - Accent3 3 2 2 4" xfId="5651" xr:uid="{00000000-0005-0000-0000-00001A110000}"/>
    <cellStyle name="20% - Accent3 3 2 2 4 2" xfId="13635" xr:uid="{00000000-0005-0000-0000-00001B110000}"/>
    <cellStyle name="20% - Accent3 3 2 2 4 3" xfId="21583" xr:uid="{00000000-0005-0000-0000-00001C110000}"/>
    <cellStyle name="20% - Accent3 3 2 2 5" xfId="9204" xr:uid="{00000000-0005-0000-0000-00001D110000}"/>
    <cellStyle name="20% - Accent3 3 2 2 5 2" xfId="17162" xr:uid="{00000000-0005-0000-0000-00001E110000}"/>
    <cellStyle name="20% - Accent3 3 2 2 5 3" xfId="25106" xr:uid="{00000000-0005-0000-0000-00001F110000}"/>
    <cellStyle name="20% - Accent3 3 2 2 6" xfId="10100" xr:uid="{00000000-0005-0000-0000-000020110000}"/>
    <cellStyle name="20% - Accent3 3 2 2 7" xfId="18055" xr:uid="{00000000-0005-0000-0000-000021110000}"/>
    <cellStyle name="20% - Accent3 3 2 2_Exh G" xfId="2243" xr:uid="{00000000-0005-0000-0000-000022110000}"/>
    <cellStyle name="20% - Accent3 3 2 3" xfId="890" xr:uid="{00000000-0005-0000-0000-000023110000}"/>
    <cellStyle name="20% - Accent3 3 2 3 2" xfId="1822" xr:uid="{00000000-0005-0000-0000-000024110000}"/>
    <cellStyle name="20% - Accent3 3 2 3 2 2" xfId="5340" xr:uid="{00000000-0005-0000-0000-000025110000}"/>
    <cellStyle name="20% - Accent3 3 2 3 2 2 2" xfId="8931" xr:uid="{00000000-0005-0000-0000-000026110000}"/>
    <cellStyle name="20% - Accent3 3 2 3 2 2 2 2" xfId="16902" xr:uid="{00000000-0005-0000-0000-000027110000}"/>
    <cellStyle name="20% - Accent3 3 2 3 2 2 2 3" xfId="24848" xr:uid="{00000000-0005-0000-0000-000028110000}"/>
    <cellStyle name="20% - Accent3 3 2 3 2 2 3" xfId="13364" xr:uid="{00000000-0005-0000-0000-000029110000}"/>
    <cellStyle name="20% - Accent3 3 2 3 2 2 4" xfId="21319" xr:uid="{00000000-0005-0000-0000-00002A110000}"/>
    <cellStyle name="20% - Accent3 3 2 3 2 3" xfId="7172" xr:uid="{00000000-0005-0000-0000-00002B110000}"/>
    <cellStyle name="20% - Accent3 3 2 3 2 3 2" xfId="15144" xr:uid="{00000000-0005-0000-0000-00002C110000}"/>
    <cellStyle name="20% - Accent3 3 2 3 2 3 3" xfId="23091" xr:uid="{00000000-0005-0000-0000-00002D110000}"/>
    <cellStyle name="20% - Accent3 3 2 3 2 4" xfId="11608" xr:uid="{00000000-0005-0000-0000-00002E110000}"/>
    <cellStyle name="20% - Accent3 3 2 3 2 5" xfId="19563" xr:uid="{00000000-0005-0000-0000-00002F110000}"/>
    <cellStyle name="20% - Accent3 3 2 3 2_Exh G" xfId="2246" xr:uid="{00000000-0005-0000-0000-000030110000}"/>
    <cellStyle name="20% - Accent3 3 2 3 3" xfId="4461" xr:uid="{00000000-0005-0000-0000-000031110000}"/>
    <cellStyle name="20% - Accent3 3 2 3 3 2" xfId="8053" xr:uid="{00000000-0005-0000-0000-000032110000}"/>
    <cellStyle name="20% - Accent3 3 2 3 3 2 2" xfId="16024" xr:uid="{00000000-0005-0000-0000-000033110000}"/>
    <cellStyle name="20% - Accent3 3 2 3 3 2 3" xfId="23970" xr:uid="{00000000-0005-0000-0000-000034110000}"/>
    <cellStyle name="20% - Accent3 3 2 3 3 3" xfId="12486" xr:uid="{00000000-0005-0000-0000-000035110000}"/>
    <cellStyle name="20% - Accent3 3 2 3 3 4" xfId="20441" xr:uid="{00000000-0005-0000-0000-000036110000}"/>
    <cellStyle name="20% - Accent3 3 2 3 4" xfId="6291" xr:uid="{00000000-0005-0000-0000-000037110000}"/>
    <cellStyle name="20% - Accent3 3 2 3 4 2" xfId="14266" xr:uid="{00000000-0005-0000-0000-000038110000}"/>
    <cellStyle name="20% - Accent3 3 2 3 4 3" xfId="22213" xr:uid="{00000000-0005-0000-0000-000039110000}"/>
    <cellStyle name="20% - Accent3 3 2 3 5" xfId="9834" xr:uid="{00000000-0005-0000-0000-00003A110000}"/>
    <cellStyle name="20% - Accent3 3 2 3 5 2" xfId="17792" xr:uid="{00000000-0005-0000-0000-00003B110000}"/>
    <cellStyle name="20% - Accent3 3 2 3 5 3" xfId="25736" xr:uid="{00000000-0005-0000-0000-00003C110000}"/>
    <cellStyle name="20% - Accent3 3 2 3 6" xfId="10730" xr:uid="{00000000-0005-0000-0000-00003D110000}"/>
    <cellStyle name="20% - Accent3 3 2 3 7" xfId="18685" xr:uid="{00000000-0005-0000-0000-00003E110000}"/>
    <cellStyle name="20% - Accent3 3 2 3_Exh G" xfId="2245" xr:uid="{00000000-0005-0000-0000-00003F110000}"/>
    <cellStyle name="20% - Accent3 3 2 4" xfId="1179" xr:uid="{00000000-0005-0000-0000-000040110000}"/>
    <cellStyle name="20% - Accent3 3 2 4 2" xfId="4709" xr:uid="{00000000-0005-0000-0000-000041110000}"/>
    <cellStyle name="20% - Accent3 3 2 4 2 2" xfId="8300" xr:uid="{00000000-0005-0000-0000-000042110000}"/>
    <cellStyle name="20% - Accent3 3 2 4 2 2 2" xfId="16271" xr:uid="{00000000-0005-0000-0000-000043110000}"/>
    <cellStyle name="20% - Accent3 3 2 4 2 2 3" xfId="24217" xr:uid="{00000000-0005-0000-0000-000044110000}"/>
    <cellStyle name="20% - Accent3 3 2 4 2 3" xfId="12733" xr:uid="{00000000-0005-0000-0000-000045110000}"/>
    <cellStyle name="20% - Accent3 3 2 4 2 4" xfId="20688" xr:uid="{00000000-0005-0000-0000-000046110000}"/>
    <cellStyle name="20% - Accent3 3 2 4 3" xfId="6541" xr:uid="{00000000-0005-0000-0000-000047110000}"/>
    <cellStyle name="20% - Accent3 3 2 4 3 2" xfId="14513" xr:uid="{00000000-0005-0000-0000-000048110000}"/>
    <cellStyle name="20% - Accent3 3 2 4 3 3" xfId="22460" xr:uid="{00000000-0005-0000-0000-000049110000}"/>
    <cellStyle name="20% - Accent3 3 2 4 4" xfId="10977" xr:uid="{00000000-0005-0000-0000-00004A110000}"/>
    <cellStyle name="20% - Accent3 3 2 4 5" xfId="18932" xr:uid="{00000000-0005-0000-0000-00004B110000}"/>
    <cellStyle name="20% - Accent3 3 2 4_Exh G" xfId="2247" xr:uid="{00000000-0005-0000-0000-00004C110000}"/>
    <cellStyle name="20% - Accent3 3 2 5" xfId="3830" xr:uid="{00000000-0005-0000-0000-00004D110000}"/>
    <cellStyle name="20% - Accent3 3 2 5 2" xfId="7422" xr:uid="{00000000-0005-0000-0000-00004E110000}"/>
    <cellStyle name="20% - Accent3 3 2 5 2 2" xfId="15393" xr:uid="{00000000-0005-0000-0000-00004F110000}"/>
    <cellStyle name="20% - Accent3 3 2 5 2 3" xfId="23339" xr:uid="{00000000-0005-0000-0000-000050110000}"/>
    <cellStyle name="20% - Accent3 3 2 5 3" xfId="11855" xr:uid="{00000000-0005-0000-0000-000051110000}"/>
    <cellStyle name="20% - Accent3 3 2 5 4" xfId="19810" xr:uid="{00000000-0005-0000-0000-000052110000}"/>
    <cellStyle name="20% - Accent3 3 2 6" xfId="5650" xr:uid="{00000000-0005-0000-0000-000053110000}"/>
    <cellStyle name="20% - Accent3 3 2 6 2" xfId="13634" xr:uid="{00000000-0005-0000-0000-000054110000}"/>
    <cellStyle name="20% - Accent3 3 2 6 3" xfId="21582" xr:uid="{00000000-0005-0000-0000-000055110000}"/>
    <cellStyle name="20% - Accent3 3 2 7" xfId="9203" xr:uid="{00000000-0005-0000-0000-000056110000}"/>
    <cellStyle name="20% - Accent3 3 2 7 2" xfId="17161" xr:uid="{00000000-0005-0000-0000-000057110000}"/>
    <cellStyle name="20% - Accent3 3 2 7 3" xfId="25105" xr:uid="{00000000-0005-0000-0000-000058110000}"/>
    <cellStyle name="20% - Accent3 3 2 8" xfId="10099" xr:uid="{00000000-0005-0000-0000-000059110000}"/>
    <cellStyle name="20% - Accent3 3 2 9" xfId="18054" xr:uid="{00000000-0005-0000-0000-00005A110000}"/>
    <cellStyle name="20% - Accent3 3 2_Exh G" xfId="2242" xr:uid="{00000000-0005-0000-0000-00005B110000}"/>
    <cellStyle name="20% - Accent3 3 3" xfId="153" xr:uid="{00000000-0005-0000-0000-00005C110000}"/>
    <cellStyle name="20% - Accent3 3 3 2" xfId="1181" xr:uid="{00000000-0005-0000-0000-00005D110000}"/>
    <cellStyle name="20% - Accent3 3 3 2 2" xfId="4711" xr:uid="{00000000-0005-0000-0000-00005E110000}"/>
    <cellStyle name="20% - Accent3 3 3 2 2 2" xfId="8302" xr:uid="{00000000-0005-0000-0000-00005F110000}"/>
    <cellStyle name="20% - Accent3 3 3 2 2 2 2" xfId="16273" xr:uid="{00000000-0005-0000-0000-000060110000}"/>
    <cellStyle name="20% - Accent3 3 3 2 2 2 3" xfId="24219" xr:uid="{00000000-0005-0000-0000-000061110000}"/>
    <cellStyle name="20% - Accent3 3 3 2 2 3" xfId="12735" xr:uid="{00000000-0005-0000-0000-000062110000}"/>
    <cellStyle name="20% - Accent3 3 3 2 2 4" xfId="20690" xr:uid="{00000000-0005-0000-0000-000063110000}"/>
    <cellStyle name="20% - Accent3 3 3 2 3" xfId="6543" xr:uid="{00000000-0005-0000-0000-000064110000}"/>
    <cellStyle name="20% - Accent3 3 3 2 3 2" xfId="14515" xr:uid="{00000000-0005-0000-0000-000065110000}"/>
    <cellStyle name="20% - Accent3 3 3 2 3 3" xfId="22462" xr:uid="{00000000-0005-0000-0000-000066110000}"/>
    <cellStyle name="20% - Accent3 3 3 2 4" xfId="10979" xr:uid="{00000000-0005-0000-0000-000067110000}"/>
    <cellStyle name="20% - Accent3 3 3 2 5" xfId="18934" xr:uid="{00000000-0005-0000-0000-000068110000}"/>
    <cellStyle name="20% - Accent3 3 3 2_Exh G" xfId="2249" xr:uid="{00000000-0005-0000-0000-000069110000}"/>
    <cellStyle name="20% - Accent3 3 3 3" xfId="3832" xr:uid="{00000000-0005-0000-0000-00006A110000}"/>
    <cellStyle name="20% - Accent3 3 3 3 2" xfId="7424" xr:uid="{00000000-0005-0000-0000-00006B110000}"/>
    <cellStyle name="20% - Accent3 3 3 3 2 2" xfId="15395" xr:uid="{00000000-0005-0000-0000-00006C110000}"/>
    <cellStyle name="20% - Accent3 3 3 3 2 3" xfId="23341" xr:uid="{00000000-0005-0000-0000-00006D110000}"/>
    <cellStyle name="20% - Accent3 3 3 3 3" xfId="11857" xr:uid="{00000000-0005-0000-0000-00006E110000}"/>
    <cellStyle name="20% - Accent3 3 3 3 4" xfId="19812" xr:uid="{00000000-0005-0000-0000-00006F110000}"/>
    <cellStyle name="20% - Accent3 3 3 4" xfId="5652" xr:uid="{00000000-0005-0000-0000-000070110000}"/>
    <cellStyle name="20% - Accent3 3 3 4 2" xfId="13636" xr:uid="{00000000-0005-0000-0000-000071110000}"/>
    <cellStyle name="20% - Accent3 3 3 4 3" xfId="21584" xr:uid="{00000000-0005-0000-0000-000072110000}"/>
    <cellStyle name="20% - Accent3 3 3 5" xfId="9205" xr:uid="{00000000-0005-0000-0000-000073110000}"/>
    <cellStyle name="20% - Accent3 3 3 5 2" xfId="17163" xr:uid="{00000000-0005-0000-0000-000074110000}"/>
    <cellStyle name="20% - Accent3 3 3 5 3" xfId="25107" xr:uid="{00000000-0005-0000-0000-000075110000}"/>
    <cellStyle name="20% - Accent3 3 3 6" xfId="10101" xr:uid="{00000000-0005-0000-0000-000076110000}"/>
    <cellStyle name="20% - Accent3 3 3 7" xfId="18056" xr:uid="{00000000-0005-0000-0000-000077110000}"/>
    <cellStyle name="20% - Accent3 3 3_Exh G" xfId="2248" xr:uid="{00000000-0005-0000-0000-000078110000}"/>
    <cellStyle name="20% - Accent3 3 4" xfId="889" xr:uid="{00000000-0005-0000-0000-000079110000}"/>
    <cellStyle name="20% - Accent3 3 4 2" xfId="1821" xr:uid="{00000000-0005-0000-0000-00007A110000}"/>
    <cellStyle name="20% - Accent3 3 4 2 2" xfId="5339" xr:uid="{00000000-0005-0000-0000-00007B110000}"/>
    <cellStyle name="20% - Accent3 3 4 2 2 2" xfId="8930" xr:uid="{00000000-0005-0000-0000-00007C110000}"/>
    <cellStyle name="20% - Accent3 3 4 2 2 2 2" xfId="16901" xr:uid="{00000000-0005-0000-0000-00007D110000}"/>
    <cellStyle name="20% - Accent3 3 4 2 2 2 3" xfId="24847" xr:uid="{00000000-0005-0000-0000-00007E110000}"/>
    <cellStyle name="20% - Accent3 3 4 2 2 3" xfId="13363" xr:uid="{00000000-0005-0000-0000-00007F110000}"/>
    <cellStyle name="20% - Accent3 3 4 2 2 4" xfId="21318" xr:uid="{00000000-0005-0000-0000-000080110000}"/>
    <cellStyle name="20% - Accent3 3 4 2 3" xfId="7171" xr:uid="{00000000-0005-0000-0000-000081110000}"/>
    <cellStyle name="20% - Accent3 3 4 2 3 2" xfId="15143" xr:uid="{00000000-0005-0000-0000-000082110000}"/>
    <cellStyle name="20% - Accent3 3 4 2 3 3" xfId="23090" xr:uid="{00000000-0005-0000-0000-000083110000}"/>
    <cellStyle name="20% - Accent3 3 4 2 4" xfId="11607" xr:uid="{00000000-0005-0000-0000-000084110000}"/>
    <cellStyle name="20% - Accent3 3 4 2 5" xfId="19562" xr:uid="{00000000-0005-0000-0000-000085110000}"/>
    <cellStyle name="20% - Accent3 3 4 2_Exh G" xfId="2251" xr:uid="{00000000-0005-0000-0000-000086110000}"/>
    <cellStyle name="20% - Accent3 3 4 3" xfId="4460" xr:uid="{00000000-0005-0000-0000-000087110000}"/>
    <cellStyle name="20% - Accent3 3 4 3 2" xfId="8052" xr:uid="{00000000-0005-0000-0000-000088110000}"/>
    <cellStyle name="20% - Accent3 3 4 3 2 2" xfId="16023" xr:uid="{00000000-0005-0000-0000-000089110000}"/>
    <cellStyle name="20% - Accent3 3 4 3 2 3" xfId="23969" xr:uid="{00000000-0005-0000-0000-00008A110000}"/>
    <cellStyle name="20% - Accent3 3 4 3 3" xfId="12485" xr:uid="{00000000-0005-0000-0000-00008B110000}"/>
    <cellStyle name="20% - Accent3 3 4 3 4" xfId="20440" xr:uid="{00000000-0005-0000-0000-00008C110000}"/>
    <cellStyle name="20% - Accent3 3 4 4" xfId="6290" xr:uid="{00000000-0005-0000-0000-00008D110000}"/>
    <cellStyle name="20% - Accent3 3 4 4 2" xfId="14265" xr:uid="{00000000-0005-0000-0000-00008E110000}"/>
    <cellStyle name="20% - Accent3 3 4 4 3" xfId="22212" xr:uid="{00000000-0005-0000-0000-00008F110000}"/>
    <cellStyle name="20% - Accent3 3 4 5" xfId="9833" xr:uid="{00000000-0005-0000-0000-000090110000}"/>
    <cellStyle name="20% - Accent3 3 4 5 2" xfId="17791" xr:uid="{00000000-0005-0000-0000-000091110000}"/>
    <cellStyle name="20% - Accent3 3 4 5 3" xfId="25735" xr:uid="{00000000-0005-0000-0000-000092110000}"/>
    <cellStyle name="20% - Accent3 3 4 6" xfId="10729" xr:uid="{00000000-0005-0000-0000-000093110000}"/>
    <cellStyle name="20% - Accent3 3 4 7" xfId="18684" xr:uid="{00000000-0005-0000-0000-000094110000}"/>
    <cellStyle name="20% - Accent3 3 4_Exh G" xfId="2250" xr:uid="{00000000-0005-0000-0000-000095110000}"/>
    <cellStyle name="20% - Accent3 3 5" xfId="1178" xr:uid="{00000000-0005-0000-0000-000096110000}"/>
    <cellStyle name="20% - Accent3 3 5 2" xfId="4708" xr:uid="{00000000-0005-0000-0000-000097110000}"/>
    <cellStyle name="20% - Accent3 3 5 2 2" xfId="8299" xr:uid="{00000000-0005-0000-0000-000098110000}"/>
    <cellStyle name="20% - Accent3 3 5 2 2 2" xfId="16270" xr:uid="{00000000-0005-0000-0000-000099110000}"/>
    <cellStyle name="20% - Accent3 3 5 2 2 3" xfId="24216" xr:uid="{00000000-0005-0000-0000-00009A110000}"/>
    <cellStyle name="20% - Accent3 3 5 2 3" xfId="12732" xr:uid="{00000000-0005-0000-0000-00009B110000}"/>
    <cellStyle name="20% - Accent3 3 5 2 4" xfId="20687" xr:uid="{00000000-0005-0000-0000-00009C110000}"/>
    <cellStyle name="20% - Accent3 3 5 3" xfId="6540" xr:uid="{00000000-0005-0000-0000-00009D110000}"/>
    <cellStyle name="20% - Accent3 3 5 3 2" xfId="14512" xr:uid="{00000000-0005-0000-0000-00009E110000}"/>
    <cellStyle name="20% - Accent3 3 5 3 3" xfId="22459" xr:uid="{00000000-0005-0000-0000-00009F110000}"/>
    <cellStyle name="20% - Accent3 3 5 4" xfId="10976" xr:uid="{00000000-0005-0000-0000-0000A0110000}"/>
    <cellStyle name="20% - Accent3 3 5 5" xfId="18931" xr:uid="{00000000-0005-0000-0000-0000A1110000}"/>
    <cellStyle name="20% - Accent3 3 5_Exh G" xfId="2252" xr:uid="{00000000-0005-0000-0000-0000A2110000}"/>
    <cellStyle name="20% - Accent3 3 6" xfId="3829" xr:uid="{00000000-0005-0000-0000-0000A3110000}"/>
    <cellStyle name="20% - Accent3 3 6 2" xfId="7421" xr:uid="{00000000-0005-0000-0000-0000A4110000}"/>
    <cellStyle name="20% - Accent3 3 6 2 2" xfId="15392" xr:uid="{00000000-0005-0000-0000-0000A5110000}"/>
    <cellStyle name="20% - Accent3 3 6 2 3" xfId="23338" xr:uid="{00000000-0005-0000-0000-0000A6110000}"/>
    <cellStyle name="20% - Accent3 3 6 3" xfId="11854" xr:uid="{00000000-0005-0000-0000-0000A7110000}"/>
    <cellStyle name="20% - Accent3 3 6 4" xfId="19809" xr:uid="{00000000-0005-0000-0000-0000A8110000}"/>
    <cellStyle name="20% - Accent3 3 7" xfId="5649" xr:uid="{00000000-0005-0000-0000-0000A9110000}"/>
    <cellStyle name="20% - Accent3 3 7 2" xfId="13633" xr:uid="{00000000-0005-0000-0000-0000AA110000}"/>
    <cellStyle name="20% - Accent3 3 7 3" xfId="21581" xr:uid="{00000000-0005-0000-0000-0000AB110000}"/>
    <cellStyle name="20% - Accent3 3 8" xfId="9202" xr:uid="{00000000-0005-0000-0000-0000AC110000}"/>
    <cellStyle name="20% - Accent3 3 8 2" xfId="17160" xr:uid="{00000000-0005-0000-0000-0000AD110000}"/>
    <cellStyle name="20% - Accent3 3 8 3" xfId="25104" xr:uid="{00000000-0005-0000-0000-0000AE110000}"/>
    <cellStyle name="20% - Accent3 3 9" xfId="10098" xr:uid="{00000000-0005-0000-0000-0000AF110000}"/>
    <cellStyle name="20% - Accent3 3_Exh G" xfId="2241" xr:uid="{00000000-0005-0000-0000-0000B0110000}"/>
    <cellStyle name="20% - Accent3 4" xfId="154" xr:uid="{00000000-0005-0000-0000-0000B1110000}"/>
    <cellStyle name="20% - Accent3 4 10" xfId="18057" xr:uid="{00000000-0005-0000-0000-0000B2110000}"/>
    <cellStyle name="20% - Accent3 4 2" xfId="155" xr:uid="{00000000-0005-0000-0000-0000B3110000}"/>
    <cellStyle name="20% - Accent3 4 2 2" xfId="156" xr:uid="{00000000-0005-0000-0000-0000B4110000}"/>
    <cellStyle name="20% - Accent3 4 2 2 2" xfId="1184" xr:uid="{00000000-0005-0000-0000-0000B5110000}"/>
    <cellStyle name="20% - Accent3 4 2 2 2 2" xfId="4714" xr:uid="{00000000-0005-0000-0000-0000B6110000}"/>
    <cellStyle name="20% - Accent3 4 2 2 2 2 2" xfId="8305" xr:uid="{00000000-0005-0000-0000-0000B7110000}"/>
    <cellStyle name="20% - Accent3 4 2 2 2 2 2 2" xfId="16276" xr:uid="{00000000-0005-0000-0000-0000B8110000}"/>
    <cellStyle name="20% - Accent3 4 2 2 2 2 2 3" xfId="24222" xr:uid="{00000000-0005-0000-0000-0000B9110000}"/>
    <cellStyle name="20% - Accent3 4 2 2 2 2 3" xfId="12738" xr:uid="{00000000-0005-0000-0000-0000BA110000}"/>
    <cellStyle name="20% - Accent3 4 2 2 2 2 4" xfId="20693" xr:uid="{00000000-0005-0000-0000-0000BB110000}"/>
    <cellStyle name="20% - Accent3 4 2 2 2 3" xfId="6546" xr:uid="{00000000-0005-0000-0000-0000BC110000}"/>
    <cellStyle name="20% - Accent3 4 2 2 2 3 2" xfId="14518" xr:uid="{00000000-0005-0000-0000-0000BD110000}"/>
    <cellStyle name="20% - Accent3 4 2 2 2 3 3" xfId="22465" xr:uid="{00000000-0005-0000-0000-0000BE110000}"/>
    <cellStyle name="20% - Accent3 4 2 2 2 4" xfId="10982" xr:uid="{00000000-0005-0000-0000-0000BF110000}"/>
    <cellStyle name="20% - Accent3 4 2 2 2 5" xfId="18937" xr:uid="{00000000-0005-0000-0000-0000C0110000}"/>
    <cellStyle name="20% - Accent3 4 2 2 2_Exh G" xfId="2256" xr:uid="{00000000-0005-0000-0000-0000C1110000}"/>
    <cellStyle name="20% - Accent3 4 2 2 3" xfId="3835" xr:uid="{00000000-0005-0000-0000-0000C2110000}"/>
    <cellStyle name="20% - Accent3 4 2 2 3 2" xfId="7427" xr:uid="{00000000-0005-0000-0000-0000C3110000}"/>
    <cellStyle name="20% - Accent3 4 2 2 3 2 2" xfId="15398" xr:uid="{00000000-0005-0000-0000-0000C4110000}"/>
    <cellStyle name="20% - Accent3 4 2 2 3 2 3" xfId="23344" xr:uid="{00000000-0005-0000-0000-0000C5110000}"/>
    <cellStyle name="20% - Accent3 4 2 2 3 3" xfId="11860" xr:uid="{00000000-0005-0000-0000-0000C6110000}"/>
    <cellStyle name="20% - Accent3 4 2 2 3 4" xfId="19815" xr:uid="{00000000-0005-0000-0000-0000C7110000}"/>
    <cellStyle name="20% - Accent3 4 2 2 4" xfId="5655" xr:uid="{00000000-0005-0000-0000-0000C8110000}"/>
    <cellStyle name="20% - Accent3 4 2 2 4 2" xfId="13639" xr:uid="{00000000-0005-0000-0000-0000C9110000}"/>
    <cellStyle name="20% - Accent3 4 2 2 4 3" xfId="21587" xr:uid="{00000000-0005-0000-0000-0000CA110000}"/>
    <cellStyle name="20% - Accent3 4 2 2 5" xfId="9208" xr:uid="{00000000-0005-0000-0000-0000CB110000}"/>
    <cellStyle name="20% - Accent3 4 2 2 5 2" xfId="17166" xr:uid="{00000000-0005-0000-0000-0000CC110000}"/>
    <cellStyle name="20% - Accent3 4 2 2 5 3" xfId="25110" xr:uid="{00000000-0005-0000-0000-0000CD110000}"/>
    <cellStyle name="20% - Accent3 4 2 2 6" xfId="10104" xr:uid="{00000000-0005-0000-0000-0000CE110000}"/>
    <cellStyle name="20% - Accent3 4 2 2 7" xfId="18059" xr:uid="{00000000-0005-0000-0000-0000CF110000}"/>
    <cellStyle name="20% - Accent3 4 2 2_Exh G" xfId="2255" xr:uid="{00000000-0005-0000-0000-0000D0110000}"/>
    <cellStyle name="20% - Accent3 4 2 3" xfId="892" xr:uid="{00000000-0005-0000-0000-0000D1110000}"/>
    <cellStyle name="20% - Accent3 4 2 3 2" xfId="1824" xr:uid="{00000000-0005-0000-0000-0000D2110000}"/>
    <cellStyle name="20% - Accent3 4 2 3 2 2" xfId="5342" xr:uid="{00000000-0005-0000-0000-0000D3110000}"/>
    <cellStyle name="20% - Accent3 4 2 3 2 2 2" xfId="8933" xr:uid="{00000000-0005-0000-0000-0000D4110000}"/>
    <cellStyle name="20% - Accent3 4 2 3 2 2 2 2" xfId="16904" xr:uid="{00000000-0005-0000-0000-0000D5110000}"/>
    <cellStyle name="20% - Accent3 4 2 3 2 2 2 3" xfId="24850" xr:uid="{00000000-0005-0000-0000-0000D6110000}"/>
    <cellStyle name="20% - Accent3 4 2 3 2 2 3" xfId="13366" xr:uid="{00000000-0005-0000-0000-0000D7110000}"/>
    <cellStyle name="20% - Accent3 4 2 3 2 2 4" xfId="21321" xr:uid="{00000000-0005-0000-0000-0000D8110000}"/>
    <cellStyle name="20% - Accent3 4 2 3 2 3" xfId="7174" xr:uid="{00000000-0005-0000-0000-0000D9110000}"/>
    <cellStyle name="20% - Accent3 4 2 3 2 3 2" xfId="15146" xr:uid="{00000000-0005-0000-0000-0000DA110000}"/>
    <cellStyle name="20% - Accent3 4 2 3 2 3 3" xfId="23093" xr:uid="{00000000-0005-0000-0000-0000DB110000}"/>
    <cellStyle name="20% - Accent3 4 2 3 2 4" xfId="11610" xr:uid="{00000000-0005-0000-0000-0000DC110000}"/>
    <cellStyle name="20% - Accent3 4 2 3 2 5" xfId="19565" xr:uid="{00000000-0005-0000-0000-0000DD110000}"/>
    <cellStyle name="20% - Accent3 4 2 3 2_Exh G" xfId="2258" xr:uid="{00000000-0005-0000-0000-0000DE110000}"/>
    <cellStyle name="20% - Accent3 4 2 3 3" xfId="4463" xr:uid="{00000000-0005-0000-0000-0000DF110000}"/>
    <cellStyle name="20% - Accent3 4 2 3 3 2" xfId="8055" xr:uid="{00000000-0005-0000-0000-0000E0110000}"/>
    <cellStyle name="20% - Accent3 4 2 3 3 2 2" xfId="16026" xr:uid="{00000000-0005-0000-0000-0000E1110000}"/>
    <cellStyle name="20% - Accent3 4 2 3 3 2 3" xfId="23972" xr:uid="{00000000-0005-0000-0000-0000E2110000}"/>
    <cellStyle name="20% - Accent3 4 2 3 3 3" xfId="12488" xr:uid="{00000000-0005-0000-0000-0000E3110000}"/>
    <cellStyle name="20% - Accent3 4 2 3 3 4" xfId="20443" xr:uid="{00000000-0005-0000-0000-0000E4110000}"/>
    <cellStyle name="20% - Accent3 4 2 3 4" xfId="6293" xr:uid="{00000000-0005-0000-0000-0000E5110000}"/>
    <cellStyle name="20% - Accent3 4 2 3 4 2" xfId="14268" xr:uid="{00000000-0005-0000-0000-0000E6110000}"/>
    <cellStyle name="20% - Accent3 4 2 3 4 3" xfId="22215" xr:uid="{00000000-0005-0000-0000-0000E7110000}"/>
    <cellStyle name="20% - Accent3 4 2 3 5" xfId="9836" xr:uid="{00000000-0005-0000-0000-0000E8110000}"/>
    <cellStyle name="20% - Accent3 4 2 3 5 2" xfId="17794" xr:uid="{00000000-0005-0000-0000-0000E9110000}"/>
    <cellStyle name="20% - Accent3 4 2 3 5 3" xfId="25738" xr:uid="{00000000-0005-0000-0000-0000EA110000}"/>
    <cellStyle name="20% - Accent3 4 2 3 6" xfId="10732" xr:uid="{00000000-0005-0000-0000-0000EB110000}"/>
    <cellStyle name="20% - Accent3 4 2 3 7" xfId="18687" xr:uid="{00000000-0005-0000-0000-0000EC110000}"/>
    <cellStyle name="20% - Accent3 4 2 3_Exh G" xfId="2257" xr:uid="{00000000-0005-0000-0000-0000ED110000}"/>
    <cellStyle name="20% - Accent3 4 2 4" xfId="1183" xr:uid="{00000000-0005-0000-0000-0000EE110000}"/>
    <cellStyle name="20% - Accent3 4 2 4 2" xfId="4713" xr:uid="{00000000-0005-0000-0000-0000EF110000}"/>
    <cellStyle name="20% - Accent3 4 2 4 2 2" xfId="8304" xr:uid="{00000000-0005-0000-0000-0000F0110000}"/>
    <cellStyle name="20% - Accent3 4 2 4 2 2 2" xfId="16275" xr:uid="{00000000-0005-0000-0000-0000F1110000}"/>
    <cellStyle name="20% - Accent3 4 2 4 2 2 3" xfId="24221" xr:uid="{00000000-0005-0000-0000-0000F2110000}"/>
    <cellStyle name="20% - Accent3 4 2 4 2 3" xfId="12737" xr:uid="{00000000-0005-0000-0000-0000F3110000}"/>
    <cellStyle name="20% - Accent3 4 2 4 2 4" xfId="20692" xr:uid="{00000000-0005-0000-0000-0000F4110000}"/>
    <cellStyle name="20% - Accent3 4 2 4 3" xfId="6545" xr:uid="{00000000-0005-0000-0000-0000F5110000}"/>
    <cellStyle name="20% - Accent3 4 2 4 3 2" xfId="14517" xr:uid="{00000000-0005-0000-0000-0000F6110000}"/>
    <cellStyle name="20% - Accent3 4 2 4 3 3" xfId="22464" xr:uid="{00000000-0005-0000-0000-0000F7110000}"/>
    <cellStyle name="20% - Accent3 4 2 4 4" xfId="10981" xr:uid="{00000000-0005-0000-0000-0000F8110000}"/>
    <cellStyle name="20% - Accent3 4 2 4 5" xfId="18936" xr:uid="{00000000-0005-0000-0000-0000F9110000}"/>
    <cellStyle name="20% - Accent3 4 2 4_Exh G" xfId="2259" xr:uid="{00000000-0005-0000-0000-0000FA110000}"/>
    <cellStyle name="20% - Accent3 4 2 5" xfId="3834" xr:uid="{00000000-0005-0000-0000-0000FB110000}"/>
    <cellStyle name="20% - Accent3 4 2 5 2" xfId="7426" xr:uid="{00000000-0005-0000-0000-0000FC110000}"/>
    <cellStyle name="20% - Accent3 4 2 5 2 2" xfId="15397" xr:uid="{00000000-0005-0000-0000-0000FD110000}"/>
    <cellStyle name="20% - Accent3 4 2 5 2 3" xfId="23343" xr:uid="{00000000-0005-0000-0000-0000FE110000}"/>
    <cellStyle name="20% - Accent3 4 2 5 3" xfId="11859" xr:uid="{00000000-0005-0000-0000-0000FF110000}"/>
    <cellStyle name="20% - Accent3 4 2 5 4" xfId="19814" xr:uid="{00000000-0005-0000-0000-000000120000}"/>
    <cellStyle name="20% - Accent3 4 2 6" xfId="5654" xr:uid="{00000000-0005-0000-0000-000001120000}"/>
    <cellStyle name="20% - Accent3 4 2 6 2" xfId="13638" xr:uid="{00000000-0005-0000-0000-000002120000}"/>
    <cellStyle name="20% - Accent3 4 2 6 3" xfId="21586" xr:uid="{00000000-0005-0000-0000-000003120000}"/>
    <cellStyle name="20% - Accent3 4 2 7" xfId="9207" xr:uid="{00000000-0005-0000-0000-000004120000}"/>
    <cellStyle name="20% - Accent3 4 2 7 2" xfId="17165" xr:uid="{00000000-0005-0000-0000-000005120000}"/>
    <cellStyle name="20% - Accent3 4 2 7 3" xfId="25109" xr:uid="{00000000-0005-0000-0000-000006120000}"/>
    <cellStyle name="20% - Accent3 4 2 8" xfId="10103" xr:uid="{00000000-0005-0000-0000-000007120000}"/>
    <cellStyle name="20% - Accent3 4 2 9" xfId="18058" xr:uid="{00000000-0005-0000-0000-000008120000}"/>
    <cellStyle name="20% - Accent3 4 2_Exh G" xfId="2254" xr:uid="{00000000-0005-0000-0000-000009120000}"/>
    <cellStyle name="20% - Accent3 4 3" xfId="157" xr:uid="{00000000-0005-0000-0000-00000A120000}"/>
    <cellStyle name="20% - Accent3 4 3 2" xfId="1185" xr:uid="{00000000-0005-0000-0000-00000B120000}"/>
    <cellStyle name="20% - Accent3 4 3 2 2" xfId="4715" xr:uid="{00000000-0005-0000-0000-00000C120000}"/>
    <cellStyle name="20% - Accent3 4 3 2 2 2" xfId="8306" xr:uid="{00000000-0005-0000-0000-00000D120000}"/>
    <cellStyle name="20% - Accent3 4 3 2 2 2 2" xfId="16277" xr:uid="{00000000-0005-0000-0000-00000E120000}"/>
    <cellStyle name="20% - Accent3 4 3 2 2 2 3" xfId="24223" xr:uid="{00000000-0005-0000-0000-00000F120000}"/>
    <cellStyle name="20% - Accent3 4 3 2 2 3" xfId="12739" xr:uid="{00000000-0005-0000-0000-000010120000}"/>
    <cellStyle name="20% - Accent3 4 3 2 2 4" xfId="20694" xr:uid="{00000000-0005-0000-0000-000011120000}"/>
    <cellStyle name="20% - Accent3 4 3 2 3" xfId="6547" xr:uid="{00000000-0005-0000-0000-000012120000}"/>
    <cellStyle name="20% - Accent3 4 3 2 3 2" xfId="14519" xr:uid="{00000000-0005-0000-0000-000013120000}"/>
    <cellStyle name="20% - Accent3 4 3 2 3 3" xfId="22466" xr:uid="{00000000-0005-0000-0000-000014120000}"/>
    <cellStyle name="20% - Accent3 4 3 2 4" xfId="10983" xr:uid="{00000000-0005-0000-0000-000015120000}"/>
    <cellStyle name="20% - Accent3 4 3 2 5" xfId="18938" xr:uid="{00000000-0005-0000-0000-000016120000}"/>
    <cellStyle name="20% - Accent3 4 3 2_Exh G" xfId="2261" xr:uid="{00000000-0005-0000-0000-000017120000}"/>
    <cellStyle name="20% - Accent3 4 3 3" xfId="3836" xr:uid="{00000000-0005-0000-0000-000018120000}"/>
    <cellStyle name="20% - Accent3 4 3 3 2" xfId="7428" xr:uid="{00000000-0005-0000-0000-000019120000}"/>
    <cellStyle name="20% - Accent3 4 3 3 2 2" xfId="15399" xr:uid="{00000000-0005-0000-0000-00001A120000}"/>
    <cellStyle name="20% - Accent3 4 3 3 2 3" xfId="23345" xr:uid="{00000000-0005-0000-0000-00001B120000}"/>
    <cellStyle name="20% - Accent3 4 3 3 3" xfId="11861" xr:uid="{00000000-0005-0000-0000-00001C120000}"/>
    <cellStyle name="20% - Accent3 4 3 3 4" xfId="19816" xr:uid="{00000000-0005-0000-0000-00001D120000}"/>
    <cellStyle name="20% - Accent3 4 3 4" xfId="5656" xr:uid="{00000000-0005-0000-0000-00001E120000}"/>
    <cellStyle name="20% - Accent3 4 3 4 2" xfId="13640" xr:uid="{00000000-0005-0000-0000-00001F120000}"/>
    <cellStyle name="20% - Accent3 4 3 4 3" xfId="21588" xr:uid="{00000000-0005-0000-0000-000020120000}"/>
    <cellStyle name="20% - Accent3 4 3 5" xfId="9209" xr:uid="{00000000-0005-0000-0000-000021120000}"/>
    <cellStyle name="20% - Accent3 4 3 5 2" xfId="17167" xr:uid="{00000000-0005-0000-0000-000022120000}"/>
    <cellStyle name="20% - Accent3 4 3 5 3" xfId="25111" xr:uid="{00000000-0005-0000-0000-000023120000}"/>
    <cellStyle name="20% - Accent3 4 3 6" xfId="10105" xr:uid="{00000000-0005-0000-0000-000024120000}"/>
    <cellStyle name="20% - Accent3 4 3 7" xfId="18060" xr:uid="{00000000-0005-0000-0000-000025120000}"/>
    <cellStyle name="20% - Accent3 4 3_Exh G" xfId="2260" xr:uid="{00000000-0005-0000-0000-000026120000}"/>
    <cellStyle name="20% - Accent3 4 4" xfId="891" xr:uid="{00000000-0005-0000-0000-000027120000}"/>
    <cellStyle name="20% - Accent3 4 4 2" xfId="1823" xr:uid="{00000000-0005-0000-0000-000028120000}"/>
    <cellStyle name="20% - Accent3 4 4 2 2" xfId="5341" xr:uid="{00000000-0005-0000-0000-000029120000}"/>
    <cellStyle name="20% - Accent3 4 4 2 2 2" xfId="8932" xr:uid="{00000000-0005-0000-0000-00002A120000}"/>
    <cellStyle name="20% - Accent3 4 4 2 2 2 2" xfId="16903" xr:uid="{00000000-0005-0000-0000-00002B120000}"/>
    <cellStyle name="20% - Accent3 4 4 2 2 2 3" xfId="24849" xr:uid="{00000000-0005-0000-0000-00002C120000}"/>
    <cellStyle name="20% - Accent3 4 4 2 2 3" xfId="13365" xr:uid="{00000000-0005-0000-0000-00002D120000}"/>
    <cellStyle name="20% - Accent3 4 4 2 2 4" xfId="21320" xr:uid="{00000000-0005-0000-0000-00002E120000}"/>
    <cellStyle name="20% - Accent3 4 4 2 3" xfId="7173" xr:uid="{00000000-0005-0000-0000-00002F120000}"/>
    <cellStyle name="20% - Accent3 4 4 2 3 2" xfId="15145" xr:uid="{00000000-0005-0000-0000-000030120000}"/>
    <cellStyle name="20% - Accent3 4 4 2 3 3" xfId="23092" xr:uid="{00000000-0005-0000-0000-000031120000}"/>
    <cellStyle name="20% - Accent3 4 4 2 4" xfId="11609" xr:uid="{00000000-0005-0000-0000-000032120000}"/>
    <cellStyle name="20% - Accent3 4 4 2 5" xfId="19564" xr:uid="{00000000-0005-0000-0000-000033120000}"/>
    <cellStyle name="20% - Accent3 4 4 2_Exh G" xfId="2263" xr:uid="{00000000-0005-0000-0000-000034120000}"/>
    <cellStyle name="20% - Accent3 4 4 3" xfId="4462" xr:uid="{00000000-0005-0000-0000-000035120000}"/>
    <cellStyle name="20% - Accent3 4 4 3 2" xfId="8054" xr:uid="{00000000-0005-0000-0000-000036120000}"/>
    <cellStyle name="20% - Accent3 4 4 3 2 2" xfId="16025" xr:uid="{00000000-0005-0000-0000-000037120000}"/>
    <cellStyle name="20% - Accent3 4 4 3 2 3" xfId="23971" xr:uid="{00000000-0005-0000-0000-000038120000}"/>
    <cellStyle name="20% - Accent3 4 4 3 3" xfId="12487" xr:uid="{00000000-0005-0000-0000-000039120000}"/>
    <cellStyle name="20% - Accent3 4 4 3 4" xfId="20442" xr:uid="{00000000-0005-0000-0000-00003A120000}"/>
    <cellStyle name="20% - Accent3 4 4 4" xfId="6292" xr:uid="{00000000-0005-0000-0000-00003B120000}"/>
    <cellStyle name="20% - Accent3 4 4 4 2" xfId="14267" xr:uid="{00000000-0005-0000-0000-00003C120000}"/>
    <cellStyle name="20% - Accent3 4 4 4 3" xfId="22214" xr:uid="{00000000-0005-0000-0000-00003D120000}"/>
    <cellStyle name="20% - Accent3 4 4 5" xfId="9835" xr:uid="{00000000-0005-0000-0000-00003E120000}"/>
    <cellStyle name="20% - Accent3 4 4 5 2" xfId="17793" xr:uid="{00000000-0005-0000-0000-00003F120000}"/>
    <cellStyle name="20% - Accent3 4 4 5 3" xfId="25737" xr:uid="{00000000-0005-0000-0000-000040120000}"/>
    <cellStyle name="20% - Accent3 4 4 6" xfId="10731" xr:uid="{00000000-0005-0000-0000-000041120000}"/>
    <cellStyle name="20% - Accent3 4 4 7" xfId="18686" xr:uid="{00000000-0005-0000-0000-000042120000}"/>
    <cellStyle name="20% - Accent3 4 4_Exh G" xfId="2262" xr:uid="{00000000-0005-0000-0000-000043120000}"/>
    <cellStyle name="20% - Accent3 4 5" xfId="1182" xr:uid="{00000000-0005-0000-0000-000044120000}"/>
    <cellStyle name="20% - Accent3 4 5 2" xfId="4712" xr:uid="{00000000-0005-0000-0000-000045120000}"/>
    <cellStyle name="20% - Accent3 4 5 2 2" xfId="8303" xr:uid="{00000000-0005-0000-0000-000046120000}"/>
    <cellStyle name="20% - Accent3 4 5 2 2 2" xfId="16274" xr:uid="{00000000-0005-0000-0000-000047120000}"/>
    <cellStyle name="20% - Accent3 4 5 2 2 3" xfId="24220" xr:uid="{00000000-0005-0000-0000-000048120000}"/>
    <cellStyle name="20% - Accent3 4 5 2 3" xfId="12736" xr:uid="{00000000-0005-0000-0000-000049120000}"/>
    <cellStyle name="20% - Accent3 4 5 2 4" xfId="20691" xr:uid="{00000000-0005-0000-0000-00004A120000}"/>
    <cellStyle name="20% - Accent3 4 5 3" xfId="6544" xr:uid="{00000000-0005-0000-0000-00004B120000}"/>
    <cellStyle name="20% - Accent3 4 5 3 2" xfId="14516" xr:uid="{00000000-0005-0000-0000-00004C120000}"/>
    <cellStyle name="20% - Accent3 4 5 3 3" xfId="22463" xr:uid="{00000000-0005-0000-0000-00004D120000}"/>
    <cellStyle name="20% - Accent3 4 5 4" xfId="10980" xr:uid="{00000000-0005-0000-0000-00004E120000}"/>
    <cellStyle name="20% - Accent3 4 5 5" xfId="18935" xr:uid="{00000000-0005-0000-0000-00004F120000}"/>
    <cellStyle name="20% - Accent3 4 5_Exh G" xfId="2264" xr:uid="{00000000-0005-0000-0000-000050120000}"/>
    <cellStyle name="20% - Accent3 4 6" xfId="3833" xr:uid="{00000000-0005-0000-0000-000051120000}"/>
    <cellStyle name="20% - Accent3 4 6 2" xfId="7425" xr:uid="{00000000-0005-0000-0000-000052120000}"/>
    <cellStyle name="20% - Accent3 4 6 2 2" xfId="15396" xr:uid="{00000000-0005-0000-0000-000053120000}"/>
    <cellStyle name="20% - Accent3 4 6 2 3" xfId="23342" xr:uid="{00000000-0005-0000-0000-000054120000}"/>
    <cellStyle name="20% - Accent3 4 6 3" xfId="11858" xr:uid="{00000000-0005-0000-0000-000055120000}"/>
    <cellStyle name="20% - Accent3 4 6 4" xfId="19813" xr:uid="{00000000-0005-0000-0000-000056120000}"/>
    <cellStyle name="20% - Accent3 4 7" xfId="5653" xr:uid="{00000000-0005-0000-0000-000057120000}"/>
    <cellStyle name="20% - Accent3 4 7 2" xfId="13637" xr:uid="{00000000-0005-0000-0000-000058120000}"/>
    <cellStyle name="20% - Accent3 4 7 3" xfId="21585" xr:uid="{00000000-0005-0000-0000-000059120000}"/>
    <cellStyle name="20% - Accent3 4 8" xfId="9206" xr:uid="{00000000-0005-0000-0000-00005A120000}"/>
    <cellStyle name="20% - Accent3 4 8 2" xfId="17164" xr:uid="{00000000-0005-0000-0000-00005B120000}"/>
    <cellStyle name="20% - Accent3 4 8 3" xfId="25108" xr:uid="{00000000-0005-0000-0000-00005C120000}"/>
    <cellStyle name="20% - Accent3 4 9" xfId="10102" xr:uid="{00000000-0005-0000-0000-00005D120000}"/>
    <cellStyle name="20% - Accent3 4_Exh G" xfId="2253" xr:uid="{00000000-0005-0000-0000-00005E120000}"/>
    <cellStyle name="20% - Accent3 5" xfId="158" xr:uid="{00000000-0005-0000-0000-00005F120000}"/>
    <cellStyle name="20% - Accent3 5 10" xfId="18061" xr:uid="{00000000-0005-0000-0000-000060120000}"/>
    <cellStyle name="20% - Accent3 5 2" xfId="159" xr:uid="{00000000-0005-0000-0000-000061120000}"/>
    <cellStyle name="20% - Accent3 5 2 2" xfId="160" xr:uid="{00000000-0005-0000-0000-000062120000}"/>
    <cellStyle name="20% - Accent3 5 2 2 2" xfId="1188" xr:uid="{00000000-0005-0000-0000-000063120000}"/>
    <cellStyle name="20% - Accent3 5 2 2 2 2" xfId="4718" xr:uid="{00000000-0005-0000-0000-000064120000}"/>
    <cellStyle name="20% - Accent3 5 2 2 2 2 2" xfId="8309" xr:uid="{00000000-0005-0000-0000-000065120000}"/>
    <cellStyle name="20% - Accent3 5 2 2 2 2 2 2" xfId="16280" xr:uid="{00000000-0005-0000-0000-000066120000}"/>
    <cellStyle name="20% - Accent3 5 2 2 2 2 2 3" xfId="24226" xr:uid="{00000000-0005-0000-0000-000067120000}"/>
    <cellStyle name="20% - Accent3 5 2 2 2 2 3" xfId="12742" xr:uid="{00000000-0005-0000-0000-000068120000}"/>
    <cellStyle name="20% - Accent3 5 2 2 2 2 4" xfId="20697" xr:uid="{00000000-0005-0000-0000-000069120000}"/>
    <cellStyle name="20% - Accent3 5 2 2 2 3" xfId="6550" xr:uid="{00000000-0005-0000-0000-00006A120000}"/>
    <cellStyle name="20% - Accent3 5 2 2 2 3 2" xfId="14522" xr:uid="{00000000-0005-0000-0000-00006B120000}"/>
    <cellStyle name="20% - Accent3 5 2 2 2 3 3" xfId="22469" xr:uid="{00000000-0005-0000-0000-00006C120000}"/>
    <cellStyle name="20% - Accent3 5 2 2 2 4" xfId="10986" xr:uid="{00000000-0005-0000-0000-00006D120000}"/>
    <cellStyle name="20% - Accent3 5 2 2 2 5" xfId="18941" xr:uid="{00000000-0005-0000-0000-00006E120000}"/>
    <cellStyle name="20% - Accent3 5 2 2 2_Exh G" xfId="2268" xr:uid="{00000000-0005-0000-0000-00006F120000}"/>
    <cellStyle name="20% - Accent3 5 2 2 3" xfId="3839" xr:uid="{00000000-0005-0000-0000-000070120000}"/>
    <cellStyle name="20% - Accent3 5 2 2 3 2" xfId="7431" xr:uid="{00000000-0005-0000-0000-000071120000}"/>
    <cellStyle name="20% - Accent3 5 2 2 3 2 2" xfId="15402" xr:uid="{00000000-0005-0000-0000-000072120000}"/>
    <cellStyle name="20% - Accent3 5 2 2 3 2 3" xfId="23348" xr:uid="{00000000-0005-0000-0000-000073120000}"/>
    <cellStyle name="20% - Accent3 5 2 2 3 3" xfId="11864" xr:uid="{00000000-0005-0000-0000-000074120000}"/>
    <cellStyle name="20% - Accent3 5 2 2 3 4" xfId="19819" xr:uid="{00000000-0005-0000-0000-000075120000}"/>
    <cellStyle name="20% - Accent3 5 2 2 4" xfId="5659" xr:uid="{00000000-0005-0000-0000-000076120000}"/>
    <cellStyle name="20% - Accent3 5 2 2 4 2" xfId="13643" xr:uid="{00000000-0005-0000-0000-000077120000}"/>
    <cellStyle name="20% - Accent3 5 2 2 4 3" xfId="21591" xr:uid="{00000000-0005-0000-0000-000078120000}"/>
    <cellStyle name="20% - Accent3 5 2 2 5" xfId="9212" xr:uid="{00000000-0005-0000-0000-000079120000}"/>
    <cellStyle name="20% - Accent3 5 2 2 5 2" xfId="17170" xr:uid="{00000000-0005-0000-0000-00007A120000}"/>
    <cellStyle name="20% - Accent3 5 2 2 5 3" xfId="25114" xr:uid="{00000000-0005-0000-0000-00007B120000}"/>
    <cellStyle name="20% - Accent3 5 2 2 6" xfId="10108" xr:uid="{00000000-0005-0000-0000-00007C120000}"/>
    <cellStyle name="20% - Accent3 5 2 2 7" xfId="18063" xr:uid="{00000000-0005-0000-0000-00007D120000}"/>
    <cellStyle name="20% - Accent3 5 2 2_Exh G" xfId="2267" xr:uid="{00000000-0005-0000-0000-00007E120000}"/>
    <cellStyle name="20% - Accent3 5 2 3" xfId="1187" xr:uid="{00000000-0005-0000-0000-00007F120000}"/>
    <cellStyle name="20% - Accent3 5 2 3 2" xfId="4717" xr:uid="{00000000-0005-0000-0000-000080120000}"/>
    <cellStyle name="20% - Accent3 5 2 3 2 2" xfId="8308" xr:uid="{00000000-0005-0000-0000-000081120000}"/>
    <cellStyle name="20% - Accent3 5 2 3 2 2 2" xfId="16279" xr:uid="{00000000-0005-0000-0000-000082120000}"/>
    <cellStyle name="20% - Accent3 5 2 3 2 2 3" xfId="24225" xr:uid="{00000000-0005-0000-0000-000083120000}"/>
    <cellStyle name="20% - Accent3 5 2 3 2 3" xfId="12741" xr:uid="{00000000-0005-0000-0000-000084120000}"/>
    <cellStyle name="20% - Accent3 5 2 3 2 4" xfId="20696" xr:uid="{00000000-0005-0000-0000-000085120000}"/>
    <cellStyle name="20% - Accent3 5 2 3 3" xfId="6549" xr:uid="{00000000-0005-0000-0000-000086120000}"/>
    <cellStyle name="20% - Accent3 5 2 3 3 2" xfId="14521" xr:uid="{00000000-0005-0000-0000-000087120000}"/>
    <cellStyle name="20% - Accent3 5 2 3 3 3" xfId="22468" xr:uid="{00000000-0005-0000-0000-000088120000}"/>
    <cellStyle name="20% - Accent3 5 2 3 4" xfId="10985" xr:uid="{00000000-0005-0000-0000-000089120000}"/>
    <cellStyle name="20% - Accent3 5 2 3 5" xfId="18940" xr:uid="{00000000-0005-0000-0000-00008A120000}"/>
    <cellStyle name="20% - Accent3 5 2 3_Exh G" xfId="2269" xr:uid="{00000000-0005-0000-0000-00008B120000}"/>
    <cellStyle name="20% - Accent3 5 2 4" xfId="3838" xr:uid="{00000000-0005-0000-0000-00008C120000}"/>
    <cellStyle name="20% - Accent3 5 2 4 2" xfId="7430" xr:uid="{00000000-0005-0000-0000-00008D120000}"/>
    <cellStyle name="20% - Accent3 5 2 4 2 2" xfId="15401" xr:uid="{00000000-0005-0000-0000-00008E120000}"/>
    <cellStyle name="20% - Accent3 5 2 4 2 3" xfId="23347" xr:uid="{00000000-0005-0000-0000-00008F120000}"/>
    <cellStyle name="20% - Accent3 5 2 4 3" xfId="11863" xr:uid="{00000000-0005-0000-0000-000090120000}"/>
    <cellStyle name="20% - Accent3 5 2 4 4" xfId="19818" xr:uid="{00000000-0005-0000-0000-000091120000}"/>
    <cellStyle name="20% - Accent3 5 2 5" xfId="5658" xr:uid="{00000000-0005-0000-0000-000092120000}"/>
    <cellStyle name="20% - Accent3 5 2 5 2" xfId="13642" xr:uid="{00000000-0005-0000-0000-000093120000}"/>
    <cellStyle name="20% - Accent3 5 2 5 3" xfId="21590" xr:uid="{00000000-0005-0000-0000-000094120000}"/>
    <cellStyle name="20% - Accent3 5 2 6" xfId="9211" xr:uid="{00000000-0005-0000-0000-000095120000}"/>
    <cellStyle name="20% - Accent3 5 2 6 2" xfId="17169" xr:uid="{00000000-0005-0000-0000-000096120000}"/>
    <cellStyle name="20% - Accent3 5 2 6 3" xfId="25113" xr:uid="{00000000-0005-0000-0000-000097120000}"/>
    <cellStyle name="20% - Accent3 5 2 7" xfId="10107" xr:uid="{00000000-0005-0000-0000-000098120000}"/>
    <cellStyle name="20% - Accent3 5 2 8" xfId="18062" xr:uid="{00000000-0005-0000-0000-000099120000}"/>
    <cellStyle name="20% - Accent3 5 2_Exh G" xfId="2266" xr:uid="{00000000-0005-0000-0000-00009A120000}"/>
    <cellStyle name="20% - Accent3 5 3" xfId="161" xr:uid="{00000000-0005-0000-0000-00009B120000}"/>
    <cellStyle name="20% - Accent3 5 3 2" xfId="1189" xr:uid="{00000000-0005-0000-0000-00009C120000}"/>
    <cellStyle name="20% - Accent3 5 3 2 2" xfId="4719" xr:uid="{00000000-0005-0000-0000-00009D120000}"/>
    <cellStyle name="20% - Accent3 5 3 2 2 2" xfId="8310" xr:uid="{00000000-0005-0000-0000-00009E120000}"/>
    <cellStyle name="20% - Accent3 5 3 2 2 2 2" xfId="16281" xr:uid="{00000000-0005-0000-0000-00009F120000}"/>
    <cellStyle name="20% - Accent3 5 3 2 2 2 3" xfId="24227" xr:uid="{00000000-0005-0000-0000-0000A0120000}"/>
    <cellStyle name="20% - Accent3 5 3 2 2 3" xfId="12743" xr:uid="{00000000-0005-0000-0000-0000A1120000}"/>
    <cellStyle name="20% - Accent3 5 3 2 2 4" xfId="20698" xr:uid="{00000000-0005-0000-0000-0000A2120000}"/>
    <cellStyle name="20% - Accent3 5 3 2 3" xfId="6551" xr:uid="{00000000-0005-0000-0000-0000A3120000}"/>
    <cellStyle name="20% - Accent3 5 3 2 3 2" xfId="14523" xr:uid="{00000000-0005-0000-0000-0000A4120000}"/>
    <cellStyle name="20% - Accent3 5 3 2 3 3" xfId="22470" xr:uid="{00000000-0005-0000-0000-0000A5120000}"/>
    <cellStyle name="20% - Accent3 5 3 2 4" xfId="10987" xr:uid="{00000000-0005-0000-0000-0000A6120000}"/>
    <cellStyle name="20% - Accent3 5 3 2 5" xfId="18942" xr:uid="{00000000-0005-0000-0000-0000A7120000}"/>
    <cellStyle name="20% - Accent3 5 3 2_Exh G" xfId="2271" xr:uid="{00000000-0005-0000-0000-0000A8120000}"/>
    <cellStyle name="20% - Accent3 5 3 3" xfId="3840" xr:uid="{00000000-0005-0000-0000-0000A9120000}"/>
    <cellStyle name="20% - Accent3 5 3 3 2" xfId="7432" xr:uid="{00000000-0005-0000-0000-0000AA120000}"/>
    <cellStyle name="20% - Accent3 5 3 3 2 2" xfId="15403" xr:uid="{00000000-0005-0000-0000-0000AB120000}"/>
    <cellStyle name="20% - Accent3 5 3 3 2 3" xfId="23349" xr:uid="{00000000-0005-0000-0000-0000AC120000}"/>
    <cellStyle name="20% - Accent3 5 3 3 3" xfId="11865" xr:uid="{00000000-0005-0000-0000-0000AD120000}"/>
    <cellStyle name="20% - Accent3 5 3 3 4" xfId="19820" xr:uid="{00000000-0005-0000-0000-0000AE120000}"/>
    <cellStyle name="20% - Accent3 5 3 4" xfId="5660" xr:uid="{00000000-0005-0000-0000-0000AF120000}"/>
    <cellStyle name="20% - Accent3 5 3 4 2" xfId="13644" xr:uid="{00000000-0005-0000-0000-0000B0120000}"/>
    <cellStyle name="20% - Accent3 5 3 4 3" xfId="21592" xr:uid="{00000000-0005-0000-0000-0000B1120000}"/>
    <cellStyle name="20% - Accent3 5 3 5" xfId="9213" xr:uid="{00000000-0005-0000-0000-0000B2120000}"/>
    <cellStyle name="20% - Accent3 5 3 5 2" xfId="17171" xr:uid="{00000000-0005-0000-0000-0000B3120000}"/>
    <cellStyle name="20% - Accent3 5 3 5 3" xfId="25115" xr:uid="{00000000-0005-0000-0000-0000B4120000}"/>
    <cellStyle name="20% - Accent3 5 3 6" xfId="10109" xr:uid="{00000000-0005-0000-0000-0000B5120000}"/>
    <cellStyle name="20% - Accent3 5 3 7" xfId="18064" xr:uid="{00000000-0005-0000-0000-0000B6120000}"/>
    <cellStyle name="20% - Accent3 5 3_Exh G" xfId="2270" xr:uid="{00000000-0005-0000-0000-0000B7120000}"/>
    <cellStyle name="20% - Accent3 5 4" xfId="893" xr:uid="{00000000-0005-0000-0000-0000B8120000}"/>
    <cellStyle name="20% - Accent3 5 5" xfId="1186" xr:uid="{00000000-0005-0000-0000-0000B9120000}"/>
    <cellStyle name="20% - Accent3 5 5 2" xfId="4716" xr:uid="{00000000-0005-0000-0000-0000BA120000}"/>
    <cellStyle name="20% - Accent3 5 5 2 2" xfId="8307" xr:uid="{00000000-0005-0000-0000-0000BB120000}"/>
    <cellStyle name="20% - Accent3 5 5 2 2 2" xfId="16278" xr:uid="{00000000-0005-0000-0000-0000BC120000}"/>
    <cellStyle name="20% - Accent3 5 5 2 2 3" xfId="24224" xr:uid="{00000000-0005-0000-0000-0000BD120000}"/>
    <cellStyle name="20% - Accent3 5 5 2 3" xfId="12740" xr:uid="{00000000-0005-0000-0000-0000BE120000}"/>
    <cellStyle name="20% - Accent3 5 5 2 4" xfId="20695" xr:uid="{00000000-0005-0000-0000-0000BF120000}"/>
    <cellStyle name="20% - Accent3 5 5 3" xfId="6548" xr:uid="{00000000-0005-0000-0000-0000C0120000}"/>
    <cellStyle name="20% - Accent3 5 5 3 2" xfId="14520" xr:uid="{00000000-0005-0000-0000-0000C1120000}"/>
    <cellStyle name="20% - Accent3 5 5 3 3" xfId="22467" xr:uid="{00000000-0005-0000-0000-0000C2120000}"/>
    <cellStyle name="20% - Accent3 5 5 4" xfId="10984" xr:uid="{00000000-0005-0000-0000-0000C3120000}"/>
    <cellStyle name="20% - Accent3 5 5 5" xfId="18939" xr:uid="{00000000-0005-0000-0000-0000C4120000}"/>
    <cellStyle name="20% - Accent3 5 5_Exh G" xfId="2272" xr:uid="{00000000-0005-0000-0000-0000C5120000}"/>
    <cellStyle name="20% - Accent3 5 6" xfId="3837" xr:uid="{00000000-0005-0000-0000-0000C6120000}"/>
    <cellStyle name="20% - Accent3 5 6 2" xfId="7429" xr:uid="{00000000-0005-0000-0000-0000C7120000}"/>
    <cellStyle name="20% - Accent3 5 6 2 2" xfId="15400" xr:uid="{00000000-0005-0000-0000-0000C8120000}"/>
    <cellStyle name="20% - Accent3 5 6 2 3" xfId="23346" xr:uid="{00000000-0005-0000-0000-0000C9120000}"/>
    <cellStyle name="20% - Accent3 5 6 3" xfId="11862" xr:uid="{00000000-0005-0000-0000-0000CA120000}"/>
    <cellStyle name="20% - Accent3 5 6 4" xfId="19817" xr:uid="{00000000-0005-0000-0000-0000CB120000}"/>
    <cellStyle name="20% - Accent3 5 7" xfId="5657" xr:uid="{00000000-0005-0000-0000-0000CC120000}"/>
    <cellStyle name="20% - Accent3 5 7 2" xfId="13641" xr:uid="{00000000-0005-0000-0000-0000CD120000}"/>
    <cellStyle name="20% - Accent3 5 7 3" xfId="21589" xr:uid="{00000000-0005-0000-0000-0000CE120000}"/>
    <cellStyle name="20% - Accent3 5 8" xfId="9210" xr:uid="{00000000-0005-0000-0000-0000CF120000}"/>
    <cellStyle name="20% - Accent3 5 8 2" xfId="17168" xr:uid="{00000000-0005-0000-0000-0000D0120000}"/>
    <cellStyle name="20% - Accent3 5 8 3" xfId="25112" xr:uid="{00000000-0005-0000-0000-0000D1120000}"/>
    <cellStyle name="20% - Accent3 5 9" xfId="10106" xr:uid="{00000000-0005-0000-0000-0000D2120000}"/>
    <cellStyle name="20% - Accent3 5_Exh G" xfId="2265" xr:uid="{00000000-0005-0000-0000-0000D3120000}"/>
    <cellStyle name="20% - Accent3 6" xfId="162" xr:uid="{00000000-0005-0000-0000-0000D4120000}"/>
    <cellStyle name="20% - Accent3 6 10" xfId="18065" xr:uid="{00000000-0005-0000-0000-0000D5120000}"/>
    <cellStyle name="20% - Accent3 6 2" xfId="163" xr:uid="{00000000-0005-0000-0000-0000D6120000}"/>
    <cellStyle name="20% - Accent3 6 2 2" xfId="164" xr:uid="{00000000-0005-0000-0000-0000D7120000}"/>
    <cellStyle name="20% - Accent3 6 2 2 2" xfId="1192" xr:uid="{00000000-0005-0000-0000-0000D8120000}"/>
    <cellStyle name="20% - Accent3 6 2 2 2 2" xfId="4722" xr:uid="{00000000-0005-0000-0000-0000D9120000}"/>
    <cellStyle name="20% - Accent3 6 2 2 2 2 2" xfId="8313" xr:uid="{00000000-0005-0000-0000-0000DA120000}"/>
    <cellStyle name="20% - Accent3 6 2 2 2 2 2 2" xfId="16284" xr:uid="{00000000-0005-0000-0000-0000DB120000}"/>
    <cellStyle name="20% - Accent3 6 2 2 2 2 2 3" xfId="24230" xr:uid="{00000000-0005-0000-0000-0000DC120000}"/>
    <cellStyle name="20% - Accent3 6 2 2 2 2 3" xfId="12746" xr:uid="{00000000-0005-0000-0000-0000DD120000}"/>
    <cellStyle name="20% - Accent3 6 2 2 2 2 4" xfId="20701" xr:uid="{00000000-0005-0000-0000-0000DE120000}"/>
    <cellStyle name="20% - Accent3 6 2 2 2 3" xfId="6554" xr:uid="{00000000-0005-0000-0000-0000DF120000}"/>
    <cellStyle name="20% - Accent3 6 2 2 2 3 2" xfId="14526" xr:uid="{00000000-0005-0000-0000-0000E0120000}"/>
    <cellStyle name="20% - Accent3 6 2 2 2 3 3" xfId="22473" xr:uid="{00000000-0005-0000-0000-0000E1120000}"/>
    <cellStyle name="20% - Accent3 6 2 2 2 4" xfId="10990" xr:uid="{00000000-0005-0000-0000-0000E2120000}"/>
    <cellStyle name="20% - Accent3 6 2 2 2 5" xfId="18945" xr:uid="{00000000-0005-0000-0000-0000E3120000}"/>
    <cellStyle name="20% - Accent3 6 2 2 2_Exh G" xfId="2276" xr:uid="{00000000-0005-0000-0000-0000E4120000}"/>
    <cellStyle name="20% - Accent3 6 2 2 3" xfId="3843" xr:uid="{00000000-0005-0000-0000-0000E5120000}"/>
    <cellStyle name="20% - Accent3 6 2 2 3 2" xfId="7435" xr:uid="{00000000-0005-0000-0000-0000E6120000}"/>
    <cellStyle name="20% - Accent3 6 2 2 3 2 2" xfId="15406" xr:uid="{00000000-0005-0000-0000-0000E7120000}"/>
    <cellStyle name="20% - Accent3 6 2 2 3 2 3" xfId="23352" xr:uid="{00000000-0005-0000-0000-0000E8120000}"/>
    <cellStyle name="20% - Accent3 6 2 2 3 3" xfId="11868" xr:uid="{00000000-0005-0000-0000-0000E9120000}"/>
    <cellStyle name="20% - Accent3 6 2 2 3 4" xfId="19823" xr:uid="{00000000-0005-0000-0000-0000EA120000}"/>
    <cellStyle name="20% - Accent3 6 2 2 4" xfId="5663" xr:uid="{00000000-0005-0000-0000-0000EB120000}"/>
    <cellStyle name="20% - Accent3 6 2 2 4 2" xfId="13647" xr:uid="{00000000-0005-0000-0000-0000EC120000}"/>
    <cellStyle name="20% - Accent3 6 2 2 4 3" xfId="21595" xr:uid="{00000000-0005-0000-0000-0000ED120000}"/>
    <cellStyle name="20% - Accent3 6 2 2 5" xfId="9216" xr:uid="{00000000-0005-0000-0000-0000EE120000}"/>
    <cellStyle name="20% - Accent3 6 2 2 5 2" xfId="17174" xr:uid="{00000000-0005-0000-0000-0000EF120000}"/>
    <cellStyle name="20% - Accent3 6 2 2 5 3" xfId="25118" xr:uid="{00000000-0005-0000-0000-0000F0120000}"/>
    <cellStyle name="20% - Accent3 6 2 2 6" xfId="10112" xr:uid="{00000000-0005-0000-0000-0000F1120000}"/>
    <cellStyle name="20% - Accent3 6 2 2 7" xfId="18067" xr:uid="{00000000-0005-0000-0000-0000F2120000}"/>
    <cellStyle name="20% - Accent3 6 2 2_Exh G" xfId="2275" xr:uid="{00000000-0005-0000-0000-0000F3120000}"/>
    <cellStyle name="20% - Accent3 6 2 3" xfId="1191" xr:uid="{00000000-0005-0000-0000-0000F4120000}"/>
    <cellStyle name="20% - Accent3 6 2 3 2" xfId="4721" xr:uid="{00000000-0005-0000-0000-0000F5120000}"/>
    <cellStyle name="20% - Accent3 6 2 3 2 2" xfId="8312" xr:uid="{00000000-0005-0000-0000-0000F6120000}"/>
    <cellStyle name="20% - Accent3 6 2 3 2 2 2" xfId="16283" xr:uid="{00000000-0005-0000-0000-0000F7120000}"/>
    <cellStyle name="20% - Accent3 6 2 3 2 2 3" xfId="24229" xr:uid="{00000000-0005-0000-0000-0000F8120000}"/>
    <cellStyle name="20% - Accent3 6 2 3 2 3" xfId="12745" xr:uid="{00000000-0005-0000-0000-0000F9120000}"/>
    <cellStyle name="20% - Accent3 6 2 3 2 4" xfId="20700" xr:uid="{00000000-0005-0000-0000-0000FA120000}"/>
    <cellStyle name="20% - Accent3 6 2 3 3" xfId="6553" xr:uid="{00000000-0005-0000-0000-0000FB120000}"/>
    <cellStyle name="20% - Accent3 6 2 3 3 2" xfId="14525" xr:uid="{00000000-0005-0000-0000-0000FC120000}"/>
    <cellStyle name="20% - Accent3 6 2 3 3 3" xfId="22472" xr:uid="{00000000-0005-0000-0000-0000FD120000}"/>
    <cellStyle name="20% - Accent3 6 2 3 4" xfId="10989" xr:uid="{00000000-0005-0000-0000-0000FE120000}"/>
    <cellStyle name="20% - Accent3 6 2 3 5" xfId="18944" xr:uid="{00000000-0005-0000-0000-0000FF120000}"/>
    <cellStyle name="20% - Accent3 6 2 3_Exh G" xfId="2277" xr:uid="{00000000-0005-0000-0000-000000130000}"/>
    <cellStyle name="20% - Accent3 6 2 4" xfId="3842" xr:uid="{00000000-0005-0000-0000-000001130000}"/>
    <cellStyle name="20% - Accent3 6 2 4 2" xfId="7434" xr:uid="{00000000-0005-0000-0000-000002130000}"/>
    <cellStyle name="20% - Accent3 6 2 4 2 2" xfId="15405" xr:uid="{00000000-0005-0000-0000-000003130000}"/>
    <cellStyle name="20% - Accent3 6 2 4 2 3" xfId="23351" xr:uid="{00000000-0005-0000-0000-000004130000}"/>
    <cellStyle name="20% - Accent3 6 2 4 3" xfId="11867" xr:uid="{00000000-0005-0000-0000-000005130000}"/>
    <cellStyle name="20% - Accent3 6 2 4 4" xfId="19822" xr:uid="{00000000-0005-0000-0000-000006130000}"/>
    <cellStyle name="20% - Accent3 6 2 5" xfId="5662" xr:uid="{00000000-0005-0000-0000-000007130000}"/>
    <cellStyle name="20% - Accent3 6 2 5 2" xfId="13646" xr:uid="{00000000-0005-0000-0000-000008130000}"/>
    <cellStyle name="20% - Accent3 6 2 5 3" xfId="21594" xr:uid="{00000000-0005-0000-0000-000009130000}"/>
    <cellStyle name="20% - Accent3 6 2 6" xfId="9215" xr:uid="{00000000-0005-0000-0000-00000A130000}"/>
    <cellStyle name="20% - Accent3 6 2 6 2" xfId="17173" xr:uid="{00000000-0005-0000-0000-00000B130000}"/>
    <cellStyle name="20% - Accent3 6 2 6 3" xfId="25117" xr:uid="{00000000-0005-0000-0000-00000C130000}"/>
    <cellStyle name="20% - Accent3 6 2 7" xfId="10111" xr:uid="{00000000-0005-0000-0000-00000D130000}"/>
    <cellStyle name="20% - Accent3 6 2 8" xfId="18066" xr:uid="{00000000-0005-0000-0000-00000E130000}"/>
    <cellStyle name="20% - Accent3 6 2_Exh G" xfId="2274" xr:uid="{00000000-0005-0000-0000-00000F130000}"/>
    <cellStyle name="20% - Accent3 6 3" xfId="165" xr:uid="{00000000-0005-0000-0000-000010130000}"/>
    <cellStyle name="20% - Accent3 6 3 2" xfId="1193" xr:uid="{00000000-0005-0000-0000-000011130000}"/>
    <cellStyle name="20% - Accent3 6 3 2 2" xfId="4723" xr:uid="{00000000-0005-0000-0000-000012130000}"/>
    <cellStyle name="20% - Accent3 6 3 2 2 2" xfId="8314" xr:uid="{00000000-0005-0000-0000-000013130000}"/>
    <cellStyle name="20% - Accent3 6 3 2 2 2 2" xfId="16285" xr:uid="{00000000-0005-0000-0000-000014130000}"/>
    <cellStyle name="20% - Accent3 6 3 2 2 2 3" xfId="24231" xr:uid="{00000000-0005-0000-0000-000015130000}"/>
    <cellStyle name="20% - Accent3 6 3 2 2 3" xfId="12747" xr:uid="{00000000-0005-0000-0000-000016130000}"/>
    <cellStyle name="20% - Accent3 6 3 2 2 4" xfId="20702" xr:uid="{00000000-0005-0000-0000-000017130000}"/>
    <cellStyle name="20% - Accent3 6 3 2 3" xfId="6555" xr:uid="{00000000-0005-0000-0000-000018130000}"/>
    <cellStyle name="20% - Accent3 6 3 2 3 2" xfId="14527" xr:uid="{00000000-0005-0000-0000-000019130000}"/>
    <cellStyle name="20% - Accent3 6 3 2 3 3" xfId="22474" xr:uid="{00000000-0005-0000-0000-00001A130000}"/>
    <cellStyle name="20% - Accent3 6 3 2 4" xfId="10991" xr:uid="{00000000-0005-0000-0000-00001B130000}"/>
    <cellStyle name="20% - Accent3 6 3 2 5" xfId="18946" xr:uid="{00000000-0005-0000-0000-00001C130000}"/>
    <cellStyle name="20% - Accent3 6 3 2_Exh G" xfId="2279" xr:uid="{00000000-0005-0000-0000-00001D130000}"/>
    <cellStyle name="20% - Accent3 6 3 3" xfId="3844" xr:uid="{00000000-0005-0000-0000-00001E130000}"/>
    <cellStyle name="20% - Accent3 6 3 3 2" xfId="7436" xr:uid="{00000000-0005-0000-0000-00001F130000}"/>
    <cellStyle name="20% - Accent3 6 3 3 2 2" xfId="15407" xr:uid="{00000000-0005-0000-0000-000020130000}"/>
    <cellStyle name="20% - Accent3 6 3 3 2 3" xfId="23353" xr:uid="{00000000-0005-0000-0000-000021130000}"/>
    <cellStyle name="20% - Accent3 6 3 3 3" xfId="11869" xr:uid="{00000000-0005-0000-0000-000022130000}"/>
    <cellStyle name="20% - Accent3 6 3 3 4" xfId="19824" xr:uid="{00000000-0005-0000-0000-000023130000}"/>
    <cellStyle name="20% - Accent3 6 3 4" xfId="5664" xr:uid="{00000000-0005-0000-0000-000024130000}"/>
    <cellStyle name="20% - Accent3 6 3 4 2" xfId="13648" xr:uid="{00000000-0005-0000-0000-000025130000}"/>
    <cellStyle name="20% - Accent3 6 3 4 3" xfId="21596" xr:uid="{00000000-0005-0000-0000-000026130000}"/>
    <cellStyle name="20% - Accent3 6 3 5" xfId="9217" xr:uid="{00000000-0005-0000-0000-000027130000}"/>
    <cellStyle name="20% - Accent3 6 3 5 2" xfId="17175" xr:uid="{00000000-0005-0000-0000-000028130000}"/>
    <cellStyle name="20% - Accent3 6 3 5 3" xfId="25119" xr:uid="{00000000-0005-0000-0000-000029130000}"/>
    <cellStyle name="20% - Accent3 6 3 6" xfId="10113" xr:uid="{00000000-0005-0000-0000-00002A130000}"/>
    <cellStyle name="20% - Accent3 6 3 7" xfId="18068" xr:uid="{00000000-0005-0000-0000-00002B130000}"/>
    <cellStyle name="20% - Accent3 6 3_Exh G" xfId="2278" xr:uid="{00000000-0005-0000-0000-00002C130000}"/>
    <cellStyle name="20% - Accent3 6 4" xfId="894" xr:uid="{00000000-0005-0000-0000-00002D130000}"/>
    <cellStyle name="20% - Accent3 6 4 2" xfId="1825" xr:uid="{00000000-0005-0000-0000-00002E130000}"/>
    <cellStyle name="20% - Accent3 6 4 2 2" xfId="5343" xr:uid="{00000000-0005-0000-0000-00002F130000}"/>
    <cellStyle name="20% - Accent3 6 4 2 2 2" xfId="8934" xr:uid="{00000000-0005-0000-0000-000030130000}"/>
    <cellStyle name="20% - Accent3 6 4 2 2 2 2" xfId="16905" xr:uid="{00000000-0005-0000-0000-000031130000}"/>
    <cellStyle name="20% - Accent3 6 4 2 2 2 3" xfId="24851" xr:uid="{00000000-0005-0000-0000-000032130000}"/>
    <cellStyle name="20% - Accent3 6 4 2 2 3" xfId="13367" xr:uid="{00000000-0005-0000-0000-000033130000}"/>
    <cellStyle name="20% - Accent3 6 4 2 2 4" xfId="21322" xr:uid="{00000000-0005-0000-0000-000034130000}"/>
    <cellStyle name="20% - Accent3 6 4 2 3" xfId="7175" xr:uid="{00000000-0005-0000-0000-000035130000}"/>
    <cellStyle name="20% - Accent3 6 4 2 3 2" xfId="15147" xr:uid="{00000000-0005-0000-0000-000036130000}"/>
    <cellStyle name="20% - Accent3 6 4 2 3 3" xfId="23094" xr:uid="{00000000-0005-0000-0000-000037130000}"/>
    <cellStyle name="20% - Accent3 6 4 2 4" xfId="11611" xr:uid="{00000000-0005-0000-0000-000038130000}"/>
    <cellStyle name="20% - Accent3 6 4 2 5" xfId="19566" xr:uid="{00000000-0005-0000-0000-000039130000}"/>
    <cellStyle name="20% - Accent3 6 4 2_Exh G" xfId="2281" xr:uid="{00000000-0005-0000-0000-00003A130000}"/>
    <cellStyle name="20% - Accent3 6 4 3" xfId="4464" xr:uid="{00000000-0005-0000-0000-00003B130000}"/>
    <cellStyle name="20% - Accent3 6 4 3 2" xfId="8056" xr:uid="{00000000-0005-0000-0000-00003C130000}"/>
    <cellStyle name="20% - Accent3 6 4 3 2 2" xfId="16027" xr:uid="{00000000-0005-0000-0000-00003D130000}"/>
    <cellStyle name="20% - Accent3 6 4 3 2 3" xfId="23973" xr:uid="{00000000-0005-0000-0000-00003E130000}"/>
    <cellStyle name="20% - Accent3 6 4 3 3" xfId="12489" xr:uid="{00000000-0005-0000-0000-00003F130000}"/>
    <cellStyle name="20% - Accent3 6 4 3 4" xfId="20444" xr:uid="{00000000-0005-0000-0000-000040130000}"/>
    <cellStyle name="20% - Accent3 6 4 4" xfId="6294" xr:uid="{00000000-0005-0000-0000-000041130000}"/>
    <cellStyle name="20% - Accent3 6 4 4 2" xfId="14269" xr:uid="{00000000-0005-0000-0000-000042130000}"/>
    <cellStyle name="20% - Accent3 6 4 4 3" xfId="22216" xr:uid="{00000000-0005-0000-0000-000043130000}"/>
    <cellStyle name="20% - Accent3 6 4 5" xfId="9837" xr:uid="{00000000-0005-0000-0000-000044130000}"/>
    <cellStyle name="20% - Accent3 6 4 5 2" xfId="17795" xr:uid="{00000000-0005-0000-0000-000045130000}"/>
    <cellStyle name="20% - Accent3 6 4 5 3" xfId="25739" xr:uid="{00000000-0005-0000-0000-000046130000}"/>
    <cellStyle name="20% - Accent3 6 4 6" xfId="10733" xr:uid="{00000000-0005-0000-0000-000047130000}"/>
    <cellStyle name="20% - Accent3 6 4 7" xfId="18688" xr:uid="{00000000-0005-0000-0000-000048130000}"/>
    <cellStyle name="20% - Accent3 6 4_Exh G" xfId="2280" xr:uid="{00000000-0005-0000-0000-000049130000}"/>
    <cellStyle name="20% - Accent3 6 5" xfId="1190" xr:uid="{00000000-0005-0000-0000-00004A130000}"/>
    <cellStyle name="20% - Accent3 6 5 2" xfId="4720" xr:uid="{00000000-0005-0000-0000-00004B130000}"/>
    <cellStyle name="20% - Accent3 6 5 2 2" xfId="8311" xr:uid="{00000000-0005-0000-0000-00004C130000}"/>
    <cellStyle name="20% - Accent3 6 5 2 2 2" xfId="16282" xr:uid="{00000000-0005-0000-0000-00004D130000}"/>
    <cellStyle name="20% - Accent3 6 5 2 2 3" xfId="24228" xr:uid="{00000000-0005-0000-0000-00004E130000}"/>
    <cellStyle name="20% - Accent3 6 5 2 3" xfId="12744" xr:uid="{00000000-0005-0000-0000-00004F130000}"/>
    <cellStyle name="20% - Accent3 6 5 2 4" xfId="20699" xr:uid="{00000000-0005-0000-0000-000050130000}"/>
    <cellStyle name="20% - Accent3 6 5 3" xfId="6552" xr:uid="{00000000-0005-0000-0000-000051130000}"/>
    <cellStyle name="20% - Accent3 6 5 3 2" xfId="14524" xr:uid="{00000000-0005-0000-0000-000052130000}"/>
    <cellStyle name="20% - Accent3 6 5 3 3" xfId="22471" xr:uid="{00000000-0005-0000-0000-000053130000}"/>
    <cellStyle name="20% - Accent3 6 5 4" xfId="10988" xr:uid="{00000000-0005-0000-0000-000054130000}"/>
    <cellStyle name="20% - Accent3 6 5 5" xfId="18943" xr:uid="{00000000-0005-0000-0000-000055130000}"/>
    <cellStyle name="20% - Accent3 6 5_Exh G" xfId="2282" xr:uid="{00000000-0005-0000-0000-000056130000}"/>
    <cellStyle name="20% - Accent3 6 6" xfId="3841" xr:uid="{00000000-0005-0000-0000-000057130000}"/>
    <cellStyle name="20% - Accent3 6 6 2" xfId="7433" xr:uid="{00000000-0005-0000-0000-000058130000}"/>
    <cellStyle name="20% - Accent3 6 6 2 2" xfId="15404" xr:uid="{00000000-0005-0000-0000-000059130000}"/>
    <cellStyle name="20% - Accent3 6 6 2 3" xfId="23350" xr:uid="{00000000-0005-0000-0000-00005A130000}"/>
    <cellStyle name="20% - Accent3 6 6 3" xfId="11866" xr:uid="{00000000-0005-0000-0000-00005B130000}"/>
    <cellStyle name="20% - Accent3 6 6 4" xfId="19821" xr:uid="{00000000-0005-0000-0000-00005C130000}"/>
    <cellStyle name="20% - Accent3 6 7" xfId="5661" xr:uid="{00000000-0005-0000-0000-00005D130000}"/>
    <cellStyle name="20% - Accent3 6 7 2" xfId="13645" xr:uid="{00000000-0005-0000-0000-00005E130000}"/>
    <cellStyle name="20% - Accent3 6 7 3" xfId="21593" xr:uid="{00000000-0005-0000-0000-00005F130000}"/>
    <cellStyle name="20% - Accent3 6 8" xfId="9214" xr:uid="{00000000-0005-0000-0000-000060130000}"/>
    <cellStyle name="20% - Accent3 6 8 2" xfId="17172" xr:uid="{00000000-0005-0000-0000-000061130000}"/>
    <cellStyle name="20% - Accent3 6 8 3" xfId="25116" xr:uid="{00000000-0005-0000-0000-000062130000}"/>
    <cellStyle name="20% - Accent3 6 9" xfId="10110" xr:uid="{00000000-0005-0000-0000-000063130000}"/>
    <cellStyle name="20% - Accent3 6_Exh G" xfId="2273" xr:uid="{00000000-0005-0000-0000-000064130000}"/>
    <cellStyle name="20% - Accent3 7" xfId="166" xr:uid="{00000000-0005-0000-0000-000065130000}"/>
    <cellStyle name="20% - Accent3 7 10" xfId="18069" xr:uid="{00000000-0005-0000-0000-000066130000}"/>
    <cellStyle name="20% - Accent3 7 2" xfId="167" xr:uid="{00000000-0005-0000-0000-000067130000}"/>
    <cellStyle name="20% - Accent3 7 2 2" xfId="168" xr:uid="{00000000-0005-0000-0000-000068130000}"/>
    <cellStyle name="20% - Accent3 7 2 2 2" xfId="1196" xr:uid="{00000000-0005-0000-0000-000069130000}"/>
    <cellStyle name="20% - Accent3 7 2 2 2 2" xfId="4726" xr:uid="{00000000-0005-0000-0000-00006A130000}"/>
    <cellStyle name="20% - Accent3 7 2 2 2 2 2" xfId="8317" xr:uid="{00000000-0005-0000-0000-00006B130000}"/>
    <cellStyle name="20% - Accent3 7 2 2 2 2 2 2" xfId="16288" xr:uid="{00000000-0005-0000-0000-00006C130000}"/>
    <cellStyle name="20% - Accent3 7 2 2 2 2 2 3" xfId="24234" xr:uid="{00000000-0005-0000-0000-00006D130000}"/>
    <cellStyle name="20% - Accent3 7 2 2 2 2 3" xfId="12750" xr:uid="{00000000-0005-0000-0000-00006E130000}"/>
    <cellStyle name="20% - Accent3 7 2 2 2 2 4" xfId="20705" xr:uid="{00000000-0005-0000-0000-00006F130000}"/>
    <cellStyle name="20% - Accent3 7 2 2 2 3" xfId="6558" xr:uid="{00000000-0005-0000-0000-000070130000}"/>
    <cellStyle name="20% - Accent3 7 2 2 2 3 2" xfId="14530" xr:uid="{00000000-0005-0000-0000-000071130000}"/>
    <cellStyle name="20% - Accent3 7 2 2 2 3 3" xfId="22477" xr:uid="{00000000-0005-0000-0000-000072130000}"/>
    <cellStyle name="20% - Accent3 7 2 2 2 4" xfId="10994" xr:uid="{00000000-0005-0000-0000-000073130000}"/>
    <cellStyle name="20% - Accent3 7 2 2 2 5" xfId="18949" xr:uid="{00000000-0005-0000-0000-000074130000}"/>
    <cellStyle name="20% - Accent3 7 2 2 2_Exh G" xfId="2286" xr:uid="{00000000-0005-0000-0000-000075130000}"/>
    <cellStyle name="20% - Accent3 7 2 2 3" xfId="3847" xr:uid="{00000000-0005-0000-0000-000076130000}"/>
    <cellStyle name="20% - Accent3 7 2 2 3 2" xfId="7439" xr:uid="{00000000-0005-0000-0000-000077130000}"/>
    <cellStyle name="20% - Accent3 7 2 2 3 2 2" xfId="15410" xr:uid="{00000000-0005-0000-0000-000078130000}"/>
    <cellStyle name="20% - Accent3 7 2 2 3 2 3" xfId="23356" xr:uid="{00000000-0005-0000-0000-000079130000}"/>
    <cellStyle name="20% - Accent3 7 2 2 3 3" xfId="11872" xr:uid="{00000000-0005-0000-0000-00007A130000}"/>
    <cellStyle name="20% - Accent3 7 2 2 3 4" xfId="19827" xr:uid="{00000000-0005-0000-0000-00007B130000}"/>
    <cellStyle name="20% - Accent3 7 2 2 4" xfId="5667" xr:uid="{00000000-0005-0000-0000-00007C130000}"/>
    <cellStyle name="20% - Accent3 7 2 2 4 2" xfId="13651" xr:uid="{00000000-0005-0000-0000-00007D130000}"/>
    <cellStyle name="20% - Accent3 7 2 2 4 3" xfId="21599" xr:uid="{00000000-0005-0000-0000-00007E130000}"/>
    <cellStyle name="20% - Accent3 7 2 2 5" xfId="9220" xr:uid="{00000000-0005-0000-0000-00007F130000}"/>
    <cellStyle name="20% - Accent3 7 2 2 5 2" xfId="17178" xr:uid="{00000000-0005-0000-0000-000080130000}"/>
    <cellStyle name="20% - Accent3 7 2 2 5 3" xfId="25122" xr:uid="{00000000-0005-0000-0000-000081130000}"/>
    <cellStyle name="20% - Accent3 7 2 2 6" xfId="10116" xr:uid="{00000000-0005-0000-0000-000082130000}"/>
    <cellStyle name="20% - Accent3 7 2 2 7" xfId="18071" xr:uid="{00000000-0005-0000-0000-000083130000}"/>
    <cellStyle name="20% - Accent3 7 2 2_Exh G" xfId="2285" xr:uid="{00000000-0005-0000-0000-000084130000}"/>
    <cellStyle name="20% - Accent3 7 2 3" xfId="1195" xr:uid="{00000000-0005-0000-0000-000085130000}"/>
    <cellStyle name="20% - Accent3 7 2 3 2" xfId="4725" xr:uid="{00000000-0005-0000-0000-000086130000}"/>
    <cellStyle name="20% - Accent3 7 2 3 2 2" xfId="8316" xr:uid="{00000000-0005-0000-0000-000087130000}"/>
    <cellStyle name="20% - Accent3 7 2 3 2 2 2" xfId="16287" xr:uid="{00000000-0005-0000-0000-000088130000}"/>
    <cellStyle name="20% - Accent3 7 2 3 2 2 3" xfId="24233" xr:uid="{00000000-0005-0000-0000-000089130000}"/>
    <cellStyle name="20% - Accent3 7 2 3 2 3" xfId="12749" xr:uid="{00000000-0005-0000-0000-00008A130000}"/>
    <cellStyle name="20% - Accent3 7 2 3 2 4" xfId="20704" xr:uid="{00000000-0005-0000-0000-00008B130000}"/>
    <cellStyle name="20% - Accent3 7 2 3 3" xfId="6557" xr:uid="{00000000-0005-0000-0000-00008C130000}"/>
    <cellStyle name="20% - Accent3 7 2 3 3 2" xfId="14529" xr:uid="{00000000-0005-0000-0000-00008D130000}"/>
    <cellStyle name="20% - Accent3 7 2 3 3 3" xfId="22476" xr:uid="{00000000-0005-0000-0000-00008E130000}"/>
    <cellStyle name="20% - Accent3 7 2 3 4" xfId="10993" xr:uid="{00000000-0005-0000-0000-00008F130000}"/>
    <cellStyle name="20% - Accent3 7 2 3 5" xfId="18948" xr:uid="{00000000-0005-0000-0000-000090130000}"/>
    <cellStyle name="20% - Accent3 7 2 3_Exh G" xfId="2287" xr:uid="{00000000-0005-0000-0000-000091130000}"/>
    <cellStyle name="20% - Accent3 7 2 4" xfId="3846" xr:uid="{00000000-0005-0000-0000-000092130000}"/>
    <cellStyle name="20% - Accent3 7 2 4 2" xfId="7438" xr:uid="{00000000-0005-0000-0000-000093130000}"/>
    <cellStyle name="20% - Accent3 7 2 4 2 2" xfId="15409" xr:uid="{00000000-0005-0000-0000-000094130000}"/>
    <cellStyle name="20% - Accent3 7 2 4 2 3" xfId="23355" xr:uid="{00000000-0005-0000-0000-000095130000}"/>
    <cellStyle name="20% - Accent3 7 2 4 3" xfId="11871" xr:uid="{00000000-0005-0000-0000-000096130000}"/>
    <cellStyle name="20% - Accent3 7 2 4 4" xfId="19826" xr:uid="{00000000-0005-0000-0000-000097130000}"/>
    <cellStyle name="20% - Accent3 7 2 5" xfId="5666" xr:uid="{00000000-0005-0000-0000-000098130000}"/>
    <cellStyle name="20% - Accent3 7 2 5 2" xfId="13650" xr:uid="{00000000-0005-0000-0000-000099130000}"/>
    <cellStyle name="20% - Accent3 7 2 5 3" xfId="21598" xr:uid="{00000000-0005-0000-0000-00009A130000}"/>
    <cellStyle name="20% - Accent3 7 2 6" xfId="9219" xr:uid="{00000000-0005-0000-0000-00009B130000}"/>
    <cellStyle name="20% - Accent3 7 2 6 2" xfId="17177" xr:uid="{00000000-0005-0000-0000-00009C130000}"/>
    <cellStyle name="20% - Accent3 7 2 6 3" xfId="25121" xr:uid="{00000000-0005-0000-0000-00009D130000}"/>
    <cellStyle name="20% - Accent3 7 2 7" xfId="10115" xr:uid="{00000000-0005-0000-0000-00009E130000}"/>
    <cellStyle name="20% - Accent3 7 2 8" xfId="18070" xr:uid="{00000000-0005-0000-0000-00009F130000}"/>
    <cellStyle name="20% - Accent3 7 2_Exh G" xfId="2284" xr:uid="{00000000-0005-0000-0000-0000A0130000}"/>
    <cellStyle name="20% - Accent3 7 3" xfId="169" xr:uid="{00000000-0005-0000-0000-0000A1130000}"/>
    <cellStyle name="20% - Accent3 7 3 2" xfId="1197" xr:uid="{00000000-0005-0000-0000-0000A2130000}"/>
    <cellStyle name="20% - Accent3 7 3 2 2" xfId="4727" xr:uid="{00000000-0005-0000-0000-0000A3130000}"/>
    <cellStyle name="20% - Accent3 7 3 2 2 2" xfId="8318" xr:uid="{00000000-0005-0000-0000-0000A4130000}"/>
    <cellStyle name="20% - Accent3 7 3 2 2 2 2" xfId="16289" xr:uid="{00000000-0005-0000-0000-0000A5130000}"/>
    <cellStyle name="20% - Accent3 7 3 2 2 2 3" xfId="24235" xr:uid="{00000000-0005-0000-0000-0000A6130000}"/>
    <cellStyle name="20% - Accent3 7 3 2 2 3" xfId="12751" xr:uid="{00000000-0005-0000-0000-0000A7130000}"/>
    <cellStyle name="20% - Accent3 7 3 2 2 4" xfId="20706" xr:uid="{00000000-0005-0000-0000-0000A8130000}"/>
    <cellStyle name="20% - Accent3 7 3 2 3" xfId="6559" xr:uid="{00000000-0005-0000-0000-0000A9130000}"/>
    <cellStyle name="20% - Accent3 7 3 2 3 2" xfId="14531" xr:uid="{00000000-0005-0000-0000-0000AA130000}"/>
    <cellStyle name="20% - Accent3 7 3 2 3 3" xfId="22478" xr:uid="{00000000-0005-0000-0000-0000AB130000}"/>
    <cellStyle name="20% - Accent3 7 3 2 4" xfId="10995" xr:uid="{00000000-0005-0000-0000-0000AC130000}"/>
    <cellStyle name="20% - Accent3 7 3 2 5" xfId="18950" xr:uid="{00000000-0005-0000-0000-0000AD130000}"/>
    <cellStyle name="20% - Accent3 7 3 2_Exh G" xfId="2289" xr:uid="{00000000-0005-0000-0000-0000AE130000}"/>
    <cellStyle name="20% - Accent3 7 3 3" xfId="3848" xr:uid="{00000000-0005-0000-0000-0000AF130000}"/>
    <cellStyle name="20% - Accent3 7 3 3 2" xfId="7440" xr:uid="{00000000-0005-0000-0000-0000B0130000}"/>
    <cellStyle name="20% - Accent3 7 3 3 2 2" xfId="15411" xr:uid="{00000000-0005-0000-0000-0000B1130000}"/>
    <cellStyle name="20% - Accent3 7 3 3 2 3" xfId="23357" xr:uid="{00000000-0005-0000-0000-0000B2130000}"/>
    <cellStyle name="20% - Accent3 7 3 3 3" xfId="11873" xr:uid="{00000000-0005-0000-0000-0000B3130000}"/>
    <cellStyle name="20% - Accent3 7 3 3 4" xfId="19828" xr:uid="{00000000-0005-0000-0000-0000B4130000}"/>
    <cellStyle name="20% - Accent3 7 3 4" xfId="5668" xr:uid="{00000000-0005-0000-0000-0000B5130000}"/>
    <cellStyle name="20% - Accent3 7 3 4 2" xfId="13652" xr:uid="{00000000-0005-0000-0000-0000B6130000}"/>
    <cellStyle name="20% - Accent3 7 3 4 3" xfId="21600" xr:uid="{00000000-0005-0000-0000-0000B7130000}"/>
    <cellStyle name="20% - Accent3 7 3 5" xfId="9221" xr:uid="{00000000-0005-0000-0000-0000B8130000}"/>
    <cellStyle name="20% - Accent3 7 3 5 2" xfId="17179" xr:uid="{00000000-0005-0000-0000-0000B9130000}"/>
    <cellStyle name="20% - Accent3 7 3 5 3" xfId="25123" xr:uid="{00000000-0005-0000-0000-0000BA130000}"/>
    <cellStyle name="20% - Accent3 7 3 6" xfId="10117" xr:uid="{00000000-0005-0000-0000-0000BB130000}"/>
    <cellStyle name="20% - Accent3 7 3 7" xfId="18072" xr:uid="{00000000-0005-0000-0000-0000BC130000}"/>
    <cellStyle name="20% - Accent3 7 3_Exh G" xfId="2288" xr:uid="{00000000-0005-0000-0000-0000BD130000}"/>
    <cellStyle name="20% - Accent3 7 4" xfId="895" xr:uid="{00000000-0005-0000-0000-0000BE130000}"/>
    <cellStyle name="20% - Accent3 7 4 2" xfId="1826" xr:uid="{00000000-0005-0000-0000-0000BF130000}"/>
    <cellStyle name="20% - Accent3 7 4 2 2" xfId="5344" xr:uid="{00000000-0005-0000-0000-0000C0130000}"/>
    <cellStyle name="20% - Accent3 7 4 2 2 2" xfId="8935" xr:uid="{00000000-0005-0000-0000-0000C1130000}"/>
    <cellStyle name="20% - Accent3 7 4 2 2 2 2" xfId="16906" xr:uid="{00000000-0005-0000-0000-0000C2130000}"/>
    <cellStyle name="20% - Accent3 7 4 2 2 2 3" xfId="24852" xr:uid="{00000000-0005-0000-0000-0000C3130000}"/>
    <cellStyle name="20% - Accent3 7 4 2 2 3" xfId="13368" xr:uid="{00000000-0005-0000-0000-0000C4130000}"/>
    <cellStyle name="20% - Accent3 7 4 2 2 4" xfId="21323" xr:uid="{00000000-0005-0000-0000-0000C5130000}"/>
    <cellStyle name="20% - Accent3 7 4 2 3" xfId="7176" xr:uid="{00000000-0005-0000-0000-0000C6130000}"/>
    <cellStyle name="20% - Accent3 7 4 2 3 2" xfId="15148" xr:uid="{00000000-0005-0000-0000-0000C7130000}"/>
    <cellStyle name="20% - Accent3 7 4 2 3 3" xfId="23095" xr:uid="{00000000-0005-0000-0000-0000C8130000}"/>
    <cellStyle name="20% - Accent3 7 4 2 4" xfId="11612" xr:uid="{00000000-0005-0000-0000-0000C9130000}"/>
    <cellStyle name="20% - Accent3 7 4 2 5" xfId="19567" xr:uid="{00000000-0005-0000-0000-0000CA130000}"/>
    <cellStyle name="20% - Accent3 7 4 2_Exh G" xfId="2291" xr:uid="{00000000-0005-0000-0000-0000CB130000}"/>
    <cellStyle name="20% - Accent3 7 4 3" xfId="4465" xr:uid="{00000000-0005-0000-0000-0000CC130000}"/>
    <cellStyle name="20% - Accent3 7 4 3 2" xfId="8057" xr:uid="{00000000-0005-0000-0000-0000CD130000}"/>
    <cellStyle name="20% - Accent3 7 4 3 2 2" xfId="16028" xr:uid="{00000000-0005-0000-0000-0000CE130000}"/>
    <cellStyle name="20% - Accent3 7 4 3 2 3" xfId="23974" xr:uid="{00000000-0005-0000-0000-0000CF130000}"/>
    <cellStyle name="20% - Accent3 7 4 3 3" xfId="12490" xr:uid="{00000000-0005-0000-0000-0000D0130000}"/>
    <cellStyle name="20% - Accent3 7 4 3 4" xfId="20445" xr:uid="{00000000-0005-0000-0000-0000D1130000}"/>
    <cellStyle name="20% - Accent3 7 4 4" xfId="6295" xr:uid="{00000000-0005-0000-0000-0000D2130000}"/>
    <cellStyle name="20% - Accent3 7 4 4 2" xfId="14270" xr:uid="{00000000-0005-0000-0000-0000D3130000}"/>
    <cellStyle name="20% - Accent3 7 4 4 3" xfId="22217" xr:uid="{00000000-0005-0000-0000-0000D4130000}"/>
    <cellStyle name="20% - Accent3 7 4 5" xfId="9838" xr:uid="{00000000-0005-0000-0000-0000D5130000}"/>
    <cellStyle name="20% - Accent3 7 4 5 2" xfId="17796" xr:uid="{00000000-0005-0000-0000-0000D6130000}"/>
    <cellStyle name="20% - Accent3 7 4 5 3" xfId="25740" xr:uid="{00000000-0005-0000-0000-0000D7130000}"/>
    <cellStyle name="20% - Accent3 7 4 6" xfId="10734" xr:uid="{00000000-0005-0000-0000-0000D8130000}"/>
    <cellStyle name="20% - Accent3 7 4 7" xfId="18689" xr:uid="{00000000-0005-0000-0000-0000D9130000}"/>
    <cellStyle name="20% - Accent3 7 4_Exh G" xfId="2290" xr:uid="{00000000-0005-0000-0000-0000DA130000}"/>
    <cellStyle name="20% - Accent3 7 5" xfId="1194" xr:uid="{00000000-0005-0000-0000-0000DB130000}"/>
    <cellStyle name="20% - Accent3 7 5 2" xfId="4724" xr:uid="{00000000-0005-0000-0000-0000DC130000}"/>
    <cellStyle name="20% - Accent3 7 5 2 2" xfId="8315" xr:uid="{00000000-0005-0000-0000-0000DD130000}"/>
    <cellStyle name="20% - Accent3 7 5 2 2 2" xfId="16286" xr:uid="{00000000-0005-0000-0000-0000DE130000}"/>
    <cellStyle name="20% - Accent3 7 5 2 2 3" xfId="24232" xr:uid="{00000000-0005-0000-0000-0000DF130000}"/>
    <cellStyle name="20% - Accent3 7 5 2 3" xfId="12748" xr:uid="{00000000-0005-0000-0000-0000E0130000}"/>
    <cellStyle name="20% - Accent3 7 5 2 4" xfId="20703" xr:uid="{00000000-0005-0000-0000-0000E1130000}"/>
    <cellStyle name="20% - Accent3 7 5 3" xfId="6556" xr:uid="{00000000-0005-0000-0000-0000E2130000}"/>
    <cellStyle name="20% - Accent3 7 5 3 2" xfId="14528" xr:uid="{00000000-0005-0000-0000-0000E3130000}"/>
    <cellStyle name="20% - Accent3 7 5 3 3" xfId="22475" xr:uid="{00000000-0005-0000-0000-0000E4130000}"/>
    <cellStyle name="20% - Accent3 7 5 4" xfId="10992" xr:uid="{00000000-0005-0000-0000-0000E5130000}"/>
    <cellStyle name="20% - Accent3 7 5 5" xfId="18947" xr:uid="{00000000-0005-0000-0000-0000E6130000}"/>
    <cellStyle name="20% - Accent3 7 5_Exh G" xfId="2292" xr:uid="{00000000-0005-0000-0000-0000E7130000}"/>
    <cellStyle name="20% - Accent3 7 6" xfId="3845" xr:uid="{00000000-0005-0000-0000-0000E8130000}"/>
    <cellStyle name="20% - Accent3 7 6 2" xfId="7437" xr:uid="{00000000-0005-0000-0000-0000E9130000}"/>
    <cellStyle name="20% - Accent3 7 6 2 2" xfId="15408" xr:uid="{00000000-0005-0000-0000-0000EA130000}"/>
    <cellStyle name="20% - Accent3 7 6 2 3" xfId="23354" xr:uid="{00000000-0005-0000-0000-0000EB130000}"/>
    <cellStyle name="20% - Accent3 7 6 3" xfId="11870" xr:uid="{00000000-0005-0000-0000-0000EC130000}"/>
    <cellStyle name="20% - Accent3 7 6 4" xfId="19825" xr:uid="{00000000-0005-0000-0000-0000ED130000}"/>
    <cellStyle name="20% - Accent3 7 7" xfId="5665" xr:uid="{00000000-0005-0000-0000-0000EE130000}"/>
    <cellStyle name="20% - Accent3 7 7 2" xfId="13649" xr:uid="{00000000-0005-0000-0000-0000EF130000}"/>
    <cellStyle name="20% - Accent3 7 7 3" xfId="21597" xr:uid="{00000000-0005-0000-0000-0000F0130000}"/>
    <cellStyle name="20% - Accent3 7 8" xfId="9218" xr:uid="{00000000-0005-0000-0000-0000F1130000}"/>
    <cellStyle name="20% - Accent3 7 8 2" xfId="17176" xr:uid="{00000000-0005-0000-0000-0000F2130000}"/>
    <cellStyle name="20% - Accent3 7 8 3" xfId="25120" xr:uid="{00000000-0005-0000-0000-0000F3130000}"/>
    <cellStyle name="20% - Accent3 7 9" xfId="10114" xr:uid="{00000000-0005-0000-0000-0000F4130000}"/>
    <cellStyle name="20% - Accent3 7_Exh G" xfId="2283" xr:uid="{00000000-0005-0000-0000-0000F5130000}"/>
    <cellStyle name="20% - Accent3 8" xfId="170" xr:uid="{00000000-0005-0000-0000-0000F6130000}"/>
    <cellStyle name="20% - Accent3 8 10" xfId="18073" xr:uid="{00000000-0005-0000-0000-0000F7130000}"/>
    <cellStyle name="20% - Accent3 8 2" xfId="171" xr:uid="{00000000-0005-0000-0000-0000F8130000}"/>
    <cellStyle name="20% - Accent3 8 2 2" xfId="172" xr:uid="{00000000-0005-0000-0000-0000F9130000}"/>
    <cellStyle name="20% - Accent3 8 2 2 2" xfId="1200" xr:uid="{00000000-0005-0000-0000-0000FA130000}"/>
    <cellStyle name="20% - Accent3 8 2 2 2 2" xfId="4730" xr:uid="{00000000-0005-0000-0000-0000FB130000}"/>
    <cellStyle name="20% - Accent3 8 2 2 2 2 2" xfId="8321" xr:uid="{00000000-0005-0000-0000-0000FC130000}"/>
    <cellStyle name="20% - Accent3 8 2 2 2 2 2 2" xfId="16292" xr:uid="{00000000-0005-0000-0000-0000FD130000}"/>
    <cellStyle name="20% - Accent3 8 2 2 2 2 2 3" xfId="24238" xr:uid="{00000000-0005-0000-0000-0000FE130000}"/>
    <cellStyle name="20% - Accent3 8 2 2 2 2 3" xfId="12754" xr:uid="{00000000-0005-0000-0000-0000FF130000}"/>
    <cellStyle name="20% - Accent3 8 2 2 2 2 4" xfId="20709" xr:uid="{00000000-0005-0000-0000-000000140000}"/>
    <cellStyle name="20% - Accent3 8 2 2 2 3" xfId="6562" xr:uid="{00000000-0005-0000-0000-000001140000}"/>
    <cellStyle name="20% - Accent3 8 2 2 2 3 2" xfId="14534" xr:uid="{00000000-0005-0000-0000-000002140000}"/>
    <cellStyle name="20% - Accent3 8 2 2 2 3 3" xfId="22481" xr:uid="{00000000-0005-0000-0000-000003140000}"/>
    <cellStyle name="20% - Accent3 8 2 2 2 4" xfId="10998" xr:uid="{00000000-0005-0000-0000-000004140000}"/>
    <cellStyle name="20% - Accent3 8 2 2 2 5" xfId="18953" xr:uid="{00000000-0005-0000-0000-000005140000}"/>
    <cellStyle name="20% - Accent3 8 2 2 2_Exh G" xfId="2296" xr:uid="{00000000-0005-0000-0000-000006140000}"/>
    <cellStyle name="20% - Accent3 8 2 2 3" xfId="3851" xr:uid="{00000000-0005-0000-0000-000007140000}"/>
    <cellStyle name="20% - Accent3 8 2 2 3 2" xfId="7443" xr:uid="{00000000-0005-0000-0000-000008140000}"/>
    <cellStyle name="20% - Accent3 8 2 2 3 2 2" xfId="15414" xr:uid="{00000000-0005-0000-0000-000009140000}"/>
    <cellStyle name="20% - Accent3 8 2 2 3 2 3" xfId="23360" xr:uid="{00000000-0005-0000-0000-00000A140000}"/>
    <cellStyle name="20% - Accent3 8 2 2 3 3" xfId="11876" xr:uid="{00000000-0005-0000-0000-00000B140000}"/>
    <cellStyle name="20% - Accent3 8 2 2 3 4" xfId="19831" xr:uid="{00000000-0005-0000-0000-00000C140000}"/>
    <cellStyle name="20% - Accent3 8 2 2 4" xfId="5671" xr:uid="{00000000-0005-0000-0000-00000D140000}"/>
    <cellStyle name="20% - Accent3 8 2 2 4 2" xfId="13655" xr:uid="{00000000-0005-0000-0000-00000E140000}"/>
    <cellStyle name="20% - Accent3 8 2 2 4 3" xfId="21603" xr:uid="{00000000-0005-0000-0000-00000F140000}"/>
    <cellStyle name="20% - Accent3 8 2 2 5" xfId="9224" xr:uid="{00000000-0005-0000-0000-000010140000}"/>
    <cellStyle name="20% - Accent3 8 2 2 5 2" xfId="17182" xr:uid="{00000000-0005-0000-0000-000011140000}"/>
    <cellStyle name="20% - Accent3 8 2 2 5 3" xfId="25126" xr:uid="{00000000-0005-0000-0000-000012140000}"/>
    <cellStyle name="20% - Accent3 8 2 2 6" xfId="10120" xr:uid="{00000000-0005-0000-0000-000013140000}"/>
    <cellStyle name="20% - Accent3 8 2 2 7" xfId="18075" xr:uid="{00000000-0005-0000-0000-000014140000}"/>
    <cellStyle name="20% - Accent3 8 2 2_Exh G" xfId="2295" xr:uid="{00000000-0005-0000-0000-000015140000}"/>
    <cellStyle name="20% - Accent3 8 2 3" xfId="1199" xr:uid="{00000000-0005-0000-0000-000016140000}"/>
    <cellStyle name="20% - Accent3 8 2 3 2" xfId="4729" xr:uid="{00000000-0005-0000-0000-000017140000}"/>
    <cellStyle name="20% - Accent3 8 2 3 2 2" xfId="8320" xr:uid="{00000000-0005-0000-0000-000018140000}"/>
    <cellStyle name="20% - Accent3 8 2 3 2 2 2" xfId="16291" xr:uid="{00000000-0005-0000-0000-000019140000}"/>
    <cellStyle name="20% - Accent3 8 2 3 2 2 3" xfId="24237" xr:uid="{00000000-0005-0000-0000-00001A140000}"/>
    <cellStyle name="20% - Accent3 8 2 3 2 3" xfId="12753" xr:uid="{00000000-0005-0000-0000-00001B140000}"/>
    <cellStyle name="20% - Accent3 8 2 3 2 4" xfId="20708" xr:uid="{00000000-0005-0000-0000-00001C140000}"/>
    <cellStyle name="20% - Accent3 8 2 3 3" xfId="6561" xr:uid="{00000000-0005-0000-0000-00001D140000}"/>
    <cellStyle name="20% - Accent3 8 2 3 3 2" xfId="14533" xr:uid="{00000000-0005-0000-0000-00001E140000}"/>
    <cellStyle name="20% - Accent3 8 2 3 3 3" xfId="22480" xr:uid="{00000000-0005-0000-0000-00001F140000}"/>
    <cellStyle name="20% - Accent3 8 2 3 4" xfId="10997" xr:uid="{00000000-0005-0000-0000-000020140000}"/>
    <cellStyle name="20% - Accent3 8 2 3 5" xfId="18952" xr:uid="{00000000-0005-0000-0000-000021140000}"/>
    <cellStyle name="20% - Accent3 8 2 3_Exh G" xfId="2297" xr:uid="{00000000-0005-0000-0000-000022140000}"/>
    <cellStyle name="20% - Accent3 8 2 4" xfId="3850" xr:uid="{00000000-0005-0000-0000-000023140000}"/>
    <cellStyle name="20% - Accent3 8 2 4 2" xfId="7442" xr:uid="{00000000-0005-0000-0000-000024140000}"/>
    <cellStyle name="20% - Accent3 8 2 4 2 2" xfId="15413" xr:uid="{00000000-0005-0000-0000-000025140000}"/>
    <cellStyle name="20% - Accent3 8 2 4 2 3" xfId="23359" xr:uid="{00000000-0005-0000-0000-000026140000}"/>
    <cellStyle name="20% - Accent3 8 2 4 3" xfId="11875" xr:uid="{00000000-0005-0000-0000-000027140000}"/>
    <cellStyle name="20% - Accent3 8 2 4 4" xfId="19830" xr:uid="{00000000-0005-0000-0000-000028140000}"/>
    <cellStyle name="20% - Accent3 8 2 5" xfId="5670" xr:uid="{00000000-0005-0000-0000-000029140000}"/>
    <cellStyle name="20% - Accent3 8 2 5 2" xfId="13654" xr:uid="{00000000-0005-0000-0000-00002A140000}"/>
    <cellStyle name="20% - Accent3 8 2 5 3" xfId="21602" xr:uid="{00000000-0005-0000-0000-00002B140000}"/>
    <cellStyle name="20% - Accent3 8 2 6" xfId="9223" xr:uid="{00000000-0005-0000-0000-00002C140000}"/>
    <cellStyle name="20% - Accent3 8 2 6 2" xfId="17181" xr:uid="{00000000-0005-0000-0000-00002D140000}"/>
    <cellStyle name="20% - Accent3 8 2 6 3" xfId="25125" xr:uid="{00000000-0005-0000-0000-00002E140000}"/>
    <cellStyle name="20% - Accent3 8 2 7" xfId="10119" xr:uid="{00000000-0005-0000-0000-00002F140000}"/>
    <cellStyle name="20% - Accent3 8 2 8" xfId="18074" xr:uid="{00000000-0005-0000-0000-000030140000}"/>
    <cellStyle name="20% - Accent3 8 2_Exh G" xfId="2294" xr:uid="{00000000-0005-0000-0000-000031140000}"/>
    <cellStyle name="20% - Accent3 8 3" xfId="173" xr:uid="{00000000-0005-0000-0000-000032140000}"/>
    <cellStyle name="20% - Accent3 8 3 2" xfId="1201" xr:uid="{00000000-0005-0000-0000-000033140000}"/>
    <cellStyle name="20% - Accent3 8 3 2 2" xfId="4731" xr:uid="{00000000-0005-0000-0000-000034140000}"/>
    <cellStyle name="20% - Accent3 8 3 2 2 2" xfId="8322" xr:uid="{00000000-0005-0000-0000-000035140000}"/>
    <cellStyle name="20% - Accent3 8 3 2 2 2 2" xfId="16293" xr:uid="{00000000-0005-0000-0000-000036140000}"/>
    <cellStyle name="20% - Accent3 8 3 2 2 2 3" xfId="24239" xr:uid="{00000000-0005-0000-0000-000037140000}"/>
    <cellStyle name="20% - Accent3 8 3 2 2 3" xfId="12755" xr:uid="{00000000-0005-0000-0000-000038140000}"/>
    <cellStyle name="20% - Accent3 8 3 2 2 4" xfId="20710" xr:uid="{00000000-0005-0000-0000-000039140000}"/>
    <cellStyle name="20% - Accent3 8 3 2 3" xfId="6563" xr:uid="{00000000-0005-0000-0000-00003A140000}"/>
    <cellStyle name="20% - Accent3 8 3 2 3 2" xfId="14535" xr:uid="{00000000-0005-0000-0000-00003B140000}"/>
    <cellStyle name="20% - Accent3 8 3 2 3 3" xfId="22482" xr:uid="{00000000-0005-0000-0000-00003C140000}"/>
    <cellStyle name="20% - Accent3 8 3 2 4" xfId="10999" xr:uid="{00000000-0005-0000-0000-00003D140000}"/>
    <cellStyle name="20% - Accent3 8 3 2 5" xfId="18954" xr:uid="{00000000-0005-0000-0000-00003E140000}"/>
    <cellStyle name="20% - Accent3 8 3 2_Exh G" xfId="2299" xr:uid="{00000000-0005-0000-0000-00003F140000}"/>
    <cellStyle name="20% - Accent3 8 3 3" xfId="3852" xr:uid="{00000000-0005-0000-0000-000040140000}"/>
    <cellStyle name="20% - Accent3 8 3 3 2" xfId="7444" xr:uid="{00000000-0005-0000-0000-000041140000}"/>
    <cellStyle name="20% - Accent3 8 3 3 2 2" xfId="15415" xr:uid="{00000000-0005-0000-0000-000042140000}"/>
    <cellStyle name="20% - Accent3 8 3 3 2 3" xfId="23361" xr:uid="{00000000-0005-0000-0000-000043140000}"/>
    <cellStyle name="20% - Accent3 8 3 3 3" xfId="11877" xr:uid="{00000000-0005-0000-0000-000044140000}"/>
    <cellStyle name="20% - Accent3 8 3 3 4" xfId="19832" xr:uid="{00000000-0005-0000-0000-000045140000}"/>
    <cellStyle name="20% - Accent3 8 3 4" xfId="5672" xr:uid="{00000000-0005-0000-0000-000046140000}"/>
    <cellStyle name="20% - Accent3 8 3 4 2" xfId="13656" xr:uid="{00000000-0005-0000-0000-000047140000}"/>
    <cellStyle name="20% - Accent3 8 3 4 3" xfId="21604" xr:uid="{00000000-0005-0000-0000-000048140000}"/>
    <cellStyle name="20% - Accent3 8 3 5" xfId="9225" xr:uid="{00000000-0005-0000-0000-000049140000}"/>
    <cellStyle name="20% - Accent3 8 3 5 2" xfId="17183" xr:uid="{00000000-0005-0000-0000-00004A140000}"/>
    <cellStyle name="20% - Accent3 8 3 5 3" xfId="25127" xr:uid="{00000000-0005-0000-0000-00004B140000}"/>
    <cellStyle name="20% - Accent3 8 3 6" xfId="10121" xr:uid="{00000000-0005-0000-0000-00004C140000}"/>
    <cellStyle name="20% - Accent3 8 3 7" xfId="18076" xr:uid="{00000000-0005-0000-0000-00004D140000}"/>
    <cellStyle name="20% - Accent3 8 3_Exh G" xfId="2298" xr:uid="{00000000-0005-0000-0000-00004E140000}"/>
    <cellStyle name="20% - Accent3 8 4" xfId="896" xr:uid="{00000000-0005-0000-0000-00004F140000}"/>
    <cellStyle name="20% - Accent3 8 4 2" xfId="1827" xr:uid="{00000000-0005-0000-0000-000050140000}"/>
    <cellStyle name="20% - Accent3 8 4 2 2" xfId="5345" xr:uid="{00000000-0005-0000-0000-000051140000}"/>
    <cellStyle name="20% - Accent3 8 4 2 2 2" xfId="8936" xr:uid="{00000000-0005-0000-0000-000052140000}"/>
    <cellStyle name="20% - Accent3 8 4 2 2 2 2" xfId="16907" xr:uid="{00000000-0005-0000-0000-000053140000}"/>
    <cellStyle name="20% - Accent3 8 4 2 2 2 3" xfId="24853" xr:uid="{00000000-0005-0000-0000-000054140000}"/>
    <cellStyle name="20% - Accent3 8 4 2 2 3" xfId="13369" xr:uid="{00000000-0005-0000-0000-000055140000}"/>
    <cellStyle name="20% - Accent3 8 4 2 2 4" xfId="21324" xr:uid="{00000000-0005-0000-0000-000056140000}"/>
    <cellStyle name="20% - Accent3 8 4 2 3" xfId="7177" xr:uid="{00000000-0005-0000-0000-000057140000}"/>
    <cellStyle name="20% - Accent3 8 4 2 3 2" xfId="15149" xr:uid="{00000000-0005-0000-0000-000058140000}"/>
    <cellStyle name="20% - Accent3 8 4 2 3 3" xfId="23096" xr:uid="{00000000-0005-0000-0000-000059140000}"/>
    <cellStyle name="20% - Accent3 8 4 2 4" xfId="11613" xr:uid="{00000000-0005-0000-0000-00005A140000}"/>
    <cellStyle name="20% - Accent3 8 4 2 5" xfId="19568" xr:uid="{00000000-0005-0000-0000-00005B140000}"/>
    <cellStyle name="20% - Accent3 8 4 2_Exh G" xfId="2301" xr:uid="{00000000-0005-0000-0000-00005C140000}"/>
    <cellStyle name="20% - Accent3 8 4 3" xfId="4466" xr:uid="{00000000-0005-0000-0000-00005D140000}"/>
    <cellStyle name="20% - Accent3 8 4 3 2" xfId="8058" xr:uid="{00000000-0005-0000-0000-00005E140000}"/>
    <cellStyle name="20% - Accent3 8 4 3 2 2" xfId="16029" xr:uid="{00000000-0005-0000-0000-00005F140000}"/>
    <cellStyle name="20% - Accent3 8 4 3 2 3" xfId="23975" xr:uid="{00000000-0005-0000-0000-000060140000}"/>
    <cellStyle name="20% - Accent3 8 4 3 3" xfId="12491" xr:uid="{00000000-0005-0000-0000-000061140000}"/>
    <cellStyle name="20% - Accent3 8 4 3 4" xfId="20446" xr:uid="{00000000-0005-0000-0000-000062140000}"/>
    <cellStyle name="20% - Accent3 8 4 4" xfId="6296" xr:uid="{00000000-0005-0000-0000-000063140000}"/>
    <cellStyle name="20% - Accent3 8 4 4 2" xfId="14271" xr:uid="{00000000-0005-0000-0000-000064140000}"/>
    <cellStyle name="20% - Accent3 8 4 4 3" xfId="22218" xr:uid="{00000000-0005-0000-0000-000065140000}"/>
    <cellStyle name="20% - Accent3 8 4 5" xfId="9839" xr:uid="{00000000-0005-0000-0000-000066140000}"/>
    <cellStyle name="20% - Accent3 8 4 5 2" xfId="17797" xr:uid="{00000000-0005-0000-0000-000067140000}"/>
    <cellStyle name="20% - Accent3 8 4 5 3" xfId="25741" xr:uid="{00000000-0005-0000-0000-000068140000}"/>
    <cellStyle name="20% - Accent3 8 4 6" xfId="10735" xr:uid="{00000000-0005-0000-0000-000069140000}"/>
    <cellStyle name="20% - Accent3 8 4 7" xfId="18690" xr:uid="{00000000-0005-0000-0000-00006A140000}"/>
    <cellStyle name="20% - Accent3 8 4_Exh G" xfId="2300" xr:uid="{00000000-0005-0000-0000-00006B140000}"/>
    <cellStyle name="20% - Accent3 8 5" xfId="1198" xr:uid="{00000000-0005-0000-0000-00006C140000}"/>
    <cellStyle name="20% - Accent3 8 5 2" xfId="4728" xr:uid="{00000000-0005-0000-0000-00006D140000}"/>
    <cellStyle name="20% - Accent3 8 5 2 2" xfId="8319" xr:uid="{00000000-0005-0000-0000-00006E140000}"/>
    <cellStyle name="20% - Accent3 8 5 2 2 2" xfId="16290" xr:uid="{00000000-0005-0000-0000-00006F140000}"/>
    <cellStyle name="20% - Accent3 8 5 2 2 3" xfId="24236" xr:uid="{00000000-0005-0000-0000-000070140000}"/>
    <cellStyle name="20% - Accent3 8 5 2 3" xfId="12752" xr:uid="{00000000-0005-0000-0000-000071140000}"/>
    <cellStyle name="20% - Accent3 8 5 2 4" xfId="20707" xr:uid="{00000000-0005-0000-0000-000072140000}"/>
    <cellStyle name="20% - Accent3 8 5 3" xfId="6560" xr:uid="{00000000-0005-0000-0000-000073140000}"/>
    <cellStyle name="20% - Accent3 8 5 3 2" xfId="14532" xr:uid="{00000000-0005-0000-0000-000074140000}"/>
    <cellStyle name="20% - Accent3 8 5 3 3" xfId="22479" xr:uid="{00000000-0005-0000-0000-000075140000}"/>
    <cellStyle name="20% - Accent3 8 5 4" xfId="10996" xr:uid="{00000000-0005-0000-0000-000076140000}"/>
    <cellStyle name="20% - Accent3 8 5 5" xfId="18951" xr:uid="{00000000-0005-0000-0000-000077140000}"/>
    <cellStyle name="20% - Accent3 8 5_Exh G" xfId="2302" xr:uid="{00000000-0005-0000-0000-000078140000}"/>
    <cellStyle name="20% - Accent3 8 6" xfId="3849" xr:uid="{00000000-0005-0000-0000-000079140000}"/>
    <cellStyle name="20% - Accent3 8 6 2" xfId="7441" xr:uid="{00000000-0005-0000-0000-00007A140000}"/>
    <cellStyle name="20% - Accent3 8 6 2 2" xfId="15412" xr:uid="{00000000-0005-0000-0000-00007B140000}"/>
    <cellStyle name="20% - Accent3 8 6 2 3" xfId="23358" xr:uid="{00000000-0005-0000-0000-00007C140000}"/>
    <cellStyle name="20% - Accent3 8 6 3" xfId="11874" xr:uid="{00000000-0005-0000-0000-00007D140000}"/>
    <cellStyle name="20% - Accent3 8 6 4" xfId="19829" xr:uid="{00000000-0005-0000-0000-00007E140000}"/>
    <cellStyle name="20% - Accent3 8 7" xfId="5669" xr:uid="{00000000-0005-0000-0000-00007F140000}"/>
    <cellStyle name="20% - Accent3 8 7 2" xfId="13653" xr:uid="{00000000-0005-0000-0000-000080140000}"/>
    <cellStyle name="20% - Accent3 8 7 3" xfId="21601" xr:uid="{00000000-0005-0000-0000-000081140000}"/>
    <cellStyle name="20% - Accent3 8 8" xfId="9222" xr:uid="{00000000-0005-0000-0000-000082140000}"/>
    <cellStyle name="20% - Accent3 8 8 2" xfId="17180" xr:uid="{00000000-0005-0000-0000-000083140000}"/>
    <cellStyle name="20% - Accent3 8 8 3" xfId="25124" xr:uid="{00000000-0005-0000-0000-000084140000}"/>
    <cellStyle name="20% - Accent3 8 9" xfId="10118" xr:uid="{00000000-0005-0000-0000-000085140000}"/>
    <cellStyle name="20% - Accent3 8_Exh G" xfId="2293" xr:uid="{00000000-0005-0000-0000-000086140000}"/>
    <cellStyle name="20% - Accent3 9" xfId="174" xr:uid="{00000000-0005-0000-0000-000087140000}"/>
    <cellStyle name="20% - Accent3 9 10" xfId="18077" xr:uid="{00000000-0005-0000-0000-000088140000}"/>
    <cellStyle name="20% - Accent3 9 2" xfId="175" xr:uid="{00000000-0005-0000-0000-000089140000}"/>
    <cellStyle name="20% - Accent3 9 2 2" xfId="176" xr:uid="{00000000-0005-0000-0000-00008A140000}"/>
    <cellStyle name="20% - Accent3 9 2 2 2" xfId="1204" xr:uid="{00000000-0005-0000-0000-00008B140000}"/>
    <cellStyle name="20% - Accent3 9 2 2 2 2" xfId="4734" xr:uid="{00000000-0005-0000-0000-00008C140000}"/>
    <cellStyle name="20% - Accent3 9 2 2 2 2 2" xfId="8325" xr:uid="{00000000-0005-0000-0000-00008D140000}"/>
    <cellStyle name="20% - Accent3 9 2 2 2 2 2 2" xfId="16296" xr:uid="{00000000-0005-0000-0000-00008E140000}"/>
    <cellStyle name="20% - Accent3 9 2 2 2 2 2 3" xfId="24242" xr:uid="{00000000-0005-0000-0000-00008F140000}"/>
    <cellStyle name="20% - Accent3 9 2 2 2 2 3" xfId="12758" xr:uid="{00000000-0005-0000-0000-000090140000}"/>
    <cellStyle name="20% - Accent3 9 2 2 2 2 4" xfId="20713" xr:uid="{00000000-0005-0000-0000-000091140000}"/>
    <cellStyle name="20% - Accent3 9 2 2 2 3" xfId="6566" xr:uid="{00000000-0005-0000-0000-000092140000}"/>
    <cellStyle name="20% - Accent3 9 2 2 2 3 2" xfId="14538" xr:uid="{00000000-0005-0000-0000-000093140000}"/>
    <cellStyle name="20% - Accent3 9 2 2 2 3 3" xfId="22485" xr:uid="{00000000-0005-0000-0000-000094140000}"/>
    <cellStyle name="20% - Accent3 9 2 2 2 4" xfId="11002" xr:uid="{00000000-0005-0000-0000-000095140000}"/>
    <cellStyle name="20% - Accent3 9 2 2 2 5" xfId="18957" xr:uid="{00000000-0005-0000-0000-000096140000}"/>
    <cellStyle name="20% - Accent3 9 2 2 2_Exh G" xfId="2306" xr:uid="{00000000-0005-0000-0000-000097140000}"/>
    <cellStyle name="20% - Accent3 9 2 2 3" xfId="3855" xr:uid="{00000000-0005-0000-0000-000098140000}"/>
    <cellStyle name="20% - Accent3 9 2 2 3 2" xfId="7447" xr:uid="{00000000-0005-0000-0000-000099140000}"/>
    <cellStyle name="20% - Accent3 9 2 2 3 2 2" xfId="15418" xr:uid="{00000000-0005-0000-0000-00009A140000}"/>
    <cellStyle name="20% - Accent3 9 2 2 3 2 3" xfId="23364" xr:uid="{00000000-0005-0000-0000-00009B140000}"/>
    <cellStyle name="20% - Accent3 9 2 2 3 3" xfId="11880" xr:uid="{00000000-0005-0000-0000-00009C140000}"/>
    <cellStyle name="20% - Accent3 9 2 2 3 4" xfId="19835" xr:uid="{00000000-0005-0000-0000-00009D140000}"/>
    <cellStyle name="20% - Accent3 9 2 2 4" xfId="5675" xr:uid="{00000000-0005-0000-0000-00009E140000}"/>
    <cellStyle name="20% - Accent3 9 2 2 4 2" xfId="13659" xr:uid="{00000000-0005-0000-0000-00009F140000}"/>
    <cellStyle name="20% - Accent3 9 2 2 4 3" xfId="21607" xr:uid="{00000000-0005-0000-0000-0000A0140000}"/>
    <cellStyle name="20% - Accent3 9 2 2 5" xfId="9228" xr:uid="{00000000-0005-0000-0000-0000A1140000}"/>
    <cellStyle name="20% - Accent3 9 2 2 5 2" xfId="17186" xr:uid="{00000000-0005-0000-0000-0000A2140000}"/>
    <cellStyle name="20% - Accent3 9 2 2 5 3" xfId="25130" xr:uid="{00000000-0005-0000-0000-0000A3140000}"/>
    <cellStyle name="20% - Accent3 9 2 2 6" xfId="10124" xr:uid="{00000000-0005-0000-0000-0000A4140000}"/>
    <cellStyle name="20% - Accent3 9 2 2 7" xfId="18079" xr:uid="{00000000-0005-0000-0000-0000A5140000}"/>
    <cellStyle name="20% - Accent3 9 2 2_Exh G" xfId="2305" xr:uid="{00000000-0005-0000-0000-0000A6140000}"/>
    <cellStyle name="20% - Accent3 9 2 3" xfId="1203" xr:uid="{00000000-0005-0000-0000-0000A7140000}"/>
    <cellStyle name="20% - Accent3 9 2 3 2" xfId="4733" xr:uid="{00000000-0005-0000-0000-0000A8140000}"/>
    <cellStyle name="20% - Accent3 9 2 3 2 2" xfId="8324" xr:uid="{00000000-0005-0000-0000-0000A9140000}"/>
    <cellStyle name="20% - Accent3 9 2 3 2 2 2" xfId="16295" xr:uid="{00000000-0005-0000-0000-0000AA140000}"/>
    <cellStyle name="20% - Accent3 9 2 3 2 2 3" xfId="24241" xr:uid="{00000000-0005-0000-0000-0000AB140000}"/>
    <cellStyle name="20% - Accent3 9 2 3 2 3" xfId="12757" xr:uid="{00000000-0005-0000-0000-0000AC140000}"/>
    <cellStyle name="20% - Accent3 9 2 3 2 4" xfId="20712" xr:uid="{00000000-0005-0000-0000-0000AD140000}"/>
    <cellStyle name="20% - Accent3 9 2 3 3" xfId="6565" xr:uid="{00000000-0005-0000-0000-0000AE140000}"/>
    <cellStyle name="20% - Accent3 9 2 3 3 2" xfId="14537" xr:uid="{00000000-0005-0000-0000-0000AF140000}"/>
    <cellStyle name="20% - Accent3 9 2 3 3 3" xfId="22484" xr:uid="{00000000-0005-0000-0000-0000B0140000}"/>
    <cellStyle name="20% - Accent3 9 2 3 4" xfId="11001" xr:uid="{00000000-0005-0000-0000-0000B1140000}"/>
    <cellStyle name="20% - Accent3 9 2 3 5" xfId="18956" xr:uid="{00000000-0005-0000-0000-0000B2140000}"/>
    <cellStyle name="20% - Accent3 9 2 3_Exh G" xfId="2307" xr:uid="{00000000-0005-0000-0000-0000B3140000}"/>
    <cellStyle name="20% - Accent3 9 2 4" xfId="3854" xr:uid="{00000000-0005-0000-0000-0000B4140000}"/>
    <cellStyle name="20% - Accent3 9 2 4 2" xfId="7446" xr:uid="{00000000-0005-0000-0000-0000B5140000}"/>
    <cellStyle name="20% - Accent3 9 2 4 2 2" xfId="15417" xr:uid="{00000000-0005-0000-0000-0000B6140000}"/>
    <cellStyle name="20% - Accent3 9 2 4 2 3" xfId="23363" xr:uid="{00000000-0005-0000-0000-0000B7140000}"/>
    <cellStyle name="20% - Accent3 9 2 4 3" xfId="11879" xr:uid="{00000000-0005-0000-0000-0000B8140000}"/>
    <cellStyle name="20% - Accent3 9 2 4 4" xfId="19834" xr:uid="{00000000-0005-0000-0000-0000B9140000}"/>
    <cellStyle name="20% - Accent3 9 2 5" xfId="5674" xr:uid="{00000000-0005-0000-0000-0000BA140000}"/>
    <cellStyle name="20% - Accent3 9 2 5 2" xfId="13658" xr:uid="{00000000-0005-0000-0000-0000BB140000}"/>
    <cellStyle name="20% - Accent3 9 2 5 3" xfId="21606" xr:uid="{00000000-0005-0000-0000-0000BC140000}"/>
    <cellStyle name="20% - Accent3 9 2 6" xfId="9227" xr:uid="{00000000-0005-0000-0000-0000BD140000}"/>
    <cellStyle name="20% - Accent3 9 2 6 2" xfId="17185" xr:uid="{00000000-0005-0000-0000-0000BE140000}"/>
    <cellStyle name="20% - Accent3 9 2 6 3" xfId="25129" xr:uid="{00000000-0005-0000-0000-0000BF140000}"/>
    <cellStyle name="20% - Accent3 9 2 7" xfId="10123" xr:uid="{00000000-0005-0000-0000-0000C0140000}"/>
    <cellStyle name="20% - Accent3 9 2 8" xfId="18078" xr:uid="{00000000-0005-0000-0000-0000C1140000}"/>
    <cellStyle name="20% - Accent3 9 2_Exh G" xfId="2304" xr:uid="{00000000-0005-0000-0000-0000C2140000}"/>
    <cellStyle name="20% - Accent3 9 3" xfId="177" xr:uid="{00000000-0005-0000-0000-0000C3140000}"/>
    <cellStyle name="20% - Accent3 9 3 2" xfId="1205" xr:uid="{00000000-0005-0000-0000-0000C4140000}"/>
    <cellStyle name="20% - Accent3 9 3 2 2" xfId="4735" xr:uid="{00000000-0005-0000-0000-0000C5140000}"/>
    <cellStyle name="20% - Accent3 9 3 2 2 2" xfId="8326" xr:uid="{00000000-0005-0000-0000-0000C6140000}"/>
    <cellStyle name="20% - Accent3 9 3 2 2 2 2" xfId="16297" xr:uid="{00000000-0005-0000-0000-0000C7140000}"/>
    <cellStyle name="20% - Accent3 9 3 2 2 2 3" xfId="24243" xr:uid="{00000000-0005-0000-0000-0000C8140000}"/>
    <cellStyle name="20% - Accent3 9 3 2 2 3" xfId="12759" xr:uid="{00000000-0005-0000-0000-0000C9140000}"/>
    <cellStyle name="20% - Accent3 9 3 2 2 4" xfId="20714" xr:uid="{00000000-0005-0000-0000-0000CA140000}"/>
    <cellStyle name="20% - Accent3 9 3 2 3" xfId="6567" xr:uid="{00000000-0005-0000-0000-0000CB140000}"/>
    <cellStyle name="20% - Accent3 9 3 2 3 2" xfId="14539" xr:uid="{00000000-0005-0000-0000-0000CC140000}"/>
    <cellStyle name="20% - Accent3 9 3 2 3 3" xfId="22486" xr:uid="{00000000-0005-0000-0000-0000CD140000}"/>
    <cellStyle name="20% - Accent3 9 3 2 4" xfId="11003" xr:uid="{00000000-0005-0000-0000-0000CE140000}"/>
    <cellStyle name="20% - Accent3 9 3 2 5" xfId="18958" xr:uid="{00000000-0005-0000-0000-0000CF140000}"/>
    <cellStyle name="20% - Accent3 9 3 2_Exh G" xfId="2309" xr:uid="{00000000-0005-0000-0000-0000D0140000}"/>
    <cellStyle name="20% - Accent3 9 3 3" xfId="3856" xr:uid="{00000000-0005-0000-0000-0000D1140000}"/>
    <cellStyle name="20% - Accent3 9 3 3 2" xfId="7448" xr:uid="{00000000-0005-0000-0000-0000D2140000}"/>
    <cellStyle name="20% - Accent3 9 3 3 2 2" xfId="15419" xr:uid="{00000000-0005-0000-0000-0000D3140000}"/>
    <cellStyle name="20% - Accent3 9 3 3 2 3" xfId="23365" xr:uid="{00000000-0005-0000-0000-0000D4140000}"/>
    <cellStyle name="20% - Accent3 9 3 3 3" xfId="11881" xr:uid="{00000000-0005-0000-0000-0000D5140000}"/>
    <cellStyle name="20% - Accent3 9 3 3 4" xfId="19836" xr:uid="{00000000-0005-0000-0000-0000D6140000}"/>
    <cellStyle name="20% - Accent3 9 3 4" xfId="5676" xr:uid="{00000000-0005-0000-0000-0000D7140000}"/>
    <cellStyle name="20% - Accent3 9 3 4 2" xfId="13660" xr:uid="{00000000-0005-0000-0000-0000D8140000}"/>
    <cellStyle name="20% - Accent3 9 3 4 3" xfId="21608" xr:uid="{00000000-0005-0000-0000-0000D9140000}"/>
    <cellStyle name="20% - Accent3 9 3 5" xfId="9229" xr:uid="{00000000-0005-0000-0000-0000DA140000}"/>
    <cellStyle name="20% - Accent3 9 3 5 2" xfId="17187" xr:uid="{00000000-0005-0000-0000-0000DB140000}"/>
    <cellStyle name="20% - Accent3 9 3 5 3" xfId="25131" xr:uid="{00000000-0005-0000-0000-0000DC140000}"/>
    <cellStyle name="20% - Accent3 9 3 6" xfId="10125" xr:uid="{00000000-0005-0000-0000-0000DD140000}"/>
    <cellStyle name="20% - Accent3 9 3 7" xfId="18080" xr:uid="{00000000-0005-0000-0000-0000DE140000}"/>
    <cellStyle name="20% - Accent3 9 3_Exh G" xfId="2308" xr:uid="{00000000-0005-0000-0000-0000DF140000}"/>
    <cellStyle name="20% - Accent3 9 4" xfId="897" xr:uid="{00000000-0005-0000-0000-0000E0140000}"/>
    <cellStyle name="20% - Accent3 9 4 2" xfId="1828" xr:uid="{00000000-0005-0000-0000-0000E1140000}"/>
    <cellStyle name="20% - Accent3 9 4 2 2" xfId="5346" xr:uid="{00000000-0005-0000-0000-0000E2140000}"/>
    <cellStyle name="20% - Accent3 9 4 2 2 2" xfId="8937" xr:uid="{00000000-0005-0000-0000-0000E3140000}"/>
    <cellStyle name="20% - Accent3 9 4 2 2 2 2" xfId="16908" xr:uid="{00000000-0005-0000-0000-0000E4140000}"/>
    <cellStyle name="20% - Accent3 9 4 2 2 2 3" xfId="24854" xr:uid="{00000000-0005-0000-0000-0000E5140000}"/>
    <cellStyle name="20% - Accent3 9 4 2 2 3" xfId="13370" xr:uid="{00000000-0005-0000-0000-0000E6140000}"/>
    <cellStyle name="20% - Accent3 9 4 2 2 4" xfId="21325" xr:uid="{00000000-0005-0000-0000-0000E7140000}"/>
    <cellStyle name="20% - Accent3 9 4 2 3" xfId="7178" xr:uid="{00000000-0005-0000-0000-0000E8140000}"/>
    <cellStyle name="20% - Accent3 9 4 2 3 2" xfId="15150" xr:uid="{00000000-0005-0000-0000-0000E9140000}"/>
    <cellStyle name="20% - Accent3 9 4 2 3 3" xfId="23097" xr:uid="{00000000-0005-0000-0000-0000EA140000}"/>
    <cellStyle name="20% - Accent3 9 4 2 4" xfId="11614" xr:uid="{00000000-0005-0000-0000-0000EB140000}"/>
    <cellStyle name="20% - Accent3 9 4 2 5" xfId="19569" xr:uid="{00000000-0005-0000-0000-0000EC140000}"/>
    <cellStyle name="20% - Accent3 9 4 2_Exh G" xfId="2311" xr:uid="{00000000-0005-0000-0000-0000ED140000}"/>
    <cellStyle name="20% - Accent3 9 4 3" xfId="4467" xr:uid="{00000000-0005-0000-0000-0000EE140000}"/>
    <cellStyle name="20% - Accent3 9 4 3 2" xfId="8059" xr:uid="{00000000-0005-0000-0000-0000EF140000}"/>
    <cellStyle name="20% - Accent3 9 4 3 2 2" xfId="16030" xr:uid="{00000000-0005-0000-0000-0000F0140000}"/>
    <cellStyle name="20% - Accent3 9 4 3 2 3" xfId="23976" xr:uid="{00000000-0005-0000-0000-0000F1140000}"/>
    <cellStyle name="20% - Accent3 9 4 3 3" xfId="12492" xr:uid="{00000000-0005-0000-0000-0000F2140000}"/>
    <cellStyle name="20% - Accent3 9 4 3 4" xfId="20447" xr:uid="{00000000-0005-0000-0000-0000F3140000}"/>
    <cellStyle name="20% - Accent3 9 4 4" xfId="6297" xr:uid="{00000000-0005-0000-0000-0000F4140000}"/>
    <cellStyle name="20% - Accent3 9 4 4 2" xfId="14272" xr:uid="{00000000-0005-0000-0000-0000F5140000}"/>
    <cellStyle name="20% - Accent3 9 4 4 3" xfId="22219" xr:uid="{00000000-0005-0000-0000-0000F6140000}"/>
    <cellStyle name="20% - Accent3 9 4 5" xfId="9840" xr:uid="{00000000-0005-0000-0000-0000F7140000}"/>
    <cellStyle name="20% - Accent3 9 4 5 2" xfId="17798" xr:uid="{00000000-0005-0000-0000-0000F8140000}"/>
    <cellStyle name="20% - Accent3 9 4 5 3" xfId="25742" xr:uid="{00000000-0005-0000-0000-0000F9140000}"/>
    <cellStyle name="20% - Accent3 9 4 6" xfId="10736" xr:uid="{00000000-0005-0000-0000-0000FA140000}"/>
    <cellStyle name="20% - Accent3 9 4 7" xfId="18691" xr:uid="{00000000-0005-0000-0000-0000FB140000}"/>
    <cellStyle name="20% - Accent3 9 4_Exh G" xfId="2310" xr:uid="{00000000-0005-0000-0000-0000FC140000}"/>
    <cellStyle name="20% - Accent3 9 5" xfId="1202" xr:uid="{00000000-0005-0000-0000-0000FD140000}"/>
    <cellStyle name="20% - Accent3 9 5 2" xfId="4732" xr:uid="{00000000-0005-0000-0000-0000FE140000}"/>
    <cellStyle name="20% - Accent3 9 5 2 2" xfId="8323" xr:uid="{00000000-0005-0000-0000-0000FF140000}"/>
    <cellStyle name="20% - Accent3 9 5 2 2 2" xfId="16294" xr:uid="{00000000-0005-0000-0000-000000150000}"/>
    <cellStyle name="20% - Accent3 9 5 2 2 3" xfId="24240" xr:uid="{00000000-0005-0000-0000-000001150000}"/>
    <cellStyle name="20% - Accent3 9 5 2 3" xfId="12756" xr:uid="{00000000-0005-0000-0000-000002150000}"/>
    <cellStyle name="20% - Accent3 9 5 2 4" xfId="20711" xr:uid="{00000000-0005-0000-0000-000003150000}"/>
    <cellStyle name="20% - Accent3 9 5 3" xfId="6564" xr:uid="{00000000-0005-0000-0000-000004150000}"/>
    <cellStyle name="20% - Accent3 9 5 3 2" xfId="14536" xr:uid="{00000000-0005-0000-0000-000005150000}"/>
    <cellStyle name="20% - Accent3 9 5 3 3" xfId="22483" xr:uid="{00000000-0005-0000-0000-000006150000}"/>
    <cellStyle name="20% - Accent3 9 5 4" xfId="11000" xr:uid="{00000000-0005-0000-0000-000007150000}"/>
    <cellStyle name="20% - Accent3 9 5 5" xfId="18955" xr:uid="{00000000-0005-0000-0000-000008150000}"/>
    <cellStyle name="20% - Accent3 9 5_Exh G" xfId="2312" xr:uid="{00000000-0005-0000-0000-000009150000}"/>
    <cellStyle name="20% - Accent3 9 6" xfId="3853" xr:uid="{00000000-0005-0000-0000-00000A150000}"/>
    <cellStyle name="20% - Accent3 9 6 2" xfId="7445" xr:uid="{00000000-0005-0000-0000-00000B150000}"/>
    <cellStyle name="20% - Accent3 9 6 2 2" xfId="15416" xr:uid="{00000000-0005-0000-0000-00000C150000}"/>
    <cellStyle name="20% - Accent3 9 6 2 3" xfId="23362" xr:uid="{00000000-0005-0000-0000-00000D150000}"/>
    <cellStyle name="20% - Accent3 9 6 3" xfId="11878" xr:uid="{00000000-0005-0000-0000-00000E150000}"/>
    <cellStyle name="20% - Accent3 9 6 4" xfId="19833" xr:uid="{00000000-0005-0000-0000-00000F150000}"/>
    <cellStyle name="20% - Accent3 9 7" xfId="5673" xr:uid="{00000000-0005-0000-0000-000010150000}"/>
    <cellStyle name="20% - Accent3 9 7 2" xfId="13657" xr:uid="{00000000-0005-0000-0000-000011150000}"/>
    <cellStyle name="20% - Accent3 9 7 3" xfId="21605" xr:uid="{00000000-0005-0000-0000-000012150000}"/>
    <cellStyle name="20% - Accent3 9 8" xfId="9226" xr:uid="{00000000-0005-0000-0000-000013150000}"/>
    <cellStyle name="20% - Accent3 9 8 2" xfId="17184" xr:uid="{00000000-0005-0000-0000-000014150000}"/>
    <cellStyle name="20% - Accent3 9 8 3" xfId="25128" xr:uid="{00000000-0005-0000-0000-000015150000}"/>
    <cellStyle name="20% - Accent3 9 9" xfId="10122" xr:uid="{00000000-0005-0000-0000-000016150000}"/>
    <cellStyle name="20% - Accent3 9_Exh G" xfId="2303" xr:uid="{00000000-0005-0000-0000-000017150000}"/>
    <cellStyle name="20% - Accent4 10" xfId="178" xr:uid="{00000000-0005-0000-0000-000018150000}"/>
    <cellStyle name="20% - Accent4 10 10" xfId="18081" xr:uid="{00000000-0005-0000-0000-000019150000}"/>
    <cellStyle name="20% - Accent4 10 2" xfId="179" xr:uid="{00000000-0005-0000-0000-00001A150000}"/>
    <cellStyle name="20% - Accent4 10 2 2" xfId="180" xr:uid="{00000000-0005-0000-0000-00001B150000}"/>
    <cellStyle name="20% - Accent4 10 2 2 2" xfId="1208" xr:uid="{00000000-0005-0000-0000-00001C150000}"/>
    <cellStyle name="20% - Accent4 10 2 2 2 2" xfId="4738" xr:uid="{00000000-0005-0000-0000-00001D150000}"/>
    <cellStyle name="20% - Accent4 10 2 2 2 2 2" xfId="8329" xr:uid="{00000000-0005-0000-0000-00001E150000}"/>
    <cellStyle name="20% - Accent4 10 2 2 2 2 2 2" xfId="16300" xr:uid="{00000000-0005-0000-0000-00001F150000}"/>
    <cellStyle name="20% - Accent4 10 2 2 2 2 2 3" xfId="24246" xr:uid="{00000000-0005-0000-0000-000020150000}"/>
    <cellStyle name="20% - Accent4 10 2 2 2 2 3" xfId="12762" xr:uid="{00000000-0005-0000-0000-000021150000}"/>
    <cellStyle name="20% - Accent4 10 2 2 2 2 4" xfId="20717" xr:uid="{00000000-0005-0000-0000-000022150000}"/>
    <cellStyle name="20% - Accent4 10 2 2 2 3" xfId="6570" xr:uid="{00000000-0005-0000-0000-000023150000}"/>
    <cellStyle name="20% - Accent4 10 2 2 2 3 2" xfId="14542" xr:uid="{00000000-0005-0000-0000-000024150000}"/>
    <cellStyle name="20% - Accent4 10 2 2 2 3 3" xfId="22489" xr:uid="{00000000-0005-0000-0000-000025150000}"/>
    <cellStyle name="20% - Accent4 10 2 2 2 4" xfId="11006" xr:uid="{00000000-0005-0000-0000-000026150000}"/>
    <cellStyle name="20% - Accent4 10 2 2 2 5" xfId="18961" xr:uid="{00000000-0005-0000-0000-000027150000}"/>
    <cellStyle name="20% - Accent4 10 2 2 2_Exh G" xfId="2316" xr:uid="{00000000-0005-0000-0000-000028150000}"/>
    <cellStyle name="20% - Accent4 10 2 2 3" xfId="3859" xr:uid="{00000000-0005-0000-0000-000029150000}"/>
    <cellStyle name="20% - Accent4 10 2 2 3 2" xfId="7451" xr:uid="{00000000-0005-0000-0000-00002A150000}"/>
    <cellStyle name="20% - Accent4 10 2 2 3 2 2" xfId="15422" xr:uid="{00000000-0005-0000-0000-00002B150000}"/>
    <cellStyle name="20% - Accent4 10 2 2 3 2 3" xfId="23368" xr:uid="{00000000-0005-0000-0000-00002C150000}"/>
    <cellStyle name="20% - Accent4 10 2 2 3 3" xfId="11884" xr:uid="{00000000-0005-0000-0000-00002D150000}"/>
    <cellStyle name="20% - Accent4 10 2 2 3 4" xfId="19839" xr:uid="{00000000-0005-0000-0000-00002E150000}"/>
    <cellStyle name="20% - Accent4 10 2 2 4" xfId="5679" xr:uid="{00000000-0005-0000-0000-00002F150000}"/>
    <cellStyle name="20% - Accent4 10 2 2 4 2" xfId="13663" xr:uid="{00000000-0005-0000-0000-000030150000}"/>
    <cellStyle name="20% - Accent4 10 2 2 4 3" xfId="21611" xr:uid="{00000000-0005-0000-0000-000031150000}"/>
    <cellStyle name="20% - Accent4 10 2 2 5" xfId="9232" xr:uid="{00000000-0005-0000-0000-000032150000}"/>
    <cellStyle name="20% - Accent4 10 2 2 5 2" xfId="17190" xr:uid="{00000000-0005-0000-0000-000033150000}"/>
    <cellStyle name="20% - Accent4 10 2 2 5 3" xfId="25134" xr:uid="{00000000-0005-0000-0000-000034150000}"/>
    <cellStyle name="20% - Accent4 10 2 2 6" xfId="10128" xr:uid="{00000000-0005-0000-0000-000035150000}"/>
    <cellStyle name="20% - Accent4 10 2 2 7" xfId="18083" xr:uid="{00000000-0005-0000-0000-000036150000}"/>
    <cellStyle name="20% - Accent4 10 2 2_Exh G" xfId="2315" xr:uid="{00000000-0005-0000-0000-000037150000}"/>
    <cellStyle name="20% - Accent4 10 2 3" xfId="1207" xr:uid="{00000000-0005-0000-0000-000038150000}"/>
    <cellStyle name="20% - Accent4 10 2 3 2" xfId="4737" xr:uid="{00000000-0005-0000-0000-000039150000}"/>
    <cellStyle name="20% - Accent4 10 2 3 2 2" xfId="8328" xr:uid="{00000000-0005-0000-0000-00003A150000}"/>
    <cellStyle name="20% - Accent4 10 2 3 2 2 2" xfId="16299" xr:uid="{00000000-0005-0000-0000-00003B150000}"/>
    <cellStyle name="20% - Accent4 10 2 3 2 2 3" xfId="24245" xr:uid="{00000000-0005-0000-0000-00003C150000}"/>
    <cellStyle name="20% - Accent4 10 2 3 2 3" xfId="12761" xr:uid="{00000000-0005-0000-0000-00003D150000}"/>
    <cellStyle name="20% - Accent4 10 2 3 2 4" xfId="20716" xr:uid="{00000000-0005-0000-0000-00003E150000}"/>
    <cellStyle name="20% - Accent4 10 2 3 3" xfId="6569" xr:uid="{00000000-0005-0000-0000-00003F150000}"/>
    <cellStyle name="20% - Accent4 10 2 3 3 2" xfId="14541" xr:uid="{00000000-0005-0000-0000-000040150000}"/>
    <cellStyle name="20% - Accent4 10 2 3 3 3" xfId="22488" xr:uid="{00000000-0005-0000-0000-000041150000}"/>
    <cellStyle name="20% - Accent4 10 2 3 4" xfId="11005" xr:uid="{00000000-0005-0000-0000-000042150000}"/>
    <cellStyle name="20% - Accent4 10 2 3 5" xfId="18960" xr:uid="{00000000-0005-0000-0000-000043150000}"/>
    <cellStyle name="20% - Accent4 10 2 3_Exh G" xfId="2317" xr:uid="{00000000-0005-0000-0000-000044150000}"/>
    <cellStyle name="20% - Accent4 10 2 4" xfId="3858" xr:uid="{00000000-0005-0000-0000-000045150000}"/>
    <cellStyle name="20% - Accent4 10 2 4 2" xfId="7450" xr:uid="{00000000-0005-0000-0000-000046150000}"/>
    <cellStyle name="20% - Accent4 10 2 4 2 2" xfId="15421" xr:uid="{00000000-0005-0000-0000-000047150000}"/>
    <cellStyle name="20% - Accent4 10 2 4 2 3" xfId="23367" xr:uid="{00000000-0005-0000-0000-000048150000}"/>
    <cellStyle name="20% - Accent4 10 2 4 3" xfId="11883" xr:uid="{00000000-0005-0000-0000-000049150000}"/>
    <cellStyle name="20% - Accent4 10 2 4 4" xfId="19838" xr:uid="{00000000-0005-0000-0000-00004A150000}"/>
    <cellStyle name="20% - Accent4 10 2 5" xfId="5678" xr:uid="{00000000-0005-0000-0000-00004B150000}"/>
    <cellStyle name="20% - Accent4 10 2 5 2" xfId="13662" xr:uid="{00000000-0005-0000-0000-00004C150000}"/>
    <cellStyle name="20% - Accent4 10 2 5 3" xfId="21610" xr:uid="{00000000-0005-0000-0000-00004D150000}"/>
    <cellStyle name="20% - Accent4 10 2 6" xfId="9231" xr:uid="{00000000-0005-0000-0000-00004E150000}"/>
    <cellStyle name="20% - Accent4 10 2 6 2" xfId="17189" xr:uid="{00000000-0005-0000-0000-00004F150000}"/>
    <cellStyle name="20% - Accent4 10 2 6 3" xfId="25133" xr:uid="{00000000-0005-0000-0000-000050150000}"/>
    <cellStyle name="20% - Accent4 10 2 7" xfId="10127" xr:uid="{00000000-0005-0000-0000-000051150000}"/>
    <cellStyle name="20% - Accent4 10 2 8" xfId="18082" xr:uid="{00000000-0005-0000-0000-000052150000}"/>
    <cellStyle name="20% - Accent4 10 2_Exh G" xfId="2314" xr:uid="{00000000-0005-0000-0000-000053150000}"/>
    <cellStyle name="20% - Accent4 10 3" xfId="181" xr:uid="{00000000-0005-0000-0000-000054150000}"/>
    <cellStyle name="20% - Accent4 10 3 2" xfId="1209" xr:uid="{00000000-0005-0000-0000-000055150000}"/>
    <cellStyle name="20% - Accent4 10 3 2 2" xfId="4739" xr:uid="{00000000-0005-0000-0000-000056150000}"/>
    <cellStyle name="20% - Accent4 10 3 2 2 2" xfId="8330" xr:uid="{00000000-0005-0000-0000-000057150000}"/>
    <cellStyle name="20% - Accent4 10 3 2 2 2 2" xfId="16301" xr:uid="{00000000-0005-0000-0000-000058150000}"/>
    <cellStyle name="20% - Accent4 10 3 2 2 2 3" xfId="24247" xr:uid="{00000000-0005-0000-0000-000059150000}"/>
    <cellStyle name="20% - Accent4 10 3 2 2 3" xfId="12763" xr:uid="{00000000-0005-0000-0000-00005A150000}"/>
    <cellStyle name="20% - Accent4 10 3 2 2 4" xfId="20718" xr:uid="{00000000-0005-0000-0000-00005B150000}"/>
    <cellStyle name="20% - Accent4 10 3 2 3" xfId="6571" xr:uid="{00000000-0005-0000-0000-00005C150000}"/>
    <cellStyle name="20% - Accent4 10 3 2 3 2" xfId="14543" xr:uid="{00000000-0005-0000-0000-00005D150000}"/>
    <cellStyle name="20% - Accent4 10 3 2 3 3" xfId="22490" xr:uid="{00000000-0005-0000-0000-00005E150000}"/>
    <cellStyle name="20% - Accent4 10 3 2 4" xfId="11007" xr:uid="{00000000-0005-0000-0000-00005F150000}"/>
    <cellStyle name="20% - Accent4 10 3 2 5" xfId="18962" xr:uid="{00000000-0005-0000-0000-000060150000}"/>
    <cellStyle name="20% - Accent4 10 3 2_Exh G" xfId="2319" xr:uid="{00000000-0005-0000-0000-000061150000}"/>
    <cellStyle name="20% - Accent4 10 3 3" xfId="3860" xr:uid="{00000000-0005-0000-0000-000062150000}"/>
    <cellStyle name="20% - Accent4 10 3 3 2" xfId="7452" xr:uid="{00000000-0005-0000-0000-000063150000}"/>
    <cellStyle name="20% - Accent4 10 3 3 2 2" xfId="15423" xr:uid="{00000000-0005-0000-0000-000064150000}"/>
    <cellStyle name="20% - Accent4 10 3 3 2 3" xfId="23369" xr:uid="{00000000-0005-0000-0000-000065150000}"/>
    <cellStyle name="20% - Accent4 10 3 3 3" xfId="11885" xr:uid="{00000000-0005-0000-0000-000066150000}"/>
    <cellStyle name="20% - Accent4 10 3 3 4" xfId="19840" xr:uid="{00000000-0005-0000-0000-000067150000}"/>
    <cellStyle name="20% - Accent4 10 3 4" xfId="5680" xr:uid="{00000000-0005-0000-0000-000068150000}"/>
    <cellStyle name="20% - Accent4 10 3 4 2" xfId="13664" xr:uid="{00000000-0005-0000-0000-000069150000}"/>
    <cellStyle name="20% - Accent4 10 3 4 3" xfId="21612" xr:uid="{00000000-0005-0000-0000-00006A150000}"/>
    <cellStyle name="20% - Accent4 10 3 5" xfId="9233" xr:uid="{00000000-0005-0000-0000-00006B150000}"/>
    <cellStyle name="20% - Accent4 10 3 5 2" xfId="17191" xr:uid="{00000000-0005-0000-0000-00006C150000}"/>
    <cellStyle name="20% - Accent4 10 3 5 3" xfId="25135" xr:uid="{00000000-0005-0000-0000-00006D150000}"/>
    <cellStyle name="20% - Accent4 10 3 6" xfId="10129" xr:uid="{00000000-0005-0000-0000-00006E150000}"/>
    <cellStyle name="20% - Accent4 10 3 7" xfId="18084" xr:uid="{00000000-0005-0000-0000-00006F150000}"/>
    <cellStyle name="20% - Accent4 10 3_Exh G" xfId="2318" xr:uid="{00000000-0005-0000-0000-000070150000}"/>
    <cellStyle name="20% - Accent4 10 4" xfId="898" xr:uid="{00000000-0005-0000-0000-000071150000}"/>
    <cellStyle name="20% - Accent4 10 5" xfId="1206" xr:uid="{00000000-0005-0000-0000-000072150000}"/>
    <cellStyle name="20% - Accent4 10 5 2" xfId="4736" xr:uid="{00000000-0005-0000-0000-000073150000}"/>
    <cellStyle name="20% - Accent4 10 5 2 2" xfId="8327" xr:uid="{00000000-0005-0000-0000-000074150000}"/>
    <cellStyle name="20% - Accent4 10 5 2 2 2" xfId="16298" xr:uid="{00000000-0005-0000-0000-000075150000}"/>
    <cellStyle name="20% - Accent4 10 5 2 2 3" xfId="24244" xr:uid="{00000000-0005-0000-0000-000076150000}"/>
    <cellStyle name="20% - Accent4 10 5 2 3" xfId="12760" xr:uid="{00000000-0005-0000-0000-000077150000}"/>
    <cellStyle name="20% - Accent4 10 5 2 4" xfId="20715" xr:uid="{00000000-0005-0000-0000-000078150000}"/>
    <cellStyle name="20% - Accent4 10 5 3" xfId="6568" xr:uid="{00000000-0005-0000-0000-000079150000}"/>
    <cellStyle name="20% - Accent4 10 5 3 2" xfId="14540" xr:uid="{00000000-0005-0000-0000-00007A150000}"/>
    <cellStyle name="20% - Accent4 10 5 3 3" xfId="22487" xr:uid="{00000000-0005-0000-0000-00007B150000}"/>
    <cellStyle name="20% - Accent4 10 5 4" xfId="11004" xr:uid="{00000000-0005-0000-0000-00007C150000}"/>
    <cellStyle name="20% - Accent4 10 5 5" xfId="18959" xr:uid="{00000000-0005-0000-0000-00007D150000}"/>
    <cellStyle name="20% - Accent4 10 5_Exh G" xfId="2320" xr:uid="{00000000-0005-0000-0000-00007E150000}"/>
    <cellStyle name="20% - Accent4 10 6" xfId="3857" xr:uid="{00000000-0005-0000-0000-00007F150000}"/>
    <cellStyle name="20% - Accent4 10 6 2" xfId="7449" xr:uid="{00000000-0005-0000-0000-000080150000}"/>
    <cellStyle name="20% - Accent4 10 6 2 2" xfId="15420" xr:uid="{00000000-0005-0000-0000-000081150000}"/>
    <cellStyle name="20% - Accent4 10 6 2 3" xfId="23366" xr:uid="{00000000-0005-0000-0000-000082150000}"/>
    <cellStyle name="20% - Accent4 10 6 3" xfId="11882" xr:uid="{00000000-0005-0000-0000-000083150000}"/>
    <cellStyle name="20% - Accent4 10 6 4" xfId="19837" xr:uid="{00000000-0005-0000-0000-000084150000}"/>
    <cellStyle name="20% - Accent4 10 7" xfId="5677" xr:uid="{00000000-0005-0000-0000-000085150000}"/>
    <cellStyle name="20% - Accent4 10 7 2" xfId="13661" xr:uid="{00000000-0005-0000-0000-000086150000}"/>
    <cellStyle name="20% - Accent4 10 7 3" xfId="21609" xr:uid="{00000000-0005-0000-0000-000087150000}"/>
    <cellStyle name="20% - Accent4 10 8" xfId="9230" xr:uid="{00000000-0005-0000-0000-000088150000}"/>
    <cellStyle name="20% - Accent4 10 8 2" xfId="17188" xr:uid="{00000000-0005-0000-0000-000089150000}"/>
    <cellStyle name="20% - Accent4 10 8 3" xfId="25132" xr:uid="{00000000-0005-0000-0000-00008A150000}"/>
    <cellStyle name="20% - Accent4 10 9" xfId="10126" xr:uid="{00000000-0005-0000-0000-00008B150000}"/>
    <cellStyle name="20% - Accent4 10_Exh G" xfId="2313" xr:uid="{00000000-0005-0000-0000-00008C150000}"/>
    <cellStyle name="20% - Accent4 11" xfId="182" xr:uid="{00000000-0005-0000-0000-00008D150000}"/>
    <cellStyle name="20% - Accent4 11 2" xfId="183" xr:uid="{00000000-0005-0000-0000-00008E150000}"/>
    <cellStyle name="20% - Accent4 11 2 2" xfId="184" xr:uid="{00000000-0005-0000-0000-00008F150000}"/>
    <cellStyle name="20% - Accent4 11 2 2 2" xfId="1212" xr:uid="{00000000-0005-0000-0000-000090150000}"/>
    <cellStyle name="20% - Accent4 11 2 2 2 2" xfId="4742" xr:uid="{00000000-0005-0000-0000-000091150000}"/>
    <cellStyle name="20% - Accent4 11 2 2 2 2 2" xfId="8333" xr:uid="{00000000-0005-0000-0000-000092150000}"/>
    <cellStyle name="20% - Accent4 11 2 2 2 2 2 2" xfId="16304" xr:uid="{00000000-0005-0000-0000-000093150000}"/>
    <cellStyle name="20% - Accent4 11 2 2 2 2 2 3" xfId="24250" xr:uid="{00000000-0005-0000-0000-000094150000}"/>
    <cellStyle name="20% - Accent4 11 2 2 2 2 3" xfId="12766" xr:uid="{00000000-0005-0000-0000-000095150000}"/>
    <cellStyle name="20% - Accent4 11 2 2 2 2 4" xfId="20721" xr:uid="{00000000-0005-0000-0000-000096150000}"/>
    <cellStyle name="20% - Accent4 11 2 2 2 3" xfId="6574" xr:uid="{00000000-0005-0000-0000-000097150000}"/>
    <cellStyle name="20% - Accent4 11 2 2 2 3 2" xfId="14546" xr:uid="{00000000-0005-0000-0000-000098150000}"/>
    <cellStyle name="20% - Accent4 11 2 2 2 3 3" xfId="22493" xr:uid="{00000000-0005-0000-0000-000099150000}"/>
    <cellStyle name="20% - Accent4 11 2 2 2 4" xfId="11010" xr:uid="{00000000-0005-0000-0000-00009A150000}"/>
    <cellStyle name="20% - Accent4 11 2 2 2 5" xfId="18965" xr:uid="{00000000-0005-0000-0000-00009B150000}"/>
    <cellStyle name="20% - Accent4 11 2 2 2_Exh G" xfId="2324" xr:uid="{00000000-0005-0000-0000-00009C150000}"/>
    <cellStyle name="20% - Accent4 11 2 2 3" xfId="3863" xr:uid="{00000000-0005-0000-0000-00009D150000}"/>
    <cellStyle name="20% - Accent4 11 2 2 3 2" xfId="7455" xr:uid="{00000000-0005-0000-0000-00009E150000}"/>
    <cellStyle name="20% - Accent4 11 2 2 3 2 2" xfId="15426" xr:uid="{00000000-0005-0000-0000-00009F150000}"/>
    <cellStyle name="20% - Accent4 11 2 2 3 2 3" xfId="23372" xr:uid="{00000000-0005-0000-0000-0000A0150000}"/>
    <cellStyle name="20% - Accent4 11 2 2 3 3" xfId="11888" xr:uid="{00000000-0005-0000-0000-0000A1150000}"/>
    <cellStyle name="20% - Accent4 11 2 2 3 4" xfId="19843" xr:uid="{00000000-0005-0000-0000-0000A2150000}"/>
    <cellStyle name="20% - Accent4 11 2 2 4" xfId="5683" xr:uid="{00000000-0005-0000-0000-0000A3150000}"/>
    <cellStyle name="20% - Accent4 11 2 2 4 2" xfId="13667" xr:uid="{00000000-0005-0000-0000-0000A4150000}"/>
    <cellStyle name="20% - Accent4 11 2 2 4 3" xfId="21615" xr:uid="{00000000-0005-0000-0000-0000A5150000}"/>
    <cellStyle name="20% - Accent4 11 2 2 5" xfId="9236" xr:uid="{00000000-0005-0000-0000-0000A6150000}"/>
    <cellStyle name="20% - Accent4 11 2 2 5 2" xfId="17194" xr:uid="{00000000-0005-0000-0000-0000A7150000}"/>
    <cellStyle name="20% - Accent4 11 2 2 5 3" xfId="25138" xr:uid="{00000000-0005-0000-0000-0000A8150000}"/>
    <cellStyle name="20% - Accent4 11 2 2 6" xfId="10132" xr:uid="{00000000-0005-0000-0000-0000A9150000}"/>
    <cellStyle name="20% - Accent4 11 2 2 7" xfId="18087" xr:uid="{00000000-0005-0000-0000-0000AA150000}"/>
    <cellStyle name="20% - Accent4 11 2 2_Exh G" xfId="2323" xr:uid="{00000000-0005-0000-0000-0000AB150000}"/>
    <cellStyle name="20% - Accent4 11 2 3" xfId="1211" xr:uid="{00000000-0005-0000-0000-0000AC150000}"/>
    <cellStyle name="20% - Accent4 11 2 3 2" xfId="4741" xr:uid="{00000000-0005-0000-0000-0000AD150000}"/>
    <cellStyle name="20% - Accent4 11 2 3 2 2" xfId="8332" xr:uid="{00000000-0005-0000-0000-0000AE150000}"/>
    <cellStyle name="20% - Accent4 11 2 3 2 2 2" xfId="16303" xr:uid="{00000000-0005-0000-0000-0000AF150000}"/>
    <cellStyle name="20% - Accent4 11 2 3 2 2 3" xfId="24249" xr:uid="{00000000-0005-0000-0000-0000B0150000}"/>
    <cellStyle name="20% - Accent4 11 2 3 2 3" xfId="12765" xr:uid="{00000000-0005-0000-0000-0000B1150000}"/>
    <cellStyle name="20% - Accent4 11 2 3 2 4" xfId="20720" xr:uid="{00000000-0005-0000-0000-0000B2150000}"/>
    <cellStyle name="20% - Accent4 11 2 3 3" xfId="6573" xr:uid="{00000000-0005-0000-0000-0000B3150000}"/>
    <cellStyle name="20% - Accent4 11 2 3 3 2" xfId="14545" xr:uid="{00000000-0005-0000-0000-0000B4150000}"/>
    <cellStyle name="20% - Accent4 11 2 3 3 3" xfId="22492" xr:uid="{00000000-0005-0000-0000-0000B5150000}"/>
    <cellStyle name="20% - Accent4 11 2 3 4" xfId="11009" xr:uid="{00000000-0005-0000-0000-0000B6150000}"/>
    <cellStyle name="20% - Accent4 11 2 3 5" xfId="18964" xr:uid="{00000000-0005-0000-0000-0000B7150000}"/>
    <cellStyle name="20% - Accent4 11 2 3_Exh G" xfId="2325" xr:uid="{00000000-0005-0000-0000-0000B8150000}"/>
    <cellStyle name="20% - Accent4 11 2 4" xfId="3862" xr:uid="{00000000-0005-0000-0000-0000B9150000}"/>
    <cellStyle name="20% - Accent4 11 2 4 2" xfId="7454" xr:uid="{00000000-0005-0000-0000-0000BA150000}"/>
    <cellStyle name="20% - Accent4 11 2 4 2 2" xfId="15425" xr:uid="{00000000-0005-0000-0000-0000BB150000}"/>
    <cellStyle name="20% - Accent4 11 2 4 2 3" xfId="23371" xr:uid="{00000000-0005-0000-0000-0000BC150000}"/>
    <cellStyle name="20% - Accent4 11 2 4 3" xfId="11887" xr:uid="{00000000-0005-0000-0000-0000BD150000}"/>
    <cellStyle name="20% - Accent4 11 2 4 4" xfId="19842" xr:uid="{00000000-0005-0000-0000-0000BE150000}"/>
    <cellStyle name="20% - Accent4 11 2 5" xfId="5682" xr:uid="{00000000-0005-0000-0000-0000BF150000}"/>
    <cellStyle name="20% - Accent4 11 2 5 2" xfId="13666" xr:uid="{00000000-0005-0000-0000-0000C0150000}"/>
    <cellStyle name="20% - Accent4 11 2 5 3" xfId="21614" xr:uid="{00000000-0005-0000-0000-0000C1150000}"/>
    <cellStyle name="20% - Accent4 11 2 6" xfId="9235" xr:uid="{00000000-0005-0000-0000-0000C2150000}"/>
    <cellStyle name="20% - Accent4 11 2 6 2" xfId="17193" xr:uid="{00000000-0005-0000-0000-0000C3150000}"/>
    <cellStyle name="20% - Accent4 11 2 6 3" xfId="25137" xr:uid="{00000000-0005-0000-0000-0000C4150000}"/>
    <cellStyle name="20% - Accent4 11 2 7" xfId="10131" xr:uid="{00000000-0005-0000-0000-0000C5150000}"/>
    <cellStyle name="20% - Accent4 11 2 8" xfId="18086" xr:uid="{00000000-0005-0000-0000-0000C6150000}"/>
    <cellStyle name="20% - Accent4 11 2_Exh G" xfId="2322" xr:uid="{00000000-0005-0000-0000-0000C7150000}"/>
    <cellStyle name="20% - Accent4 11 3" xfId="185" xr:uid="{00000000-0005-0000-0000-0000C8150000}"/>
    <cellStyle name="20% - Accent4 11 3 2" xfId="1213" xr:uid="{00000000-0005-0000-0000-0000C9150000}"/>
    <cellStyle name="20% - Accent4 11 3 2 2" xfId="4743" xr:uid="{00000000-0005-0000-0000-0000CA150000}"/>
    <cellStyle name="20% - Accent4 11 3 2 2 2" xfId="8334" xr:uid="{00000000-0005-0000-0000-0000CB150000}"/>
    <cellStyle name="20% - Accent4 11 3 2 2 2 2" xfId="16305" xr:uid="{00000000-0005-0000-0000-0000CC150000}"/>
    <cellStyle name="20% - Accent4 11 3 2 2 2 3" xfId="24251" xr:uid="{00000000-0005-0000-0000-0000CD150000}"/>
    <cellStyle name="20% - Accent4 11 3 2 2 3" xfId="12767" xr:uid="{00000000-0005-0000-0000-0000CE150000}"/>
    <cellStyle name="20% - Accent4 11 3 2 2 4" xfId="20722" xr:uid="{00000000-0005-0000-0000-0000CF150000}"/>
    <cellStyle name="20% - Accent4 11 3 2 3" xfId="6575" xr:uid="{00000000-0005-0000-0000-0000D0150000}"/>
    <cellStyle name="20% - Accent4 11 3 2 3 2" xfId="14547" xr:uid="{00000000-0005-0000-0000-0000D1150000}"/>
    <cellStyle name="20% - Accent4 11 3 2 3 3" xfId="22494" xr:uid="{00000000-0005-0000-0000-0000D2150000}"/>
    <cellStyle name="20% - Accent4 11 3 2 4" xfId="11011" xr:uid="{00000000-0005-0000-0000-0000D3150000}"/>
    <cellStyle name="20% - Accent4 11 3 2 5" xfId="18966" xr:uid="{00000000-0005-0000-0000-0000D4150000}"/>
    <cellStyle name="20% - Accent4 11 3 2_Exh G" xfId="2327" xr:uid="{00000000-0005-0000-0000-0000D5150000}"/>
    <cellStyle name="20% - Accent4 11 3 3" xfId="3864" xr:uid="{00000000-0005-0000-0000-0000D6150000}"/>
    <cellStyle name="20% - Accent4 11 3 3 2" xfId="7456" xr:uid="{00000000-0005-0000-0000-0000D7150000}"/>
    <cellStyle name="20% - Accent4 11 3 3 2 2" xfId="15427" xr:uid="{00000000-0005-0000-0000-0000D8150000}"/>
    <cellStyle name="20% - Accent4 11 3 3 2 3" xfId="23373" xr:uid="{00000000-0005-0000-0000-0000D9150000}"/>
    <cellStyle name="20% - Accent4 11 3 3 3" xfId="11889" xr:uid="{00000000-0005-0000-0000-0000DA150000}"/>
    <cellStyle name="20% - Accent4 11 3 3 4" xfId="19844" xr:uid="{00000000-0005-0000-0000-0000DB150000}"/>
    <cellStyle name="20% - Accent4 11 3 4" xfId="5684" xr:uid="{00000000-0005-0000-0000-0000DC150000}"/>
    <cellStyle name="20% - Accent4 11 3 4 2" xfId="13668" xr:uid="{00000000-0005-0000-0000-0000DD150000}"/>
    <cellStyle name="20% - Accent4 11 3 4 3" xfId="21616" xr:uid="{00000000-0005-0000-0000-0000DE150000}"/>
    <cellStyle name="20% - Accent4 11 3 5" xfId="9237" xr:uid="{00000000-0005-0000-0000-0000DF150000}"/>
    <cellStyle name="20% - Accent4 11 3 5 2" xfId="17195" xr:uid="{00000000-0005-0000-0000-0000E0150000}"/>
    <cellStyle name="20% - Accent4 11 3 5 3" xfId="25139" xr:uid="{00000000-0005-0000-0000-0000E1150000}"/>
    <cellStyle name="20% - Accent4 11 3 6" xfId="10133" xr:uid="{00000000-0005-0000-0000-0000E2150000}"/>
    <cellStyle name="20% - Accent4 11 3 7" xfId="18088" xr:uid="{00000000-0005-0000-0000-0000E3150000}"/>
    <cellStyle name="20% - Accent4 11 3_Exh G" xfId="2326" xr:uid="{00000000-0005-0000-0000-0000E4150000}"/>
    <cellStyle name="20% - Accent4 11 4" xfId="1210" xr:uid="{00000000-0005-0000-0000-0000E5150000}"/>
    <cellStyle name="20% - Accent4 11 4 2" xfId="4740" xr:uid="{00000000-0005-0000-0000-0000E6150000}"/>
    <cellStyle name="20% - Accent4 11 4 2 2" xfId="8331" xr:uid="{00000000-0005-0000-0000-0000E7150000}"/>
    <cellStyle name="20% - Accent4 11 4 2 2 2" xfId="16302" xr:uid="{00000000-0005-0000-0000-0000E8150000}"/>
    <cellStyle name="20% - Accent4 11 4 2 2 3" xfId="24248" xr:uid="{00000000-0005-0000-0000-0000E9150000}"/>
    <cellStyle name="20% - Accent4 11 4 2 3" xfId="12764" xr:uid="{00000000-0005-0000-0000-0000EA150000}"/>
    <cellStyle name="20% - Accent4 11 4 2 4" xfId="20719" xr:uid="{00000000-0005-0000-0000-0000EB150000}"/>
    <cellStyle name="20% - Accent4 11 4 3" xfId="6572" xr:uid="{00000000-0005-0000-0000-0000EC150000}"/>
    <cellStyle name="20% - Accent4 11 4 3 2" xfId="14544" xr:uid="{00000000-0005-0000-0000-0000ED150000}"/>
    <cellStyle name="20% - Accent4 11 4 3 3" xfId="22491" xr:uid="{00000000-0005-0000-0000-0000EE150000}"/>
    <cellStyle name="20% - Accent4 11 4 4" xfId="11008" xr:uid="{00000000-0005-0000-0000-0000EF150000}"/>
    <cellStyle name="20% - Accent4 11 4 5" xfId="18963" xr:uid="{00000000-0005-0000-0000-0000F0150000}"/>
    <cellStyle name="20% - Accent4 11 4_Exh G" xfId="2328" xr:uid="{00000000-0005-0000-0000-0000F1150000}"/>
    <cellStyle name="20% - Accent4 11 5" xfId="3861" xr:uid="{00000000-0005-0000-0000-0000F2150000}"/>
    <cellStyle name="20% - Accent4 11 5 2" xfId="7453" xr:uid="{00000000-0005-0000-0000-0000F3150000}"/>
    <cellStyle name="20% - Accent4 11 5 2 2" xfId="15424" xr:uid="{00000000-0005-0000-0000-0000F4150000}"/>
    <cellStyle name="20% - Accent4 11 5 2 3" xfId="23370" xr:uid="{00000000-0005-0000-0000-0000F5150000}"/>
    <cellStyle name="20% - Accent4 11 5 3" xfId="11886" xr:uid="{00000000-0005-0000-0000-0000F6150000}"/>
    <cellStyle name="20% - Accent4 11 5 4" xfId="19841" xr:uid="{00000000-0005-0000-0000-0000F7150000}"/>
    <cellStyle name="20% - Accent4 11 6" xfId="5681" xr:uid="{00000000-0005-0000-0000-0000F8150000}"/>
    <cellStyle name="20% - Accent4 11 6 2" xfId="13665" xr:uid="{00000000-0005-0000-0000-0000F9150000}"/>
    <cellStyle name="20% - Accent4 11 6 3" xfId="21613" xr:uid="{00000000-0005-0000-0000-0000FA150000}"/>
    <cellStyle name="20% - Accent4 11 7" xfId="9234" xr:uid="{00000000-0005-0000-0000-0000FB150000}"/>
    <cellStyle name="20% - Accent4 11 7 2" xfId="17192" xr:uid="{00000000-0005-0000-0000-0000FC150000}"/>
    <cellStyle name="20% - Accent4 11 7 3" xfId="25136" xr:uid="{00000000-0005-0000-0000-0000FD150000}"/>
    <cellStyle name="20% - Accent4 11 8" xfId="10130" xr:uid="{00000000-0005-0000-0000-0000FE150000}"/>
    <cellStyle name="20% - Accent4 11 9" xfId="18085" xr:uid="{00000000-0005-0000-0000-0000FF150000}"/>
    <cellStyle name="20% - Accent4 11_Exh G" xfId="2321" xr:uid="{00000000-0005-0000-0000-000000160000}"/>
    <cellStyle name="20% - Accent4 12" xfId="186" xr:uid="{00000000-0005-0000-0000-000001160000}"/>
    <cellStyle name="20% - Accent4 12 2" xfId="187" xr:uid="{00000000-0005-0000-0000-000002160000}"/>
    <cellStyle name="20% - Accent4 12 2 2" xfId="188" xr:uid="{00000000-0005-0000-0000-000003160000}"/>
    <cellStyle name="20% - Accent4 12 2 2 2" xfId="1216" xr:uid="{00000000-0005-0000-0000-000004160000}"/>
    <cellStyle name="20% - Accent4 12 2 2 2 2" xfId="4746" xr:uid="{00000000-0005-0000-0000-000005160000}"/>
    <cellStyle name="20% - Accent4 12 2 2 2 2 2" xfId="8337" xr:uid="{00000000-0005-0000-0000-000006160000}"/>
    <cellStyle name="20% - Accent4 12 2 2 2 2 2 2" xfId="16308" xr:uid="{00000000-0005-0000-0000-000007160000}"/>
    <cellStyle name="20% - Accent4 12 2 2 2 2 2 3" xfId="24254" xr:uid="{00000000-0005-0000-0000-000008160000}"/>
    <cellStyle name="20% - Accent4 12 2 2 2 2 3" xfId="12770" xr:uid="{00000000-0005-0000-0000-000009160000}"/>
    <cellStyle name="20% - Accent4 12 2 2 2 2 4" xfId="20725" xr:uid="{00000000-0005-0000-0000-00000A160000}"/>
    <cellStyle name="20% - Accent4 12 2 2 2 3" xfId="6578" xr:uid="{00000000-0005-0000-0000-00000B160000}"/>
    <cellStyle name="20% - Accent4 12 2 2 2 3 2" xfId="14550" xr:uid="{00000000-0005-0000-0000-00000C160000}"/>
    <cellStyle name="20% - Accent4 12 2 2 2 3 3" xfId="22497" xr:uid="{00000000-0005-0000-0000-00000D160000}"/>
    <cellStyle name="20% - Accent4 12 2 2 2 4" xfId="11014" xr:uid="{00000000-0005-0000-0000-00000E160000}"/>
    <cellStyle name="20% - Accent4 12 2 2 2 5" xfId="18969" xr:uid="{00000000-0005-0000-0000-00000F160000}"/>
    <cellStyle name="20% - Accent4 12 2 2 2_Exh G" xfId="2332" xr:uid="{00000000-0005-0000-0000-000010160000}"/>
    <cellStyle name="20% - Accent4 12 2 2 3" xfId="3867" xr:uid="{00000000-0005-0000-0000-000011160000}"/>
    <cellStyle name="20% - Accent4 12 2 2 3 2" xfId="7459" xr:uid="{00000000-0005-0000-0000-000012160000}"/>
    <cellStyle name="20% - Accent4 12 2 2 3 2 2" xfId="15430" xr:uid="{00000000-0005-0000-0000-000013160000}"/>
    <cellStyle name="20% - Accent4 12 2 2 3 2 3" xfId="23376" xr:uid="{00000000-0005-0000-0000-000014160000}"/>
    <cellStyle name="20% - Accent4 12 2 2 3 3" xfId="11892" xr:uid="{00000000-0005-0000-0000-000015160000}"/>
    <cellStyle name="20% - Accent4 12 2 2 3 4" xfId="19847" xr:uid="{00000000-0005-0000-0000-000016160000}"/>
    <cellStyle name="20% - Accent4 12 2 2 4" xfId="5687" xr:uid="{00000000-0005-0000-0000-000017160000}"/>
    <cellStyle name="20% - Accent4 12 2 2 4 2" xfId="13671" xr:uid="{00000000-0005-0000-0000-000018160000}"/>
    <cellStyle name="20% - Accent4 12 2 2 4 3" xfId="21619" xr:uid="{00000000-0005-0000-0000-000019160000}"/>
    <cellStyle name="20% - Accent4 12 2 2 5" xfId="9240" xr:uid="{00000000-0005-0000-0000-00001A160000}"/>
    <cellStyle name="20% - Accent4 12 2 2 5 2" xfId="17198" xr:uid="{00000000-0005-0000-0000-00001B160000}"/>
    <cellStyle name="20% - Accent4 12 2 2 5 3" xfId="25142" xr:uid="{00000000-0005-0000-0000-00001C160000}"/>
    <cellStyle name="20% - Accent4 12 2 2 6" xfId="10136" xr:uid="{00000000-0005-0000-0000-00001D160000}"/>
    <cellStyle name="20% - Accent4 12 2 2 7" xfId="18091" xr:uid="{00000000-0005-0000-0000-00001E160000}"/>
    <cellStyle name="20% - Accent4 12 2 2_Exh G" xfId="2331" xr:uid="{00000000-0005-0000-0000-00001F160000}"/>
    <cellStyle name="20% - Accent4 12 2 3" xfId="1215" xr:uid="{00000000-0005-0000-0000-000020160000}"/>
    <cellStyle name="20% - Accent4 12 2 3 2" xfId="4745" xr:uid="{00000000-0005-0000-0000-000021160000}"/>
    <cellStyle name="20% - Accent4 12 2 3 2 2" xfId="8336" xr:uid="{00000000-0005-0000-0000-000022160000}"/>
    <cellStyle name="20% - Accent4 12 2 3 2 2 2" xfId="16307" xr:uid="{00000000-0005-0000-0000-000023160000}"/>
    <cellStyle name="20% - Accent4 12 2 3 2 2 3" xfId="24253" xr:uid="{00000000-0005-0000-0000-000024160000}"/>
    <cellStyle name="20% - Accent4 12 2 3 2 3" xfId="12769" xr:uid="{00000000-0005-0000-0000-000025160000}"/>
    <cellStyle name="20% - Accent4 12 2 3 2 4" xfId="20724" xr:uid="{00000000-0005-0000-0000-000026160000}"/>
    <cellStyle name="20% - Accent4 12 2 3 3" xfId="6577" xr:uid="{00000000-0005-0000-0000-000027160000}"/>
    <cellStyle name="20% - Accent4 12 2 3 3 2" xfId="14549" xr:uid="{00000000-0005-0000-0000-000028160000}"/>
    <cellStyle name="20% - Accent4 12 2 3 3 3" xfId="22496" xr:uid="{00000000-0005-0000-0000-000029160000}"/>
    <cellStyle name="20% - Accent4 12 2 3 4" xfId="11013" xr:uid="{00000000-0005-0000-0000-00002A160000}"/>
    <cellStyle name="20% - Accent4 12 2 3 5" xfId="18968" xr:uid="{00000000-0005-0000-0000-00002B160000}"/>
    <cellStyle name="20% - Accent4 12 2 3_Exh G" xfId="2333" xr:uid="{00000000-0005-0000-0000-00002C160000}"/>
    <cellStyle name="20% - Accent4 12 2 4" xfId="3866" xr:uid="{00000000-0005-0000-0000-00002D160000}"/>
    <cellStyle name="20% - Accent4 12 2 4 2" xfId="7458" xr:uid="{00000000-0005-0000-0000-00002E160000}"/>
    <cellStyle name="20% - Accent4 12 2 4 2 2" xfId="15429" xr:uid="{00000000-0005-0000-0000-00002F160000}"/>
    <cellStyle name="20% - Accent4 12 2 4 2 3" xfId="23375" xr:uid="{00000000-0005-0000-0000-000030160000}"/>
    <cellStyle name="20% - Accent4 12 2 4 3" xfId="11891" xr:uid="{00000000-0005-0000-0000-000031160000}"/>
    <cellStyle name="20% - Accent4 12 2 4 4" xfId="19846" xr:uid="{00000000-0005-0000-0000-000032160000}"/>
    <cellStyle name="20% - Accent4 12 2 5" xfId="5686" xr:uid="{00000000-0005-0000-0000-000033160000}"/>
    <cellStyle name="20% - Accent4 12 2 5 2" xfId="13670" xr:uid="{00000000-0005-0000-0000-000034160000}"/>
    <cellStyle name="20% - Accent4 12 2 5 3" xfId="21618" xr:uid="{00000000-0005-0000-0000-000035160000}"/>
    <cellStyle name="20% - Accent4 12 2 6" xfId="9239" xr:uid="{00000000-0005-0000-0000-000036160000}"/>
    <cellStyle name="20% - Accent4 12 2 6 2" xfId="17197" xr:uid="{00000000-0005-0000-0000-000037160000}"/>
    <cellStyle name="20% - Accent4 12 2 6 3" xfId="25141" xr:uid="{00000000-0005-0000-0000-000038160000}"/>
    <cellStyle name="20% - Accent4 12 2 7" xfId="10135" xr:uid="{00000000-0005-0000-0000-000039160000}"/>
    <cellStyle name="20% - Accent4 12 2 8" xfId="18090" xr:uid="{00000000-0005-0000-0000-00003A160000}"/>
    <cellStyle name="20% - Accent4 12 2_Exh G" xfId="2330" xr:uid="{00000000-0005-0000-0000-00003B160000}"/>
    <cellStyle name="20% - Accent4 12 3" xfId="189" xr:uid="{00000000-0005-0000-0000-00003C160000}"/>
    <cellStyle name="20% - Accent4 12 3 2" xfId="1217" xr:uid="{00000000-0005-0000-0000-00003D160000}"/>
    <cellStyle name="20% - Accent4 12 3 2 2" xfId="4747" xr:uid="{00000000-0005-0000-0000-00003E160000}"/>
    <cellStyle name="20% - Accent4 12 3 2 2 2" xfId="8338" xr:uid="{00000000-0005-0000-0000-00003F160000}"/>
    <cellStyle name="20% - Accent4 12 3 2 2 2 2" xfId="16309" xr:uid="{00000000-0005-0000-0000-000040160000}"/>
    <cellStyle name="20% - Accent4 12 3 2 2 2 3" xfId="24255" xr:uid="{00000000-0005-0000-0000-000041160000}"/>
    <cellStyle name="20% - Accent4 12 3 2 2 3" xfId="12771" xr:uid="{00000000-0005-0000-0000-000042160000}"/>
    <cellStyle name="20% - Accent4 12 3 2 2 4" xfId="20726" xr:uid="{00000000-0005-0000-0000-000043160000}"/>
    <cellStyle name="20% - Accent4 12 3 2 3" xfId="6579" xr:uid="{00000000-0005-0000-0000-000044160000}"/>
    <cellStyle name="20% - Accent4 12 3 2 3 2" xfId="14551" xr:uid="{00000000-0005-0000-0000-000045160000}"/>
    <cellStyle name="20% - Accent4 12 3 2 3 3" xfId="22498" xr:uid="{00000000-0005-0000-0000-000046160000}"/>
    <cellStyle name="20% - Accent4 12 3 2 4" xfId="11015" xr:uid="{00000000-0005-0000-0000-000047160000}"/>
    <cellStyle name="20% - Accent4 12 3 2 5" xfId="18970" xr:uid="{00000000-0005-0000-0000-000048160000}"/>
    <cellStyle name="20% - Accent4 12 3 2_Exh G" xfId="2335" xr:uid="{00000000-0005-0000-0000-000049160000}"/>
    <cellStyle name="20% - Accent4 12 3 3" xfId="3868" xr:uid="{00000000-0005-0000-0000-00004A160000}"/>
    <cellStyle name="20% - Accent4 12 3 3 2" xfId="7460" xr:uid="{00000000-0005-0000-0000-00004B160000}"/>
    <cellStyle name="20% - Accent4 12 3 3 2 2" xfId="15431" xr:uid="{00000000-0005-0000-0000-00004C160000}"/>
    <cellStyle name="20% - Accent4 12 3 3 2 3" xfId="23377" xr:uid="{00000000-0005-0000-0000-00004D160000}"/>
    <cellStyle name="20% - Accent4 12 3 3 3" xfId="11893" xr:uid="{00000000-0005-0000-0000-00004E160000}"/>
    <cellStyle name="20% - Accent4 12 3 3 4" xfId="19848" xr:uid="{00000000-0005-0000-0000-00004F160000}"/>
    <cellStyle name="20% - Accent4 12 3 4" xfId="5688" xr:uid="{00000000-0005-0000-0000-000050160000}"/>
    <cellStyle name="20% - Accent4 12 3 4 2" xfId="13672" xr:uid="{00000000-0005-0000-0000-000051160000}"/>
    <cellStyle name="20% - Accent4 12 3 4 3" xfId="21620" xr:uid="{00000000-0005-0000-0000-000052160000}"/>
    <cellStyle name="20% - Accent4 12 3 5" xfId="9241" xr:uid="{00000000-0005-0000-0000-000053160000}"/>
    <cellStyle name="20% - Accent4 12 3 5 2" xfId="17199" xr:uid="{00000000-0005-0000-0000-000054160000}"/>
    <cellStyle name="20% - Accent4 12 3 5 3" xfId="25143" xr:uid="{00000000-0005-0000-0000-000055160000}"/>
    <cellStyle name="20% - Accent4 12 3 6" xfId="10137" xr:uid="{00000000-0005-0000-0000-000056160000}"/>
    <cellStyle name="20% - Accent4 12 3 7" xfId="18092" xr:uid="{00000000-0005-0000-0000-000057160000}"/>
    <cellStyle name="20% - Accent4 12 3_Exh G" xfId="2334" xr:uid="{00000000-0005-0000-0000-000058160000}"/>
    <cellStyle name="20% - Accent4 12 4" xfId="1214" xr:uid="{00000000-0005-0000-0000-000059160000}"/>
    <cellStyle name="20% - Accent4 12 4 2" xfId="4744" xr:uid="{00000000-0005-0000-0000-00005A160000}"/>
    <cellStyle name="20% - Accent4 12 4 2 2" xfId="8335" xr:uid="{00000000-0005-0000-0000-00005B160000}"/>
    <cellStyle name="20% - Accent4 12 4 2 2 2" xfId="16306" xr:uid="{00000000-0005-0000-0000-00005C160000}"/>
    <cellStyle name="20% - Accent4 12 4 2 2 3" xfId="24252" xr:uid="{00000000-0005-0000-0000-00005D160000}"/>
    <cellStyle name="20% - Accent4 12 4 2 3" xfId="12768" xr:uid="{00000000-0005-0000-0000-00005E160000}"/>
    <cellStyle name="20% - Accent4 12 4 2 4" xfId="20723" xr:uid="{00000000-0005-0000-0000-00005F160000}"/>
    <cellStyle name="20% - Accent4 12 4 3" xfId="6576" xr:uid="{00000000-0005-0000-0000-000060160000}"/>
    <cellStyle name="20% - Accent4 12 4 3 2" xfId="14548" xr:uid="{00000000-0005-0000-0000-000061160000}"/>
    <cellStyle name="20% - Accent4 12 4 3 3" xfId="22495" xr:uid="{00000000-0005-0000-0000-000062160000}"/>
    <cellStyle name="20% - Accent4 12 4 4" xfId="11012" xr:uid="{00000000-0005-0000-0000-000063160000}"/>
    <cellStyle name="20% - Accent4 12 4 5" xfId="18967" xr:uid="{00000000-0005-0000-0000-000064160000}"/>
    <cellStyle name="20% - Accent4 12 4_Exh G" xfId="2336" xr:uid="{00000000-0005-0000-0000-000065160000}"/>
    <cellStyle name="20% - Accent4 12 5" xfId="3865" xr:uid="{00000000-0005-0000-0000-000066160000}"/>
    <cellStyle name="20% - Accent4 12 5 2" xfId="7457" xr:uid="{00000000-0005-0000-0000-000067160000}"/>
    <cellStyle name="20% - Accent4 12 5 2 2" xfId="15428" xr:uid="{00000000-0005-0000-0000-000068160000}"/>
    <cellStyle name="20% - Accent4 12 5 2 3" xfId="23374" xr:uid="{00000000-0005-0000-0000-000069160000}"/>
    <cellStyle name="20% - Accent4 12 5 3" xfId="11890" xr:uid="{00000000-0005-0000-0000-00006A160000}"/>
    <cellStyle name="20% - Accent4 12 5 4" xfId="19845" xr:uid="{00000000-0005-0000-0000-00006B160000}"/>
    <cellStyle name="20% - Accent4 12 6" xfId="5685" xr:uid="{00000000-0005-0000-0000-00006C160000}"/>
    <cellStyle name="20% - Accent4 12 6 2" xfId="13669" xr:uid="{00000000-0005-0000-0000-00006D160000}"/>
    <cellStyle name="20% - Accent4 12 6 3" xfId="21617" xr:uid="{00000000-0005-0000-0000-00006E160000}"/>
    <cellStyle name="20% - Accent4 12 7" xfId="9238" xr:uid="{00000000-0005-0000-0000-00006F160000}"/>
    <cellStyle name="20% - Accent4 12 7 2" xfId="17196" xr:uid="{00000000-0005-0000-0000-000070160000}"/>
    <cellStyle name="20% - Accent4 12 7 3" xfId="25140" xr:uid="{00000000-0005-0000-0000-000071160000}"/>
    <cellStyle name="20% - Accent4 12 8" xfId="10134" xr:uid="{00000000-0005-0000-0000-000072160000}"/>
    <cellStyle name="20% - Accent4 12 9" xfId="18089" xr:uid="{00000000-0005-0000-0000-000073160000}"/>
    <cellStyle name="20% - Accent4 12_Exh G" xfId="2329" xr:uid="{00000000-0005-0000-0000-000074160000}"/>
    <cellStyle name="20% - Accent4 13" xfId="190" xr:uid="{00000000-0005-0000-0000-000075160000}"/>
    <cellStyle name="20% - Accent4 13 2" xfId="191" xr:uid="{00000000-0005-0000-0000-000076160000}"/>
    <cellStyle name="20% - Accent4 13 2 2" xfId="192" xr:uid="{00000000-0005-0000-0000-000077160000}"/>
    <cellStyle name="20% - Accent4 13 2 2 2" xfId="1220" xr:uid="{00000000-0005-0000-0000-000078160000}"/>
    <cellStyle name="20% - Accent4 13 2 2 2 2" xfId="4750" xr:uid="{00000000-0005-0000-0000-000079160000}"/>
    <cellStyle name="20% - Accent4 13 2 2 2 2 2" xfId="8341" xr:uid="{00000000-0005-0000-0000-00007A160000}"/>
    <cellStyle name="20% - Accent4 13 2 2 2 2 2 2" xfId="16312" xr:uid="{00000000-0005-0000-0000-00007B160000}"/>
    <cellStyle name="20% - Accent4 13 2 2 2 2 2 3" xfId="24258" xr:uid="{00000000-0005-0000-0000-00007C160000}"/>
    <cellStyle name="20% - Accent4 13 2 2 2 2 3" xfId="12774" xr:uid="{00000000-0005-0000-0000-00007D160000}"/>
    <cellStyle name="20% - Accent4 13 2 2 2 2 4" xfId="20729" xr:uid="{00000000-0005-0000-0000-00007E160000}"/>
    <cellStyle name="20% - Accent4 13 2 2 2 3" xfId="6582" xr:uid="{00000000-0005-0000-0000-00007F160000}"/>
    <cellStyle name="20% - Accent4 13 2 2 2 3 2" xfId="14554" xr:uid="{00000000-0005-0000-0000-000080160000}"/>
    <cellStyle name="20% - Accent4 13 2 2 2 3 3" xfId="22501" xr:uid="{00000000-0005-0000-0000-000081160000}"/>
    <cellStyle name="20% - Accent4 13 2 2 2 4" xfId="11018" xr:uid="{00000000-0005-0000-0000-000082160000}"/>
    <cellStyle name="20% - Accent4 13 2 2 2 5" xfId="18973" xr:uid="{00000000-0005-0000-0000-000083160000}"/>
    <cellStyle name="20% - Accent4 13 2 2 2_Exh G" xfId="2340" xr:uid="{00000000-0005-0000-0000-000084160000}"/>
    <cellStyle name="20% - Accent4 13 2 2 3" xfId="3871" xr:uid="{00000000-0005-0000-0000-000085160000}"/>
    <cellStyle name="20% - Accent4 13 2 2 3 2" xfId="7463" xr:uid="{00000000-0005-0000-0000-000086160000}"/>
    <cellStyle name="20% - Accent4 13 2 2 3 2 2" xfId="15434" xr:uid="{00000000-0005-0000-0000-000087160000}"/>
    <cellStyle name="20% - Accent4 13 2 2 3 2 3" xfId="23380" xr:uid="{00000000-0005-0000-0000-000088160000}"/>
    <cellStyle name="20% - Accent4 13 2 2 3 3" xfId="11896" xr:uid="{00000000-0005-0000-0000-000089160000}"/>
    <cellStyle name="20% - Accent4 13 2 2 3 4" xfId="19851" xr:uid="{00000000-0005-0000-0000-00008A160000}"/>
    <cellStyle name="20% - Accent4 13 2 2 4" xfId="5691" xr:uid="{00000000-0005-0000-0000-00008B160000}"/>
    <cellStyle name="20% - Accent4 13 2 2 4 2" xfId="13675" xr:uid="{00000000-0005-0000-0000-00008C160000}"/>
    <cellStyle name="20% - Accent4 13 2 2 4 3" xfId="21623" xr:uid="{00000000-0005-0000-0000-00008D160000}"/>
    <cellStyle name="20% - Accent4 13 2 2 5" xfId="9244" xr:uid="{00000000-0005-0000-0000-00008E160000}"/>
    <cellStyle name="20% - Accent4 13 2 2 5 2" xfId="17202" xr:uid="{00000000-0005-0000-0000-00008F160000}"/>
    <cellStyle name="20% - Accent4 13 2 2 5 3" xfId="25146" xr:uid="{00000000-0005-0000-0000-000090160000}"/>
    <cellStyle name="20% - Accent4 13 2 2 6" xfId="10140" xr:uid="{00000000-0005-0000-0000-000091160000}"/>
    <cellStyle name="20% - Accent4 13 2 2 7" xfId="18095" xr:uid="{00000000-0005-0000-0000-000092160000}"/>
    <cellStyle name="20% - Accent4 13 2 2_Exh G" xfId="2339" xr:uid="{00000000-0005-0000-0000-000093160000}"/>
    <cellStyle name="20% - Accent4 13 2 3" xfId="1219" xr:uid="{00000000-0005-0000-0000-000094160000}"/>
    <cellStyle name="20% - Accent4 13 2 3 2" xfId="4749" xr:uid="{00000000-0005-0000-0000-000095160000}"/>
    <cellStyle name="20% - Accent4 13 2 3 2 2" xfId="8340" xr:uid="{00000000-0005-0000-0000-000096160000}"/>
    <cellStyle name="20% - Accent4 13 2 3 2 2 2" xfId="16311" xr:uid="{00000000-0005-0000-0000-000097160000}"/>
    <cellStyle name="20% - Accent4 13 2 3 2 2 3" xfId="24257" xr:uid="{00000000-0005-0000-0000-000098160000}"/>
    <cellStyle name="20% - Accent4 13 2 3 2 3" xfId="12773" xr:uid="{00000000-0005-0000-0000-000099160000}"/>
    <cellStyle name="20% - Accent4 13 2 3 2 4" xfId="20728" xr:uid="{00000000-0005-0000-0000-00009A160000}"/>
    <cellStyle name="20% - Accent4 13 2 3 3" xfId="6581" xr:uid="{00000000-0005-0000-0000-00009B160000}"/>
    <cellStyle name="20% - Accent4 13 2 3 3 2" xfId="14553" xr:uid="{00000000-0005-0000-0000-00009C160000}"/>
    <cellStyle name="20% - Accent4 13 2 3 3 3" xfId="22500" xr:uid="{00000000-0005-0000-0000-00009D160000}"/>
    <cellStyle name="20% - Accent4 13 2 3 4" xfId="11017" xr:uid="{00000000-0005-0000-0000-00009E160000}"/>
    <cellStyle name="20% - Accent4 13 2 3 5" xfId="18972" xr:uid="{00000000-0005-0000-0000-00009F160000}"/>
    <cellStyle name="20% - Accent4 13 2 3_Exh G" xfId="2341" xr:uid="{00000000-0005-0000-0000-0000A0160000}"/>
    <cellStyle name="20% - Accent4 13 2 4" xfId="3870" xr:uid="{00000000-0005-0000-0000-0000A1160000}"/>
    <cellStyle name="20% - Accent4 13 2 4 2" xfId="7462" xr:uid="{00000000-0005-0000-0000-0000A2160000}"/>
    <cellStyle name="20% - Accent4 13 2 4 2 2" xfId="15433" xr:uid="{00000000-0005-0000-0000-0000A3160000}"/>
    <cellStyle name="20% - Accent4 13 2 4 2 3" xfId="23379" xr:uid="{00000000-0005-0000-0000-0000A4160000}"/>
    <cellStyle name="20% - Accent4 13 2 4 3" xfId="11895" xr:uid="{00000000-0005-0000-0000-0000A5160000}"/>
    <cellStyle name="20% - Accent4 13 2 4 4" xfId="19850" xr:uid="{00000000-0005-0000-0000-0000A6160000}"/>
    <cellStyle name="20% - Accent4 13 2 5" xfId="5690" xr:uid="{00000000-0005-0000-0000-0000A7160000}"/>
    <cellStyle name="20% - Accent4 13 2 5 2" xfId="13674" xr:uid="{00000000-0005-0000-0000-0000A8160000}"/>
    <cellStyle name="20% - Accent4 13 2 5 3" xfId="21622" xr:uid="{00000000-0005-0000-0000-0000A9160000}"/>
    <cellStyle name="20% - Accent4 13 2 6" xfId="9243" xr:uid="{00000000-0005-0000-0000-0000AA160000}"/>
    <cellStyle name="20% - Accent4 13 2 6 2" xfId="17201" xr:uid="{00000000-0005-0000-0000-0000AB160000}"/>
    <cellStyle name="20% - Accent4 13 2 6 3" xfId="25145" xr:uid="{00000000-0005-0000-0000-0000AC160000}"/>
    <cellStyle name="20% - Accent4 13 2 7" xfId="10139" xr:uid="{00000000-0005-0000-0000-0000AD160000}"/>
    <cellStyle name="20% - Accent4 13 2 8" xfId="18094" xr:uid="{00000000-0005-0000-0000-0000AE160000}"/>
    <cellStyle name="20% - Accent4 13 2_Exh G" xfId="2338" xr:uid="{00000000-0005-0000-0000-0000AF160000}"/>
    <cellStyle name="20% - Accent4 13 3" xfId="193" xr:uid="{00000000-0005-0000-0000-0000B0160000}"/>
    <cellStyle name="20% - Accent4 13 3 2" xfId="1221" xr:uid="{00000000-0005-0000-0000-0000B1160000}"/>
    <cellStyle name="20% - Accent4 13 3 2 2" xfId="4751" xr:uid="{00000000-0005-0000-0000-0000B2160000}"/>
    <cellStyle name="20% - Accent4 13 3 2 2 2" xfId="8342" xr:uid="{00000000-0005-0000-0000-0000B3160000}"/>
    <cellStyle name="20% - Accent4 13 3 2 2 2 2" xfId="16313" xr:uid="{00000000-0005-0000-0000-0000B4160000}"/>
    <cellStyle name="20% - Accent4 13 3 2 2 2 3" xfId="24259" xr:uid="{00000000-0005-0000-0000-0000B5160000}"/>
    <cellStyle name="20% - Accent4 13 3 2 2 3" xfId="12775" xr:uid="{00000000-0005-0000-0000-0000B6160000}"/>
    <cellStyle name="20% - Accent4 13 3 2 2 4" xfId="20730" xr:uid="{00000000-0005-0000-0000-0000B7160000}"/>
    <cellStyle name="20% - Accent4 13 3 2 3" xfId="6583" xr:uid="{00000000-0005-0000-0000-0000B8160000}"/>
    <cellStyle name="20% - Accent4 13 3 2 3 2" xfId="14555" xr:uid="{00000000-0005-0000-0000-0000B9160000}"/>
    <cellStyle name="20% - Accent4 13 3 2 3 3" xfId="22502" xr:uid="{00000000-0005-0000-0000-0000BA160000}"/>
    <cellStyle name="20% - Accent4 13 3 2 4" xfId="11019" xr:uid="{00000000-0005-0000-0000-0000BB160000}"/>
    <cellStyle name="20% - Accent4 13 3 2 5" xfId="18974" xr:uid="{00000000-0005-0000-0000-0000BC160000}"/>
    <cellStyle name="20% - Accent4 13 3 2_Exh G" xfId="2343" xr:uid="{00000000-0005-0000-0000-0000BD160000}"/>
    <cellStyle name="20% - Accent4 13 3 3" xfId="3872" xr:uid="{00000000-0005-0000-0000-0000BE160000}"/>
    <cellStyle name="20% - Accent4 13 3 3 2" xfId="7464" xr:uid="{00000000-0005-0000-0000-0000BF160000}"/>
    <cellStyle name="20% - Accent4 13 3 3 2 2" xfId="15435" xr:uid="{00000000-0005-0000-0000-0000C0160000}"/>
    <cellStyle name="20% - Accent4 13 3 3 2 3" xfId="23381" xr:uid="{00000000-0005-0000-0000-0000C1160000}"/>
    <cellStyle name="20% - Accent4 13 3 3 3" xfId="11897" xr:uid="{00000000-0005-0000-0000-0000C2160000}"/>
    <cellStyle name="20% - Accent4 13 3 3 4" xfId="19852" xr:uid="{00000000-0005-0000-0000-0000C3160000}"/>
    <cellStyle name="20% - Accent4 13 3 4" xfId="5692" xr:uid="{00000000-0005-0000-0000-0000C4160000}"/>
    <cellStyle name="20% - Accent4 13 3 4 2" xfId="13676" xr:uid="{00000000-0005-0000-0000-0000C5160000}"/>
    <cellStyle name="20% - Accent4 13 3 4 3" xfId="21624" xr:uid="{00000000-0005-0000-0000-0000C6160000}"/>
    <cellStyle name="20% - Accent4 13 3 5" xfId="9245" xr:uid="{00000000-0005-0000-0000-0000C7160000}"/>
    <cellStyle name="20% - Accent4 13 3 5 2" xfId="17203" xr:uid="{00000000-0005-0000-0000-0000C8160000}"/>
    <cellStyle name="20% - Accent4 13 3 5 3" xfId="25147" xr:uid="{00000000-0005-0000-0000-0000C9160000}"/>
    <cellStyle name="20% - Accent4 13 3 6" xfId="10141" xr:uid="{00000000-0005-0000-0000-0000CA160000}"/>
    <cellStyle name="20% - Accent4 13 3 7" xfId="18096" xr:uid="{00000000-0005-0000-0000-0000CB160000}"/>
    <cellStyle name="20% - Accent4 13 3_Exh G" xfId="2342" xr:uid="{00000000-0005-0000-0000-0000CC160000}"/>
    <cellStyle name="20% - Accent4 13 4" xfId="1218" xr:uid="{00000000-0005-0000-0000-0000CD160000}"/>
    <cellStyle name="20% - Accent4 13 4 2" xfId="4748" xr:uid="{00000000-0005-0000-0000-0000CE160000}"/>
    <cellStyle name="20% - Accent4 13 4 2 2" xfId="8339" xr:uid="{00000000-0005-0000-0000-0000CF160000}"/>
    <cellStyle name="20% - Accent4 13 4 2 2 2" xfId="16310" xr:uid="{00000000-0005-0000-0000-0000D0160000}"/>
    <cellStyle name="20% - Accent4 13 4 2 2 3" xfId="24256" xr:uid="{00000000-0005-0000-0000-0000D1160000}"/>
    <cellStyle name="20% - Accent4 13 4 2 3" xfId="12772" xr:uid="{00000000-0005-0000-0000-0000D2160000}"/>
    <cellStyle name="20% - Accent4 13 4 2 4" xfId="20727" xr:uid="{00000000-0005-0000-0000-0000D3160000}"/>
    <cellStyle name="20% - Accent4 13 4 3" xfId="6580" xr:uid="{00000000-0005-0000-0000-0000D4160000}"/>
    <cellStyle name="20% - Accent4 13 4 3 2" xfId="14552" xr:uid="{00000000-0005-0000-0000-0000D5160000}"/>
    <cellStyle name="20% - Accent4 13 4 3 3" xfId="22499" xr:uid="{00000000-0005-0000-0000-0000D6160000}"/>
    <cellStyle name="20% - Accent4 13 4 4" xfId="11016" xr:uid="{00000000-0005-0000-0000-0000D7160000}"/>
    <cellStyle name="20% - Accent4 13 4 5" xfId="18971" xr:uid="{00000000-0005-0000-0000-0000D8160000}"/>
    <cellStyle name="20% - Accent4 13 4_Exh G" xfId="2344" xr:uid="{00000000-0005-0000-0000-0000D9160000}"/>
    <cellStyle name="20% - Accent4 13 5" xfId="3869" xr:uid="{00000000-0005-0000-0000-0000DA160000}"/>
    <cellStyle name="20% - Accent4 13 5 2" xfId="7461" xr:uid="{00000000-0005-0000-0000-0000DB160000}"/>
    <cellStyle name="20% - Accent4 13 5 2 2" xfId="15432" xr:uid="{00000000-0005-0000-0000-0000DC160000}"/>
    <cellStyle name="20% - Accent4 13 5 2 3" xfId="23378" xr:uid="{00000000-0005-0000-0000-0000DD160000}"/>
    <cellStyle name="20% - Accent4 13 5 3" xfId="11894" xr:uid="{00000000-0005-0000-0000-0000DE160000}"/>
    <cellStyle name="20% - Accent4 13 5 4" xfId="19849" xr:uid="{00000000-0005-0000-0000-0000DF160000}"/>
    <cellStyle name="20% - Accent4 13 6" xfId="5689" xr:uid="{00000000-0005-0000-0000-0000E0160000}"/>
    <cellStyle name="20% - Accent4 13 6 2" xfId="13673" xr:uid="{00000000-0005-0000-0000-0000E1160000}"/>
    <cellStyle name="20% - Accent4 13 6 3" xfId="21621" xr:uid="{00000000-0005-0000-0000-0000E2160000}"/>
    <cellStyle name="20% - Accent4 13 7" xfId="9242" xr:uid="{00000000-0005-0000-0000-0000E3160000}"/>
    <cellStyle name="20% - Accent4 13 7 2" xfId="17200" xr:uid="{00000000-0005-0000-0000-0000E4160000}"/>
    <cellStyle name="20% - Accent4 13 7 3" xfId="25144" xr:uid="{00000000-0005-0000-0000-0000E5160000}"/>
    <cellStyle name="20% - Accent4 13 8" xfId="10138" xr:uid="{00000000-0005-0000-0000-0000E6160000}"/>
    <cellStyle name="20% - Accent4 13 9" xfId="18093" xr:uid="{00000000-0005-0000-0000-0000E7160000}"/>
    <cellStyle name="20% - Accent4 13_Exh G" xfId="2337" xr:uid="{00000000-0005-0000-0000-0000E8160000}"/>
    <cellStyle name="20% - Accent4 14" xfId="194" xr:uid="{00000000-0005-0000-0000-0000E9160000}"/>
    <cellStyle name="20% - Accent4 14 2" xfId="195" xr:uid="{00000000-0005-0000-0000-0000EA160000}"/>
    <cellStyle name="20% - Accent4 14 2 2" xfId="1223" xr:uid="{00000000-0005-0000-0000-0000EB160000}"/>
    <cellStyle name="20% - Accent4 14 2 2 2" xfId="4753" xr:uid="{00000000-0005-0000-0000-0000EC160000}"/>
    <cellStyle name="20% - Accent4 14 2 2 2 2" xfId="8344" xr:uid="{00000000-0005-0000-0000-0000ED160000}"/>
    <cellStyle name="20% - Accent4 14 2 2 2 2 2" xfId="16315" xr:uid="{00000000-0005-0000-0000-0000EE160000}"/>
    <cellStyle name="20% - Accent4 14 2 2 2 2 3" xfId="24261" xr:uid="{00000000-0005-0000-0000-0000EF160000}"/>
    <cellStyle name="20% - Accent4 14 2 2 2 3" xfId="12777" xr:uid="{00000000-0005-0000-0000-0000F0160000}"/>
    <cellStyle name="20% - Accent4 14 2 2 2 4" xfId="20732" xr:uid="{00000000-0005-0000-0000-0000F1160000}"/>
    <cellStyle name="20% - Accent4 14 2 2 3" xfId="6585" xr:uid="{00000000-0005-0000-0000-0000F2160000}"/>
    <cellStyle name="20% - Accent4 14 2 2 3 2" xfId="14557" xr:uid="{00000000-0005-0000-0000-0000F3160000}"/>
    <cellStyle name="20% - Accent4 14 2 2 3 3" xfId="22504" xr:uid="{00000000-0005-0000-0000-0000F4160000}"/>
    <cellStyle name="20% - Accent4 14 2 2 4" xfId="11021" xr:uid="{00000000-0005-0000-0000-0000F5160000}"/>
    <cellStyle name="20% - Accent4 14 2 2 5" xfId="18976" xr:uid="{00000000-0005-0000-0000-0000F6160000}"/>
    <cellStyle name="20% - Accent4 14 2 2_Exh G" xfId="2347" xr:uid="{00000000-0005-0000-0000-0000F7160000}"/>
    <cellStyle name="20% - Accent4 14 2 3" xfId="3874" xr:uid="{00000000-0005-0000-0000-0000F8160000}"/>
    <cellStyle name="20% - Accent4 14 2 3 2" xfId="7466" xr:uid="{00000000-0005-0000-0000-0000F9160000}"/>
    <cellStyle name="20% - Accent4 14 2 3 2 2" xfId="15437" xr:uid="{00000000-0005-0000-0000-0000FA160000}"/>
    <cellStyle name="20% - Accent4 14 2 3 2 3" xfId="23383" xr:uid="{00000000-0005-0000-0000-0000FB160000}"/>
    <cellStyle name="20% - Accent4 14 2 3 3" xfId="11899" xr:uid="{00000000-0005-0000-0000-0000FC160000}"/>
    <cellStyle name="20% - Accent4 14 2 3 4" xfId="19854" xr:uid="{00000000-0005-0000-0000-0000FD160000}"/>
    <cellStyle name="20% - Accent4 14 2 4" xfId="5694" xr:uid="{00000000-0005-0000-0000-0000FE160000}"/>
    <cellStyle name="20% - Accent4 14 2 4 2" xfId="13678" xr:uid="{00000000-0005-0000-0000-0000FF160000}"/>
    <cellStyle name="20% - Accent4 14 2 4 3" xfId="21626" xr:uid="{00000000-0005-0000-0000-000000170000}"/>
    <cellStyle name="20% - Accent4 14 2 5" xfId="9247" xr:uid="{00000000-0005-0000-0000-000001170000}"/>
    <cellStyle name="20% - Accent4 14 2 5 2" xfId="17205" xr:uid="{00000000-0005-0000-0000-000002170000}"/>
    <cellStyle name="20% - Accent4 14 2 5 3" xfId="25149" xr:uid="{00000000-0005-0000-0000-000003170000}"/>
    <cellStyle name="20% - Accent4 14 2 6" xfId="10143" xr:uid="{00000000-0005-0000-0000-000004170000}"/>
    <cellStyle name="20% - Accent4 14 2 7" xfId="18098" xr:uid="{00000000-0005-0000-0000-000005170000}"/>
    <cellStyle name="20% - Accent4 14 2_Exh G" xfId="2346" xr:uid="{00000000-0005-0000-0000-000006170000}"/>
    <cellStyle name="20% - Accent4 14 3" xfId="1222" xr:uid="{00000000-0005-0000-0000-000007170000}"/>
    <cellStyle name="20% - Accent4 14 3 2" xfId="4752" xr:uid="{00000000-0005-0000-0000-000008170000}"/>
    <cellStyle name="20% - Accent4 14 3 2 2" xfId="8343" xr:uid="{00000000-0005-0000-0000-000009170000}"/>
    <cellStyle name="20% - Accent4 14 3 2 2 2" xfId="16314" xr:uid="{00000000-0005-0000-0000-00000A170000}"/>
    <cellStyle name="20% - Accent4 14 3 2 2 3" xfId="24260" xr:uid="{00000000-0005-0000-0000-00000B170000}"/>
    <cellStyle name="20% - Accent4 14 3 2 3" xfId="12776" xr:uid="{00000000-0005-0000-0000-00000C170000}"/>
    <cellStyle name="20% - Accent4 14 3 2 4" xfId="20731" xr:uid="{00000000-0005-0000-0000-00000D170000}"/>
    <cellStyle name="20% - Accent4 14 3 3" xfId="6584" xr:uid="{00000000-0005-0000-0000-00000E170000}"/>
    <cellStyle name="20% - Accent4 14 3 3 2" xfId="14556" xr:uid="{00000000-0005-0000-0000-00000F170000}"/>
    <cellStyle name="20% - Accent4 14 3 3 3" xfId="22503" xr:uid="{00000000-0005-0000-0000-000010170000}"/>
    <cellStyle name="20% - Accent4 14 3 4" xfId="11020" xr:uid="{00000000-0005-0000-0000-000011170000}"/>
    <cellStyle name="20% - Accent4 14 3 5" xfId="18975" xr:uid="{00000000-0005-0000-0000-000012170000}"/>
    <cellStyle name="20% - Accent4 14 3_Exh G" xfId="2348" xr:uid="{00000000-0005-0000-0000-000013170000}"/>
    <cellStyle name="20% - Accent4 14 4" xfId="3873" xr:uid="{00000000-0005-0000-0000-000014170000}"/>
    <cellStyle name="20% - Accent4 14 4 2" xfId="7465" xr:uid="{00000000-0005-0000-0000-000015170000}"/>
    <cellStyle name="20% - Accent4 14 4 2 2" xfId="15436" xr:uid="{00000000-0005-0000-0000-000016170000}"/>
    <cellStyle name="20% - Accent4 14 4 2 3" xfId="23382" xr:uid="{00000000-0005-0000-0000-000017170000}"/>
    <cellStyle name="20% - Accent4 14 4 3" xfId="11898" xr:uid="{00000000-0005-0000-0000-000018170000}"/>
    <cellStyle name="20% - Accent4 14 4 4" xfId="19853" xr:uid="{00000000-0005-0000-0000-000019170000}"/>
    <cellStyle name="20% - Accent4 14 5" xfId="5693" xr:uid="{00000000-0005-0000-0000-00001A170000}"/>
    <cellStyle name="20% - Accent4 14 5 2" xfId="13677" xr:uid="{00000000-0005-0000-0000-00001B170000}"/>
    <cellStyle name="20% - Accent4 14 5 3" xfId="21625" xr:uid="{00000000-0005-0000-0000-00001C170000}"/>
    <cellStyle name="20% - Accent4 14 6" xfId="9246" xr:uid="{00000000-0005-0000-0000-00001D170000}"/>
    <cellStyle name="20% - Accent4 14 6 2" xfId="17204" xr:uid="{00000000-0005-0000-0000-00001E170000}"/>
    <cellStyle name="20% - Accent4 14 6 3" xfId="25148" xr:uid="{00000000-0005-0000-0000-00001F170000}"/>
    <cellStyle name="20% - Accent4 14 7" xfId="10142" xr:uid="{00000000-0005-0000-0000-000020170000}"/>
    <cellStyle name="20% - Accent4 14 8" xfId="18097" xr:uid="{00000000-0005-0000-0000-000021170000}"/>
    <cellStyle name="20% - Accent4 14_Exh G" xfId="2345" xr:uid="{00000000-0005-0000-0000-000022170000}"/>
    <cellStyle name="20% - Accent4 15" xfId="196" xr:uid="{00000000-0005-0000-0000-000023170000}"/>
    <cellStyle name="20% - Accent4 15 2" xfId="1224" xr:uid="{00000000-0005-0000-0000-000024170000}"/>
    <cellStyle name="20% - Accent4 15 2 2" xfId="4754" xr:uid="{00000000-0005-0000-0000-000025170000}"/>
    <cellStyle name="20% - Accent4 15 2 2 2" xfId="8345" xr:uid="{00000000-0005-0000-0000-000026170000}"/>
    <cellStyle name="20% - Accent4 15 2 2 2 2" xfId="16316" xr:uid="{00000000-0005-0000-0000-000027170000}"/>
    <cellStyle name="20% - Accent4 15 2 2 2 3" xfId="24262" xr:uid="{00000000-0005-0000-0000-000028170000}"/>
    <cellStyle name="20% - Accent4 15 2 2 3" xfId="12778" xr:uid="{00000000-0005-0000-0000-000029170000}"/>
    <cellStyle name="20% - Accent4 15 2 2 4" xfId="20733" xr:uid="{00000000-0005-0000-0000-00002A170000}"/>
    <cellStyle name="20% - Accent4 15 2 3" xfId="6586" xr:uid="{00000000-0005-0000-0000-00002B170000}"/>
    <cellStyle name="20% - Accent4 15 2 3 2" xfId="14558" xr:uid="{00000000-0005-0000-0000-00002C170000}"/>
    <cellStyle name="20% - Accent4 15 2 3 3" xfId="22505" xr:uid="{00000000-0005-0000-0000-00002D170000}"/>
    <cellStyle name="20% - Accent4 15 2 4" xfId="11022" xr:uid="{00000000-0005-0000-0000-00002E170000}"/>
    <cellStyle name="20% - Accent4 15 2 5" xfId="18977" xr:uid="{00000000-0005-0000-0000-00002F170000}"/>
    <cellStyle name="20% - Accent4 15 2_Exh G" xfId="2350" xr:uid="{00000000-0005-0000-0000-000030170000}"/>
    <cellStyle name="20% - Accent4 15 3" xfId="3875" xr:uid="{00000000-0005-0000-0000-000031170000}"/>
    <cellStyle name="20% - Accent4 15 3 2" xfId="7467" xr:uid="{00000000-0005-0000-0000-000032170000}"/>
    <cellStyle name="20% - Accent4 15 3 2 2" xfId="15438" xr:uid="{00000000-0005-0000-0000-000033170000}"/>
    <cellStyle name="20% - Accent4 15 3 2 3" xfId="23384" xr:uid="{00000000-0005-0000-0000-000034170000}"/>
    <cellStyle name="20% - Accent4 15 3 3" xfId="11900" xr:uid="{00000000-0005-0000-0000-000035170000}"/>
    <cellStyle name="20% - Accent4 15 3 4" xfId="19855" xr:uid="{00000000-0005-0000-0000-000036170000}"/>
    <cellStyle name="20% - Accent4 15 4" xfId="5695" xr:uid="{00000000-0005-0000-0000-000037170000}"/>
    <cellStyle name="20% - Accent4 15 4 2" xfId="13679" xr:uid="{00000000-0005-0000-0000-000038170000}"/>
    <cellStyle name="20% - Accent4 15 4 3" xfId="21627" xr:uid="{00000000-0005-0000-0000-000039170000}"/>
    <cellStyle name="20% - Accent4 15 5" xfId="9248" xr:uid="{00000000-0005-0000-0000-00003A170000}"/>
    <cellStyle name="20% - Accent4 15 5 2" xfId="17206" xr:uid="{00000000-0005-0000-0000-00003B170000}"/>
    <cellStyle name="20% - Accent4 15 5 3" xfId="25150" xr:uid="{00000000-0005-0000-0000-00003C170000}"/>
    <cellStyle name="20% - Accent4 15 6" xfId="10144" xr:uid="{00000000-0005-0000-0000-00003D170000}"/>
    <cellStyle name="20% - Accent4 15 7" xfId="18099" xr:uid="{00000000-0005-0000-0000-00003E170000}"/>
    <cellStyle name="20% - Accent4 15_Exh G" xfId="2349" xr:uid="{00000000-0005-0000-0000-00003F170000}"/>
    <cellStyle name="20% - Accent4 16" xfId="846" xr:uid="{00000000-0005-0000-0000-000040170000}"/>
    <cellStyle name="20% - Accent4 16 2" xfId="1785" xr:uid="{00000000-0005-0000-0000-000041170000}"/>
    <cellStyle name="20% - Accent4 16 2 2" xfId="5306" xr:uid="{00000000-0005-0000-0000-000042170000}"/>
    <cellStyle name="20% - Accent4 16 2 2 2" xfId="8897" xr:uid="{00000000-0005-0000-0000-000043170000}"/>
    <cellStyle name="20% - Accent4 16 2 2 2 2" xfId="16868" xr:uid="{00000000-0005-0000-0000-000044170000}"/>
    <cellStyle name="20% - Accent4 16 2 2 2 3" xfId="24814" xr:uid="{00000000-0005-0000-0000-000045170000}"/>
    <cellStyle name="20% - Accent4 16 2 2 3" xfId="13330" xr:uid="{00000000-0005-0000-0000-000046170000}"/>
    <cellStyle name="20% - Accent4 16 2 2 4" xfId="21285" xr:uid="{00000000-0005-0000-0000-000047170000}"/>
    <cellStyle name="20% - Accent4 16 2 3" xfId="7138" xr:uid="{00000000-0005-0000-0000-000048170000}"/>
    <cellStyle name="20% - Accent4 16 2 3 2" xfId="15110" xr:uid="{00000000-0005-0000-0000-000049170000}"/>
    <cellStyle name="20% - Accent4 16 2 3 3" xfId="23057" xr:uid="{00000000-0005-0000-0000-00004A170000}"/>
    <cellStyle name="20% - Accent4 16 2 4" xfId="11574" xr:uid="{00000000-0005-0000-0000-00004B170000}"/>
    <cellStyle name="20% - Accent4 16 2 5" xfId="19529" xr:uid="{00000000-0005-0000-0000-00004C170000}"/>
    <cellStyle name="20% - Accent4 16 2_Exh G" xfId="2352" xr:uid="{00000000-0005-0000-0000-00004D170000}"/>
    <cellStyle name="20% - Accent4 16 3" xfId="4427" xr:uid="{00000000-0005-0000-0000-00004E170000}"/>
    <cellStyle name="20% - Accent4 16 3 2" xfId="8019" xr:uid="{00000000-0005-0000-0000-00004F170000}"/>
    <cellStyle name="20% - Accent4 16 3 2 2" xfId="15990" xr:uid="{00000000-0005-0000-0000-000050170000}"/>
    <cellStyle name="20% - Accent4 16 3 2 3" xfId="23936" xr:uid="{00000000-0005-0000-0000-000051170000}"/>
    <cellStyle name="20% - Accent4 16 3 3" xfId="12452" xr:uid="{00000000-0005-0000-0000-000052170000}"/>
    <cellStyle name="20% - Accent4 16 3 4" xfId="20407" xr:uid="{00000000-0005-0000-0000-000053170000}"/>
    <cellStyle name="20% - Accent4 16 4" xfId="6257" xr:uid="{00000000-0005-0000-0000-000054170000}"/>
    <cellStyle name="20% - Accent4 16 4 2" xfId="14232" xr:uid="{00000000-0005-0000-0000-000055170000}"/>
    <cellStyle name="20% - Accent4 16 4 3" xfId="22179" xr:uid="{00000000-0005-0000-0000-000056170000}"/>
    <cellStyle name="20% - Accent4 16 5" xfId="9800" xr:uid="{00000000-0005-0000-0000-000057170000}"/>
    <cellStyle name="20% - Accent4 16 5 2" xfId="17758" xr:uid="{00000000-0005-0000-0000-000058170000}"/>
    <cellStyle name="20% - Accent4 16 5 3" xfId="25702" xr:uid="{00000000-0005-0000-0000-000059170000}"/>
    <cellStyle name="20% - Accent4 16 6" xfId="10696" xr:uid="{00000000-0005-0000-0000-00005A170000}"/>
    <cellStyle name="20% - Accent4 16 7" xfId="18651" xr:uid="{00000000-0005-0000-0000-00005B170000}"/>
    <cellStyle name="20% - Accent4 16_Exh G" xfId="2351" xr:uid="{00000000-0005-0000-0000-00005C170000}"/>
    <cellStyle name="20% - Accent4 2" xfId="197" xr:uid="{00000000-0005-0000-0000-00005D170000}"/>
    <cellStyle name="20% - Accent4 2 10" xfId="18100" xr:uid="{00000000-0005-0000-0000-00005E170000}"/>
    <cellStyle name="20% - Accent4 2 2" xfId="198" xr:uid="{00000000-0005-0000-0000-00005F170000}"/>
    <cellStyle name="20% - Accent4 2 2 2" xfId="199" xr:uid="{00000000-0005-0000-0000-000060170000}"/>
    <cellStyle name="20% - Accent4 2 2 2 2" xfId="1227" xr:uid="{00000000-0005-0000-0000-000061170000}"/>
    <cellStyle name="20% - Accent4 2 2 2 2 2" xfId="4757" xr:uid="{00000000-0005-0000-0000-000062170000}"/>
    <cellStyle name="20% - Accent4 2 2 2 2 2 2" xfId="8348" xr:uid="{00000000-0005-0000-0000-000063170000}"/>
    <cellStyle name="20% - Accent4 2 2 2 2 2 2 2" xfId="16319" xr:uid="{00000000-0005-0000-0000-000064170000}"/>
    <cellStyle name="20% - Accent4 2 2 2 2 2 2 3" xfId="24265" xr:uid="{00000000-0005-0000-0000-000065170000}"/>
    <cellStyle name="20% - Accent4 2 2 2 2 2 3" xfId="12781" xr:uid="{00000000-0005-0000-0000-000066170000}"/>
    <cellStyle name="20% - Accent4 2 2 2 2 2 4" xfId="20736" xr:uid="{00000000-0005-0000-0000-000067170000}"/>
    <cellStyle name="20% - Accent4 2 2 2 2 3" xfId="6589" xr:uid="{00000000-0005-0000-0000-000068170000}"/>
    <cellStyle name="20% - Accent4 2 2 2 2 3 2" xfId="14561" xr:uid="{00000000-0005-0000-0000-000069170000}"/>
    <cellStyle name="20% - Accent4 2 2 2 2 3 3" xfId="22508" xr:uid="{00000000-0005-0000-0000-00006A170000}"/>
    <cellStyle name="20% - Accent4 2 2 2 2 4" xfId="11025" xr:uid="{00000000-0005-0000-0000-00006B170000}"/>
    <cellStyle name="20% - Accent4 2 2 2 2 5" xfId="18980" xr:uid="{00000000-0005-0000-0000-00006C170000}"/>
    <cellStyle name="20% - Accent4 2 2 2 2_Exh G" xfId="2356" xr:uid="{00000000-0005-0000-0000-00006D170000}"/>
    <cellStyle name="20% - Accent4 2 2 2 3" xfId="3878" xr:uid="{00000000-0005-0000-0000-00006E170000}"/>
    <cellStyle name="20% - Accent4 2 2 2 3 2" xfId="7470" xr:uid="{00000000-0005-0000-0000-00006F170000}"/>
    <cellStyle name="20% - Accent4 2 2 2 3 2 2" xfId="15441" xr:uid="{00000000-0005-0000-0000-000070170000}"/>
    <cellStyle name="20% - Accent4 2 2 2 3 2 3" xfId="23387" xr:uid="{00000000-0005-0000-0000-000071170000}"/>
    <cellStyle name="20% - Accent4 2 2 2 3 3" xfId="11903" xr:uid="{00000000-0005-0000-0000-000072170000}"/>
    <cellStyle name="20% - Accent4 2 2 2 3 4" xfId="19858" xr:uid="{00000000-0005-0000-0000-000073170000}"/>
    <cellStyle name="20% - Accent4 2 2 2 4" xfId="5698" xr:uid="{00000000-0005-0000-0000-000074170000}"/>
    <cellStyle name="20% - Accent4 2 2 2 4 2" xfId="13682" xr:uid="{00000000-0005-0000-0000-000075170000}"/>
    <cellStyle name="20% - Accent4 2 2 2 4 3" xfId="21630" xr:uid="{00000000-0005-0000-0000-000076170000}"/>
    <cellStyle name="20% - Accent4 2 2 2 5" xfId="9251" xr:uid="{00000000-0005-0000-0000-000077170000}"/>
    <cellStyle name="20% - Accent4 2 2 2 5 2" xfId="17209" xr:uid="{00000000-0005-0000-0000-000078170000}"/>
    <cellStyle name="20% - Accent4 2 2 2 5 3" xfId="25153" xr:uid="{00000000-0005-0000-0000-000079170000}"/>
    <cellStyle name="20% - Accent4 2 2 2 6" xfId="10147" xr:uid="{00000000-0005-0000-0000-00007A170000}"/>
    <cellStyle name="20% - Accent4 2 2 2 7" xfId="18102" xr:uid="{00000000-0005-0000-0000-00007B170000}"/>
    <cellStyle name="20% - Accent4 2 2 2_Exh G" xfId="2355" xr:uid="{00000000-0005-0000-0000-00007C170000}"/>
    <cellStyle name="20% - Accent4 2 2 3" xfId="900" xr:uid="{00000000-0005-0000-0000-00007D170000}"/>
    <cellStyle name="20% - Accent4 2 2 3 2" xfId="1830" xr:uid="{00000000-0005-0000-0000-00007E170000}"/>
    <cellStyle name="20% - Accent4 2 2 3 2 2" xfId="5348" xr:uid="{00000000-0005-0000-0000-00007F170000}"/>
    <cellStyle name="20% - Accent4 2 2 3 2 2 2" xfId="8939" xr:uid="{00000000-0005-0000-0000-000080170000}"/>
    <cellStyle name="20% - Accent4 2 2 3 2 2 2 2" xfId="16910" xr:uid="{00000000-0005-0000-0000-000081170000}"/>
    <cellStyle name="20% - Accent4 2 2 3 2 2 2 3" xfId="24856" xr:uid="{00000000-0005-0000-0000-000082170000}"/>
    <cellStyle name="20% - Accent4 2 2 3 2 2 3" xfId="13372" xr:uid="{00000000-0005-0000-0000-000083170000}"/>
    <cellStyle name="20% - Accent4 2 2 3 2 2 4" xfId="21327" xr:uid="{00000000-0005-0000-0000-000084170000}"/>
    <cellStyle name="20% - Accent4 2 2 3 2 3" xfId="7180" xr:uid="{00000000-0005-0000-0000-000085170000}"/>
    <cellStyle name="20% - Accent4 2 2 3 2 3 2" xfId="15152" xr:uid="{00000000-0005-0000-0000-000086170000}"/>
    <cellStyle name="20% - Accent4 2 2 3 2 3 3" xfId="23099" xr:uid="{00000000-0005-0000-0000-000087170000}"/>
    <cellStyle name="20% - Accent4 2 2 3 2 4" xfId="11616" xr:uid="{00000000-0005-0000-0000-000088170000}"/>
    <cellStyle name="20% - Accent4 2 2 3 2 5" xfId="19571" xr:uid="{00000000-0005-0000-0000-000089170000}"/>
    <cellStyle name="20% - Accent4 2 2 3 2_Exh G" xfId="2358" xr:uid="{00000000-0005-0000-0000-00008A170000}"/>
    <cellStyle name="20% - Accent4 2 2 3 3" xfId="4469" xr:uid="{00000000-0005-0000-0000-00008B170000}"/>
    <cellStyle name="20% - Accent4 2 2 3 3 2" xfId="8061" xr:uid="{00000000-0005-0000-0000-00008C170000}"/>
    <cellStyle name="20% - Accent4 2 2 3 3 2 2" xfId="16032" xr:uid="{00000000-0005-0000-0000-00008D170000}"/>
    <cellStyle name="20% - Accent4 2 2 3 3 2 3" xfId="23978" xr:uid="{00000000-0005-0000-0000-00008E170000}"/>
    <cellStyle name="20% - Accent4 2 2 3 3 3" xfId="12494" xr:uid="{00000000-0005-0000-0000-00008F170000}"/>
    <cellStyle name="20% - Accent4 2 2 3 3 4" xfId="20449" xr:uid="{00000000-0005-0000-0000-000090170000}"/>
    <cellStyle name="20% - Accent4 2 2 3 4" xfId="6299" xr:uid="{00000000-0005-0000-0000-000091170000}"/>
    <cellStyle name="20% - Accent4 2 2 3 4 2" xfId="14274" xr:uid="{00000000-0005-0000-0000-000092170000}"/>
    <cellStyle name="20% - Accent4 2 2 3 4 3" xfId="22221" xr:uid="{00000000-0005-0000-0000-000093170000}"/>
    <cellStyle name="20% - Accent4 2 2 3 5" xfId="9842" xr:uid="{00000000-0005-0000-0000-000094170000}"/>
    <cellStyle name="20% - Accent4 2 2 3 5 2" xfId="17800" xr:uid="{00000000-0005-0000-0000-000095170000}"/>
    <cellStyle name="20% - Accent4 2 2 3 5 3" xfId="25744" xr:uid="{00000000-0005-0000-0000-000096170000}"/>
    <cellStyle name="20% - Accent4 2 2 3 6" xfId="10738" xr:uid="{00000000-0005-0000-0000-000097170000}"/>
    <cellStyle name="20% - Accent4 2 2 3 7" xfId="18693" xr:uid="{00000000-0005-0000-0000-000098170000}"/>
    <cellStyle name="20% - Accent4 2 2 3_Exh G" xfId="2357" xr:uid="{00000000-0005-0000-0000-000099170000}"/>
    <cellStyle name="20% - Accent4 2 2 4" xfId="1226" xr:uid="{00000000-0005-0000-0000-00009A170000}"/>
    <cellStyle name="20% - Accent4 2 2 4 2" xfId="4756" xr:uid="{00000000-0005-0000-0000-00009B170000}"/>
    <cellStyle name="20% - Accent4 2 2 4 2 2" xfId="8347" xr:uid="{00000000-0005-0000-0000-00009C170000}"/>
    <cellStyle name="20% - Accent4 2 2 4 2 2 2" xfId="16318" xr:uid="{00000000-0005-0000-0000-00009D170000}"/>
    <cellStyle name="20% - Accent4 2 2 4 2 2 3" xfId="24264" xr:uid="{00000000-0005-0000-0000-00009E170000}"/>
    <cellStyle name="20% - Accent4 2 2 4 2 3" xfId="12780" xr:uid="{00000000-0005-0000-0000-00009F170000}"/>
    <cellStyle name="20% - Accent4 2 2 4 2 4" xfId="20735" xr:uid="{00000000-0005-0000-0000-0000A0170000}"/>
    <cellStyle name="20% - Accent4 2 2 4 3" xfId="6588" xr:uid="{00000000-0005-0000-0000-0000A1170000}"/>
    <cellStyle name="20% - Accent4 2 2 4 3 2" xfId="14560" xr:uid="{00000000-0005-0000-0000-0000A2170000}"/>
    <cellStyle name="20% - Accent4 2 2 4 3 3" xfId="22507" xr:uid="{00000000-0005-0000-0000-0000A3170000}"/>
    <cellStyle name="20% - Accent4 2 2 4 4" xfId="11024" xr:uid="{00000000-0005-0000-0000-0000A4170000}"/>
    <cellStyle name="20% - Accent4 2 2 4 5" xfId="18979" xr:uid="{00000000-0005-0000-0000-0000A5170000}"/>
    <cellStyle name="20% - Accent4 2 2 4_Exh G" xfId="2359" xr:uid="{00000000-0005-0000-0000-0000A6170000}"/>
    <cellStyle name="20% - Accent4 2 2 5" xfId="3877" xr:uid="{00000000-0005-0000-0000-0000A7170000}"/>
    <cellStyle name="20% - Accent4 2 2 5 2" xfId="7469" xr:uid="{00000000-0005-0000-0000-0000A8170000}"/>
    <cellStyle name="20% - Accent4 2 2 5 2 2" xfId="15440" xr:uid="{00000000-0005-0000-0000-0000A9170000}"/>
    <cellStyle name="20% - Accent4 2 2 5 2 3" xfId="23386" xr:uid="{00000000-0005-0000-0000-0000AA170000}"/>
    <cellStyle name="20% - Accent4 2 2 5 3" xfId="11902" xr:uid="{00000000-0005-0000-0000-0000AB170000}"/>
    <cellStyle name="20% - Accent4 2 2 5 4" xfId="19857" xr:uid="{00000000-0005-0000-0000-0000AC170000}"/>
    <cellStyle name="20% - Accent4 2 2 6" xfId="5697" xr:uid="{00000000-0005-0000-0000-0000AD170000}"/>
    <cellStyle name="20% - Accent4 2 2 6 2" xfId="13681" xr:uid="{00000000-0005-0000-0000-0000AE170000}"/>
    <cellStyle name="20% - Accent4 2 2 6 3" xfId="21629" xr:uid="{00000000-0005-0000-0000-0000AF170000}"/>
    <cellStyle name="20% - Accent4 2 2 7" xfId="9250" xr:uid="{00000000-0005-0000-0000-0000B0170000}"/>
    <cellStyle name="20% - Accent4 2 2 7 2" xfId="17208" xr:uid="{00000000-0005-0000-0000-0000B1170000}"/>
    <cellStyle name="20% - Accent4 2 2 7 3" xfId="25152" xr:uid="{00000000-0005-0000-0000-0000B2170000}"/>
    <cellStyle name="20% - Accent4 2 2 8" xfId="10146" xr:uid="{00000000-0005-0000-0000-0000B3170000}"/>
    <cellStyle name="20% - Accent4 2 2 9" xfId="18101" xr:uid="{00000000-0005-0000-0000-0000B4170000}"/>
    <cellStyle name="20% - Accent4 2 2_Exh G" xfId="2354" xr:uid="{00000000-0005-0000-0000-0000B5170000}"/>
    <cellStyle name="20% - Accent4 2 3" xfId="200" xr:uid="{00000000-0005-0000-0000-0000B6170000}"/>
    <cellStyle name="20% - Accent4 2 3 2" xfId="1228" xr:uid="{00000000-0005-0000-0000-0000B7170000}"/>
    <cellStyle name="20% - Accent4 2 3 2 2" xfId="4758" xr:uid="{00000000-0005-0000-0000-0000B8170000}"/>
    <cellStyle name="20% - Accent4 2 3 2 2 2" xfId="8349" xr:uid="{00000000-0005-0000-0000-0000B9170000}"/>
    <cellStyle name="20% - Accent4 2 3 2 2 2 2" xfId="16320" xr:uid="{00000000-0005-0000-0000-0000BA170000}"/>
    <cellStyle name="20% - Accent4 2 3 2 2 2 3" xfId="24266" xr:uid="{00000000-0005-0000-0000-0000BB170000}"/>
    <cellStyle name="20% - Accent4 2 3 2 2 3" xfId="12782" xr:uid="{00000000-0005-0000-0000-0000BC170000}"/>
    <cellStyle name="20% - Accent4 2 3 2 2 4" xfId="20737" xr:uid="{00000000-0005-0000-0000-0000BD170000}"/>
    <cellStyle name="20% - Accent4 2 3 2 3" xfId="6590" xr:uid="{00000000-0005-0000-0000-0000BE170000}"/>
    <cellStyle name="20% - Accent4 2 3 2 3 2" xfId="14562" xr:uid="{00000000-0005-0000-0000-0000BF170000}"/>
    <cellStyle name="20% - Accent4 2 3 2 3 3" xfId="22509" xr:uid="{00000000-0005-0000-0000-0000C0170000}"/>
    <cellStyle name="20% - Accent4 2 3 2 4" xfId="11026" xr:uid="{00000000-0005-0000-0000-0000C1170000}"/>
    <cellStyle name="20% - Accent4 2 3 2 5" xfId="18981" xr:uid="{00000000-0005-0000-0000-0000C2170000}"/>
    <cellStyle name="20% - Accent4 2 3 2_Exh G" xfId="2361" xr:uid="{00000000-0005-0000-0000-0000C3170000}"/>
    <cellStyle name="20% - Accent4 2 3 3" xfId="3879" xr:uid="{00000000-0005-0000-0000-0000C4170000}"/>
    <cellStyle name="20% - Accent4 2 3 3 2" xfId="7471" xr:uid="{00000000-0005-0000-0000-0000C5170000}"/>
    <cellStyle name="20% - Accent4 2 3 3 2 2" xfId="15442" xr:uid="{00000000-0005-0000-0000-0000C6170000}"/>
    <cellStyle name="20% - Accent4 2 3 3 2 3" xfId="23388" xr:uid="{00000000-0005-0000-0000-0000C7170000}"/>
    <cellStyle name="20% - Accent4 2 3 3 3" xfId="11904" xr:uid="{00000000-0005-0000-0000-0000C8170000}"/>
    <cellStyle name="20% - Accent4 2 3 3 4" xfId="19859" xr:uid="{00000000-0005-0000-0000-0000C9170000}"/>
    <cellStyle name="20% - Accent4 2 3 4" xfId="5699" xr:uid="{00000000-0005-0000-0000-0000CA170000}"/>
    <cellStyle name="20% - Accent4 2 3 4 2" xfId="13683" xr:uid="{00000000-0005-0000-0000-0000CB170000}"/>
    <cellStyle name="20% - Accent4 2 3 4 3" xfId="21631" xr:uid="{00000000-0005-0000-0000-0000CC170000}"/>
    <cellStyle name="20% - Accent4 2 3 5" xfId="9252" xr:uid="{00000000-0005-0000-0000-0000CD170000}"/>
    <cellStyle name="20% - Accent4 2 3 5 2" xfId="17210" xr:uid="{00000000-0005-0000-0000-0000CE170000}"/>
    <cellStyle name="20% - Accent4 2 3 5 3" xfId="25154" xr:uid="{00000000-0005-0000-0000-0000CF170000}"/>
    <cellStyle name="20% - Accent4 2 3 6" xfId="10148" xr:uid="{00000000-0005-0000-0000-0000D0170000}"/>
    <cellStyle name="20% - Accent4 2 3 7" xfId="18103" xr:uid="{00000000-0005-0000-0000-0000D1170000}"/>
    <cellStyle name="20% - Accent4 2 3_Exh G" xfId="2360" xr:uid="{00000000-0005-0000-0000-0000D2170000}"/>
    <cellStyle name="20% - Accent4 2 4" xfId="899" xr:uid="{00000000-0005-0000-0000-0000D3170000}"/>
    <cellStyle name="20% - Accent4 2 4 2" xfId="1829" xr:uid="{00000000-0005-0000-0000-0000D4170000}"/>
    <cellStyle name="20% - Accent4 2 4 2 2" xfId="5347" xr:uid="{00000000-0005-0000-0000-0000D5170000}"/>
    <cellStyle name="20% - Accent4 2 4 2 2 2" xfId="8938" xr:uid="{00000000-0005-0000-0000-0000D6170000}"/>
    <cellStyle name="20% - Accent4 2 4 2 2 2 2" xfId="16909" xr:uid="{00000000-0005-0000-0000-0000D7170000}"/>
    <cellStyle name="20% - Accent4 2 4 2 2 2 3" xfId="24855" xr:uid="{00000000-0005-0000-0000-0000D8170000}"/>
    <cellStyle name="20% - Accent4 2 4 2 2 3" xfId="13371" xr:uid="{00000000-0005-0000-0000-0000D9170000}"/>
    <cellStyle name="20% - Accent4 2 4 2 2 4" xfId="21326" xr:uid="{00000000-0005-0000-0000-0000DA170000}"/>
    <cellStyle name="20% - Accent4 2 4 2 3" xfId="7179" xr:uid="{00000000-0005-0000-0000-0000DB170000}"/>
    <cellStyle name="20% - Accent4 2 4 2 3 2" xfId="15151" xr:uid="{00000000-0005-0000-0000-0000DC170000}"/>
    <cellStyle name="20% - Accent4 2 4 2 3 3" xfId="23098" xr:uid="{00000000-0005-0000-0000-0000DD170000}"/>
    <cellStyle name="20% - Accent4 2 4 2 4" xfId="11615" xr:uid="{00000000-0005-0000-0000-0000DE170000}"/>
    <cellStyle name="20% - Accent4 2 4 2 5" xfId="19570" xr:uid="{00000000-0005-0000-0000-0000DF170000}"/>
    <cellStyle name="20% - Accent4 2 4 2_Exh G" xfId="2363" xr:uid="{00000000-0005-0000-0000-0000E0170000}"/>
    <cellStyle name="20% - Accent4 2 4 3" xfId="4468" xr:uid="{00000000-0005-0000-0000-0000E1170000}"/>
    <cellStyle name="20% - Accent4 2 4 3 2" xfId="8060" xr:uid="{00000000-0005-0000-0000-0000E2170000}"/>
    <cellStyle name="20% - Accent4 2 4 3 2 2" xfId="16031" xr:uid="{00000000-0005-0000-0000-0000E3170000}"/>
    <cellStyle name="20% - Accent4 2 4 3 2 3" xfId="23977" xr:uid="{00000000-0005-0000-0000-0000E4170000}"/>
    <cellStyle name="20% - Accent4 2 4 3 3" xfId="12493" xr:uid="{00000000-0005-0000-0000-0000E5170000}"/>
    <cellStyle name="20% - Accent4 2 4 3 4" xfId="20448" xr:uid="{00000000-0005-0000-0000-0000E6170000}"/>
    <cellStyle name="20% - Accent4 2 4 4" xfId="6298" xr:uid="{00000000-0005-0000-0000-0000E7170000}"/>
    <cellStyle name="20% - Accent4 2 4 4 2" xfId="14273" xr:uid="{00000000-0005-0000-0000-0000E8170000}"/>
    <cellStyle name="20% - Accent4 2 4 4 3" xfId="22220" xr:uid="{00000000-0005-0000-0000-0000E9170000}"/>
    <cellStyle name="20% - Accent4 2 4 5" xfId="9841" xr:uid="{00000000-0005-0000-0000-0000EA170000}"/>
    <cellStyle name="20% - Accent4 2 4 5 2" xfId="17799" xr:uid="{00000000-0005-0000-0000-0000EB170000}"/>
    <cellStyle name="20% - Accent4 2 4 5 3" xfId="25743" xr:uid="{00000000-0005-0000-0000-0000EC170000}"/>
    <cellStyle name="20% - Accent4 2 4 6" xfId="10737" xr:uid="{00000000-0005-0000-0000-0000ED170000}"/>
    <cellStyle name="20% - Accent4 2 4 7" xfId="18692" xr:uid="{00000000-0005-0000-0000-0000EE170000}"/>
    <cellStyle name="20% - Accent4 2 4_Exh G" xfId="2362" xr:uid="{00000000-0005-0000-0000-0000EF170000}"/>
    <cellStyle name="20% - Accent4 2 5" xfId="1225" xr:uid="{00000000-0005-0000-0000-0000F0170000}"/>
    <cellStyle name="20% - Accent4 2 5 2" xfId="4755" xr:uid="{00000000-0005-0000-0000-0000F1170000}"/>
    <cellStyle name="20% - Accent4 2 5 2 2" xfId="8346" xr:uid="{00000000-0005-0000-0000-0000F2170000}"/>
    <cellStyle name="20% - Accent4 2 5 2 2 2" xfId="16317" xr:uid="{00000000-0005-0000-0000-0000F3170000}"/>
    <cellStyle name="20% - Accent4 2 5 2 2 3" xfId="24263" xr:uid="{00000000-0005-0000-0000-0000F4170000}"/>
    <cellStyle name="20% - Accent4 2 5 2 3" xfId="12779" xr:uid="{00000000-0005-0000-0000-0000F5170000}"/>
    <cellStyle name="20% - Accent4 2 5 2 4" xfId="20734" xr:uid="{00000000-0005-0000-0000-0000F6170000}"/>
    <cellStyle name="20% - Accent4 2 5 3" xfId="6587" xr:uid="{00000000-0005-0000-0000-0000F7170000}"/>
    <cellStyle name="20% - Accent4 2 5 3 2" xfId="14559" xr:uid="{00000000-0005-0000-0000-0000F8170000}"/>
    <cellStyle name="20% - Accent4 2 5 3 3" xfId="22506" xr:uid="{00000000-0005-0000-0000-0000F9170000}"/>
    <cellStyle name="20% - Accent4 2 5 4" xfId="11023" xr:uid="{00000000-0005-0000-0000-0000FA170000}"/>
    <cellStyle name="20% - Accent4 2 5 5" xfId="18978" xr:uid="{00000000-0005-0000-0000-0000FB170000}"/>
    <cellStyle name="20% - Accent4 2 5_Exh G" xfId="2364" xr:uid="{00000000-0005-0000-0000-0000FC170000}"/>
    <cellStyle name="20% - Accent4 2 6" xfId="3876" xr:uid="{00000000-0005-0000-0000-0000FD170000}"/>
    <cellStyle name="20% - Accent4 2 6 2" xfId="7468" xr:uid="{00000000-0005-0000-0000-0000FE170000}"/>
    <cellStyle name="20% - Accent4 2 6 2 2" xfId="15439" xr:uid="{00000000-0005-0000-0000-0000FF170000}"/>
    <cellStyle name="20% - Accent4 2 6 2 3" xfId="23385" xr:uid="{00000000-0005-0000-0000-000000180000}"/>
    <cellStyle name="20% - Accent4 2 6 3" xfId="11901" xr:uid="{00000000-0005-0000-0000-000001180000}"/>
    <cellStyle name="20% - Accent4 2 6 4" xfId="19856" xr:uid="{00000000-0005-0000-0000-000002180000}"/>
    <cellStyle name="20% - Accent4 2 7" xfId="5696" xr:uid="{00000000-0005-0000-0000-000003180000}"/>
    <cellStyle name="20% - Accent4 2 7 2" xfId="13680" xr:uid="{00000000-0005-0000-0000-000004180000}"/>
    <cellStyle name="20% - Accent4 2 7 3" xfId="21628" xr:uid="{00000000-0005-0000-0000-000005180000}"/>
    <cellStyle name="20% - Accent4 2 8" xfId="9249" xr:uid="{00000000-0005-0000-0000-000006180000}"/>
    <cellStyle name="20% - Accent4 2 8 2" xfId="17207" xr:uid="{00000000-0005-0000-0000-000007180000}"/>
    <cellStyle name="20% - Accent4 2 8 3" xfId="25151" xr:uid="{00000000-0005-0000-0000-000008180000}"/>
    <cellStyle name="20% - Accent4 2 9" xfId="10145" xr:uid="{00000000-0005-0000-0000-000009180000}"/>
    <cellStyle name="20% - Accent4 2_Exh G" xfId="2353" xr:uid="{00000000-0005-0000-0000-00000A180000}"/>
    <cellStyle name="20% - Accent4 3" xfId="201" xr:uid="{00000000-0005-0000-0000-00000B180000}"/>
    <cellStyle name="20% - Accent4 3 10" xfId="18104" xr:uid="{00000000-0005-0000-0000-00000C180000}"/>
    <cellStyle name="20% - Accent4 3 2" xfId="202" xr:uid="{00000000-0005-0000-0000-00000D180000}"/>
    <cellStyle name="20% - Accent4 3 2 2" xfId="203" xr:uid="{00000000-0005-0000-0000-00000E180000}"/>
    <cellStyle name="20% - Accent4 3 2 2 2" xfId="1231" xr:uid="{00000000-0005-0000-0000-00000F180000}"/>
    <cellStyle name="20% - Accent4 3 2 2 2 2" xfId="4761" xr:uid="{00000000-0005-0000-0000-000010180000}"/>
    <cellStyle name="20% - Accent4 3 2 2 2 2 2" xfId="8352" xr:uid="{00000000-0005-0000-0000-000011180000}"/>
    <cellStyle name="20% - Accent4 3 2 2 2 2 2 2" xfId="16323" xr:uid="{00000000-0005-0000-0000-000012180000}"/>
    <cellStyle name="20% - Accent4 3 2 2 2 2 2 3" xfId="24269" xr:uid="{00000000-0005-0000-0000-000013180000}"/>
    <cellStyle name="20% - Accent4 3 2 2 2 2 3" xfId="12785" xr:uid="{00000000-0005-0000-0000-000014180000}"/>
    <cellStyle name="20% - Accent4 3 2 2 2 2 4" xfId="20740" xr:uid="{00000000-0005-0000-0000-000015180000}"/>
    <cellStyle name="20% - Accent4 3 2 2 2 3" xfId="6593" xr:uid="{00000000-0005-0000-0000-000016180000}"/>
    <cellStyle name="20% - Accent4 3 2 2 2 3 2" xfId="14565" xr:uid="{00000000-0005-0000-0000-000017180000}"/>
    <cellStyle name="20% - Accent4 3 2 2 2 3 3" xfId="22512" xr:uid="{00000000-0005-0000-0000-000018180000}"/>
    <cellStyle name="20% - Accent4 3 2 2 2 4" xfId="11029" xr:uid="{00000000-0005-0000-0000-000019180000}"/>
    <cellStyle name="20% - Accent4 3 2 2 2 5" xfId="18984" xr:uid="{00000000-0005-0000-0000-00001A180000}"/>
    <cellStyle name="20% - Accent4 3 2 2 2_Exh G" xfId="2368" xr:uid="{00000000-0005-0000-0000-00001B180000}"/>
    <cellStyle name="20% - Accent4 3 2 2 3" xfId="3882" xr:uid="{00000000-0005-0000-0000-00001C180000}"/>
    <cellStyle name="20% - Accent4 3 2 2 3 2" xfId="7474" xr:uid="{00000000-0005-0000-0000-00001D180000}"/>
    <cellStyle name="20% - Accent4 3 2 2 3 2 2" xfId="15445" xr:uid="{00000000-0005-0000-0000-00001E180000}"/>
    <cellStyle name="20% - Accent4 3 2 2 3 2 3" xfId="23391" xr:uid="{00000000-0005-0000-0000-00001F180000}"/>
    <cellStyle name="20% - Accent4 3 2 2 3 3" xfId="11907" xr:uid="{00000000-0005-0000-0000-000020180000}"/>
    <cellStyle name="20% - Accent4 3 2 2 3 4" xfId="19862" xr:uid="{00000000-0005-0000-0000-000021180000}"/>
    <cellStyle name="20% - Accent4 3 2 2 4" xfId="5702" xr:uid="{00000000-0005-0000-0000-000022180000}"/>
    <cellStyle name="20% - Accent4 3 2 2 4 2" xfId="13686" xr:uid="{00000000-0005-0000-0000-000023180000}"/>
    <cellStyle name="20% - Accent4 3 2 2 4 3" xfId="21634" xr:uid="{00000000-0005-0000-0000-000024180000}"/>
    <cellStyle name="20% - Accent4 3 2 2 5" xfId="9255" xr:uid="{00000000-0005-0000-0000-000025180000}"/>
    <cellStyle name="20% - Accent4 3 2 2 5 2" xfId="17213" xr:uid="{00000000-0005-0000-0000-000026180000}"/>
    <cellStyle name="20% - Accent4 3 2 2 5 3" xfId="25157" xr:uid="{00000000-0005-0000-0000-000027180000}"/>
    <cellStyle name="20% - Accent4 3 2 2 6" xfId="10151" xr:uid="{00000000-0005-0000-0000-000028180000}"/>
    <cellStyle name="20% - Accent4 3 2 2 7" xfId="18106" xr:uid="{00000000-0005-0000-0000-000029180000}"/>
    <cellStyle name="20% - Accent4 3 2 2_Exh G" xfId="2367" xr:uid="{00000000-0005-0000-0000-00002A180000}"/>
    <cellStyle name="20% - Accent4 3 2 3" xfId="902" xr:uid="{00000000-0005-0000-0000-00002B180000}"/>
    <cellStyle name="20% - Accent4 3 2 3 2" xfId="1832" xr:uid="{00000000-0005-0000-0000-00002C180000}"/>
    <cellStyle name="20% - Accent4 3 2 3 2 2" xfId="5350" xr:uid="{00000000-0005-0000-0000-00002D180000}"/>
    <cellStyle name="20% - Accent4 3 2 3 2 2 2" xfId="8941" xr:uid="{00000000-0005-0000-0000-00002E180000}"/>
    <cellStyle name="20% - Accent4 3 2 3 2 2 2 2" xfId="16912" xr:uid="{00000000-0005-0000-0000-00002F180000}"/>
    <cellStyle name="20% - Accent4 3 2 3 2 2 2 3" xfId="24858" xr:uid="{00000000-0005-0000-0000-000030180000}"/>
    <cellStyle name="20% - Accent4 3 2 3 2 2 3" xfId="13374" xr:uid="{00000000-0005-0000-0000-000031180000}"/>
    <cellStyle name="20% - Accent4 3 2 3 2 2 4" xfId="21329" xr:uid="{00000000-0005-0000-0000-000032180000}"/>
    <cellStyle name="20% - Accent4 3 2 3 2 3" xfId="7182" xr:uid="{00000000-0005-0000-0000-000033180000}"/>
    <cellStyle name="20% - Accent4 3 2 3 2 3 2" xfId="15154" xr:uid="{00000000-0005-0000-0000-000034180000}"/>
    <cellStyle name="20% - Accent4 3 2 3 2 3 3" xfId="23101" xr:uid="{00000000-0005-0000-0000-000035180000}"/>
    <cellStyle name="20% - Accent4 3 2 3 2 4" xfId="11618" xr:uid="{00000000-0005-0000-0000-000036180000}"/>
    <cellStyle name="20% - Accent4 3 2 3 2 5" xfId="19573" xr:uid="{00000000-0005-0000-0000-000037180000}"/>
    <cellStyle name="20% - Accent4 3 2 3 2_Exh G" xfId="2370" xr:uid="{00000000-0005-0000-0000-000038180000}"/>
    <cellStyle name="20% - Accent4 3 2 3 3" xfId="4471" xr:uid="{00000000-0005-0000-0000-000039180000}"/>
    <cellStyle name="20% - Accent4 3 2 3 3 2" xfId="8063" xr:uid="{00000000-0005-0000-0000-00003A180000}"/>
    <cellStyle name="20% - Accent4 3 2 3 3 2 2" xfId="16034" xr:uid="{00000000-0005-0000-0000-00003B180000}"/>
    <cellStyle name="20% - Accent4 3 2 3 3 2 3" xfId="23980" xr:uid="{00000000-0005-0000-0000-00003C180000}"/>
    <cellStyle name="20% - Accent4 3 2 3 3 3" xfId="12496" xr:uid="{00000000-0005-0000-0000-00003D180000}"/>
    <cellStyle name="20% - Accent4 3 2 3 3 4" xfId="20451" xr:uid="{00000000-0005-0000-0000-00003E180000}"/>
    <cellStyle name="20% - Accent4 3 2 3 4" xfId="6301" xr:uid="{00000000-0005-0000-0000-00003F180000}"/>
    <cellStyle name="20% - Accent4 3 2 3 4 2" xfId="14276" xr:uid="{00000000-0005-0000-0000-000040180000}"/>
    <cellStyle name="20% - Accent4 3 2 3 4 3" xfId="22223" xr:uid="{00000000-0005-0000-0000-000041180000}"/>
    <cellStyle name="20% - Accent4 3 2 3 5" xfId="9844" xr:uid="{00000000-0005-0000-0000-000042180000}"/>
    <cellStyle name="20% - Accent4 3 2 3 5 2" xfId="17802" xr:uid="{00000000-0005-0000-0000-000043180000}"/>
    <cellStyle name="20% - Accent4 3 2 3 5 3" xfId="25746" xr:uid="{00000000-0005-0000-0000-000044180000}"/>
    <cellStyle name="20% - Accent4 3 2 3 6" xfId="10740" xr:uid="{00000000-0005-0000-0000-000045180000}"/>
    <cellStyle name="20% - Accent4 3 2 3 7" xfId="18695" xr:uid="{00000000-0005-0000-0000-000046180000}"/>
    <cellStyle name="20% - Accent4 3 2 3_Exh G" xfId="2369" xr:uid="{00000000-0005-0000-0000-000047180000}"/>
    <cellStyle name="20% - Accent4 3 2 4" xfId="1230" xr:uid="{00000000-0005-0000-0000-000048180000}"/>
    <cellStyle name="20% - Accent4 3 2 4 2" xfId="4760" xr:uid="{00000000-0005-0000-0000-000049180000}"/>
    <cellStyle name="20% - Accent4 3 2 4 2 2" xfId="8351" xr:uid="{00000000-0005-0000-0000-00004A180000}"/>
    <cellStyle name="20% - Accent4 3 2 4 2 2 2" xfId="16322" xr:uid="{00000000-0005-0000-0000-00004B180000}"/>
    <cellStyle name="20% - Accent4 3 2 4 2 2 3" xfId="24268" xr:uid="{00000000-0005-0000-0000-00004C180000}"/>
    <cellStyle name="20% - Accent4 3 2 4 2 3" xfId="12784" xr:uid="{00000000-0005-0000-0000-00004D180000}"/>
    <cellStyle name="20% - Accent4 3 2 4 2 4" xfId="20739" xr:uid="{00000000-0005-0000-0000-00004E180000}"/>
    <cellStyle name="20% - Accent4 3 2 4 3" xfId="6592" xr:uid="{00000000-0005-0000-0000-00004F180000}"/>
    <cellStyle name="20% - Accent4 3 2 4 3 2" xfId="14564" xr:uid="{00000000-0005-0000-0000-000050180000}"/>
    <cellStyle name="20% - Accent4 3 2 4 3 3" xfId="22511" xr:uid="{00000000-0005-0000-0000-000051180000}"/>
    <cellStyle name="20% - Accent4 3 2 4 4" xfId="11028" xr:uid="{00000000-0005-0000-0000-000052180000}"/>
    <cellStyle name="20% - Accent4 3 2 4 5" xfId="18983" xr:uid="{00000000-0005-0000-0000-000053180000}"/>
    <cellStyle name="20% - Accent4 3 2 4_Exh G" xfId="2371" xr:uid="{00000000-0005-0000-0000-000054180000}"/>
    <cellStyle name="20% - Accent4 3 2 5" xfId="3881" xr:uid="{00000000-0005-0000-0000-000055180000}"/>
    <cellStyle name="20% - Accent4 3 2 5 2" xfId="7473" xr:uid="{00000000-0005-0000-0000-000056180000}"/>
    <cellStyle name="20% - Accent4 3 2 5 2 2" xfId="15444" xr:uid="{00000000-0005-0000-0000-000057180000}"/>
    <cellStyle name="20% - Accent4 3 2 5 2 3" xfId="23390" xr:uid="{00000000-0005-0000-0000-000058180000}"/>
    <cellStyle name="20% - Accent4 3 2 5 3" xfId="11906" xr:uid="{00000000-0005-0000-0000-000059180000}"/>
    <cellStyle name="20% - Accent4 3 2 5 4" xfId="19861" xr:uid="{00000000-0005-0000-0000-00005A180000}"/>
    <cellStyle name="20% - Accent4 3 2 6" xfId="5701" xr:uid="{00000000-0005-0000-0000-00005B180000}"/>
    <cellStyle name="20% - Accent4 3 2 6 2" xfId="13685" xr:uid="{00000000-0005-0000-0000-00005C180000}"/>
    <cellStyle name="20% - Accent4 3 2 6 3" xfId="21633" xr:uid="{00000000-0005-0000-0000-00005D180000}"/>
    <cellStyle name="20% - Accent4 3 2 7" xfId="9254" xr:uid="{00000000-0005-0000-0000-00005E180000}"/>
    <cellStyle name="20% - Accent4 3 2 7 2" xfId="17212" xr:uid="{00000000-0005-0000-0000-00005F180000}"/>
    <cellStyle name="20% - Accent4 3 2 7 3" xfId="25156" xr:uid="{00000000-0005-0000-0000-000060180000}"/>
    <cellStyle name="20% - Accent4 3 2 8" xfId="10150" xr:uid="{00000000-0005-0000-0000-000061180000}"/>
    <cellStyle name="20% - Accent4 3 2 9" xfId="18105" xr:uid="{00000000-0005-0000-0000-000062180000}"/>
    <cellStyle name="20% - Accent4 3 2_Exh G" xfId="2366" xr:uid="{00000000-0005-0000-0000-000063180000}"/>
    <cellStyle name="20% - Accent4 3 3" xfId="204" xr:uid="{00000000-0005-0000-0000-000064180000}"/>
    <cellStyle name="20% - Accent4 3 3 2" xfId="1232" xr:uid="{00000000-0005-0000-0000-000065180000}"/>
    <cellStyle name="20% - Accent4 3 3 2 2" xfId="4762" xr:uid="{00000000-0005-0000-0000-000066180000}"/>
    <cellStyle name="20% - Accent4 3 3 2 2 2" xfId="8353" xr:uid="{00000000-0005-0000-0000-000067180000}"/>
    <cellStyle name="20% - Accent4 3 3 2 2 2 2" xfId="16324" xr:uid="{00000000-0005-0000-0000-000068180000}"/>
    <cellStyle name="20% - Accent4 3 3 2 2 2 3" xfId="24270" xr:uid="{00000000-0005-0000-0000-000069180000}"/>
    <cellStyle name="20% - Accent4 3 3 2 2 3" xfId="12786" xr:uid="{00000000-0005-0000-0000-00006A180000}"/>
    <cellStyle name="20% - Accent4 3 3 2 2 4" xfId="20741" xr:uid="{00000000-0005-0000-0000-00006B180000}"/>
    <cellStyle name="20% - Accent4 3 3 2 3" xfId="6594" xr:uid="{00000000-0005-0000-0000-00006C180000}"/>
    <cellStyle name="20% - Accent4 3 3 2 3 2" xfId="14566" xr:uid="{00000000-0005-0000-0000-00006D180000}"/>
    <cellStyle name="20% - Accent4 3 3 2 3 3" xfId="22513" xr:uid="{00000000-0005-0000-0000-00006E180000}"/>
    <cellStyle name="20% - Accent4 3 3 2 4" xfId="11030" xr:uid="{00000000-0005-0000-0000-00006F180000}"/>
    <cellStyle name="20% - Accent4 3 3 2 5" xfId="18985" xr:uid="{00000000-0005-0000-0000-000070180000}"/>
    <cellStyle name="20% - Accent4 3 3 2_Exh G" xfId="2373" xr:uid="{00000000-0005-0000-0000-000071180000}"/>
    <cellStyle name="20% - Accent4 3 3 3" xfId="3883" xr:uid="{00000000-0005-0000-0000-000072180000}"/>
    <cellStyle name="20% - Accent4 3 3 3 2" xfId="7475" xr:uid="{00000000-0005-0000-0000-000073180000}"/>
    <cellStyle name="20% - Accent4 3 3 3 2 2" xfId="15446" xr:uid="{00000000-0005-0000-0000-000074180000}"/>
    <cellStyle name="20% - Accent4 3 3 3 2 3" xfId="23392" xr:uid="{00000000-0005-0000-0000-000075180000}"/>
    <cellStyle name="20% - Accent4 3 3 3 3" xfId="11908" xr:uid="{00000000-0005-0000-0000-000076180000}"/>
    <cellStyle name="20% - Accent4 3 3 3 4" xfId="19863" xr:uid="{00000000-0005-0000-0000-000077180000}"/>
    <cellStyle name="20% - Accent4 3 3 4" xfId="5703" xr:uid="{00000000-0005-0000-0000-000078180000}"/>
    <cellStyle name="20% - Accent4 3 3 4 2" xfId="13687" xr:uid="{00000000-0005-0000-0000-000079180000}"/>
    <cellStyle name="20% - Accent4 3 3 4 3" xfId="21635" xr:uid="{00000000-0005-0000-0000-00007A180000}"/>
    <cellStyle name="20% - Accent4 3 3 5" xfId="9256" xr:uid="{00000000-0005-0000-0000-00007B180000}"/>
    <cellStyle name="20% - Accent4 3 3 5 2" xfId="17214" xr:uid="{00000000-0005-0000-0000-00007C180000}"/>
    <cellStyle name="20% - Accent4 3 3 5 3" xfId="25158" xr:uid="{00000000-0005-0000-0000-00007D180000}"/>
    <cellStyle name="20% - Accent4 3 3 6" xfId="10152" xr:uid="{00000000-0005-0000-0000-00007E180000}"/>
    <cellStyle name="20% - Accent4 3 3 7" xfId="18107" xr:uid="{00000000-0005-0000-0000-00007F180000}"/>
    <cellStyle name="20% - Accent4 3 3_Exh G" xfId="2372" xr:uid="{00000000-0005-0000-0000-000080180000}"/>
    <cellStyle name="20% - Accent4 3 4" xfId="901" xr:uid="{00000000-0005-0000-0000-000081180000}"/>
    <cellStyle name="20% - Accent4 3 4 2" xfId="1831" xr:uid="{00000000-0005-0000-0000-000082180000}"/>
    <cellStyle name="20% - Accent4 3 4 2 2" xfId="5349" xr:uid="{00000000-0005-0000-0000-000083180000}"/>
    <cellStyle name="20% - Accent4 3 4 2 2 2" xfId="8940" xr:uid="{00000000-0005-0000-0000-000084180000}"/>
    <cellStyle name="20% - Accent4 3 4 2 2 2 2" xfId="16911" xr:uid="{00000000-0005-0000-0000-000085180000}"/>
    <cellStyle name="20% - Accent4 3 4 2 2 2 3" xfId="24857" xr:uid="{00000000-0005-0000-0000-000086180000}"/>
    <cellStyle name="20% - Accent4 3 4 2 2 3" xfId="13373" xr:uid="{00000000-0005-0000-0000-000087180000}"/>
    <cellStyle name="20% - Accent4 3 4 2 2 4" xfId="21328" xr:uid="{00000000-0005-0000-0000-000088180000}"/>
    <cellStyle name="20% - Accent4 3 4 2 3" xfId="7181" xr:uid="{00000000-0005-0000-0000-000089180000}"/>
    <cellStyle name="20% - Accent4 3 4 2 3 2" xfId="15153" xr:uid="{00000000-0005-0000-0000-00008A180000}"/>
    <cellStyle name="20% - Accent4 3 4 2 3 3" xfId="23100" xr:uid="{00000000-0005-0000-0000-00008B180000}"/>
    <cellStyle name="20% - Accent4 3 4 2 4" xfId="11617" xr:uid="{00000000-0005-0000-0000-00008C180000}"/>
    <cellStyle name="20% - Accent4 3 4 2 5" xfId="19572" xr:uid="{00000000-0005-0000-0000-00008D180000}"/>
    <cellStyle name="20% - Accent4 3 4 2_Exh G" xfId="2375" xr:uid="{00000000-0005-0000-0000-00008E180000}"/>
    <cellStyle name="20% - Accent4 3 4 3" xfId="4470" xr:uid="{00000000-0005-0000-0000-00008F180000}"/>
    <cellStyle name="20% - Accent4 3 4 3 2" xfId="8062" xr:uid="{00000000-0005-0000-0000-000090180000}"/>
    <cellStyle name="20% - Accent4 3 4 3 2 2" xfId="16033" xr:uid="{00000000-0005-0000-0000-000091180000}"/>
    <cellStyle name="20% - Accent4 3 4 3 2 3" xfId="23979" xr:uid="{00000000-0005-0000-0000-000092180000}"/>
    <cellStyle name="20% - Accent4 3 4 3 3" xfId="12495" xr:uid="{00000000-0005-0000-0000-000093180000}"/>
    <cellStyle name="20% - Accent4 3 4 3 4" xfId="20450" xr:uid="{00000000-0005-0000-0000-000094180000}"/>
    <cellStyle name="20% - Accent4 3 4 4" xfId="6300" xr:uid="{00000000-0005-0000-0000-000095180000}"/>
    <cellStyle name="20% - Accent4 3 4 4 2" xfId="14275" xr:uid="{00000000-0005-0000-0000-000096180000}"/>
    <cellStyle name="20% - Accent4 3 4 4 3" xfId="22222" xr:uid="{00000000-0005-0000-0000-000097180000}"/>
    <cellStyle name="20% - Accent4 3 4 5" xfId="9843" xr:uid="{00000000-0005-0000-0000-000098180000}"/>
    <cellStyle name="20% - Accent4 3 4 5 2" xfId="17801" xr:uid="{00000000-0005-0000-0000-000099180000}"/>
    <cellStyle name="20% - Accent4 3 4 5 3" xfId="25745" xr:uid="{00000000-0005-0000-0000-00009A180000}"/>
    <cellStyle name="20% - Accent4 3 4 6" xfId="10739" xr:uid="{00000000-0005-0000-0000-00009B180000}"/>
    <cellStyle name="20% - Accent4 3 4 7" xfId="18694" xr:uid="{00000000-0005-0000-0000-00009C180000}"/>
    <cellStyle name="20% - Accent4 3 4_Exh G" xfId="2374" xr:uid="{00000000-0005-0000-0000-00009D180000}"/>
    <cellStyle name="20% - Accent4 3 5" xfId="1229" xr:uid="{00000000-0005-0000-0000-00009E180000}"/>
    <cellStyle name="20% - Accent4 3 5 2" xfId="4759" xr:uid="{00000000-0005-0000-0000-00009F180000}"/>
    <cellStyle name="20% - Accent4 3 5 2 2" xfId="8350" xr:uid="{00000000-0005-0000-0000-0000A0180000}"/>
    <cellStyle name="20% - Accent4 3 5 2 2 2" xfId="16321" xr:uid="{00000000-0005-0000-0000-0000A1180000}"/>
    <cellStyle name="20% - Accent4 3 5 2 2 3" xfId="24267" xr:uid="{00000000-0005-0000-0000-0000A2180000}"/>
    <cellStyle name="20% - Accent4 3 5 2 3" xfId="12783" xr:uid="{00000000-0005-0000-0000-0000A3180000}"/>
    <cellStyle name="20% - Accent4 3 5 2 4" xfId="20738" xr:uid="{00000000-0005-0000-0000-0000A4180000}"/>
    <cellStyle name="20% - Accent4 3 5 3" xfId="6591" xr:uid="{00000000-0005-0000-0000-0000A5180000}"/>
    <cellStyle name="20% - Accent4 3 5 3 2" xfId="14563" xr:uid="{00000000-0005-0000-0000-0000A6180000}"/>
    <cellStyle name="20% - Accent4 3 5 3 3" xfId="22510" xr:uid="{00000000-0005-0000-0000-0000A7180000}"/>
    <cellStyle name="20% - Accent4 3 5 4" xfId="11027" xr:uid="{00000000-0005-0000-0000-0000A8180000}"/>
    <cellStyle name="20% - Accent4 3 5 5" xfId="18982" xr:uid="{00000000-0005-0000-0000-0000A9180000}"/>
    <cellStyle name="20% - Accent4 3 5_Exh G" xfId="2376" xr:uid="{00000000-0005-0000-0000-0000AA180000}"/>
    <cellStyle name="20% - Accent4 3 6" xfId="3880" xr:uid="{00000000-0005-0000-0000-0000AB180000}"/>
    <cellStyle name="20% - Accent4 3 6 2" xfId="7472" xr:uid="{00000000-0005-0000-0000-0000AC180000}"/>
    <cellStyle name="20% - Accent4 3 6 2 2" xfId="15443" xr:uid="{00000000-0005-0000-0000-0000AD180000}"/>
    <cellStyle name="20% - Accent4 3 6 2 3" xfId="23389" xr:uid="{00000000-0005-0000-0000-0000AE180000}"/>
    <cellStyle name="20% - Accent4 3 6 3" xfId="11905" xr:uid="{00000000-0005-0000-0000-0000AF180000}"/>
    <cellStyle name="20% - Accent4 3 6 4" xfId="19860" xr:uid="{00000000-0005-0000-0000-0000B0180000}"/>
    <cellStyle name="20% - Accent4 3 7" xfId="5700" xr:uid="{00000000-0005-0000-0000-0000B1180000}"/>
    <cellStyle name="20% - Accent4 3 7 2" xfId="13684" xr:uid="{00000000-0005-0000-0000-0000B2180000}"/>
    <cellStyle name="20% - Accent4 3 7 3" xfId="21632" xr:uid="{00000000-0005-0000-0000-0000B3180000}"/>
    <cellStyle name="20% - Accent4 3 8" xfId="9253" xr:uid="{00000000-0005-0000-0000-0000B4180000}"/>
    <cellStyle name="20% - Accent4 3 8 2" xfId="17211" xr:uid="{00000000-0005-0000-0000-0000B5180000}"/>
    <cellStyle name="20% - Accent4 3 8 3" xfId="25155" xr:uid="{00000000-0005-0000-0000-0000B6180000}"/>
    <cellStyle name="20% - Accent4 3 9" xfId="10149" xr:uid="{00000000-0005-0000-0000-0000B7180000}"/>
    <cellStyle name="20% - Accent4 3_Exh G" xfId="2365" xr:uid="{00000000-0005-0000-0000-0000B8180000}"/>
    <cellStyle name="20% - Accent4 4" xfId="205" xr:uid="{00000000-0005-0000-0000-0000B9180000}"/>
    <cellStyle name="20% - Accent4 4 10" xfId="18108" xr:uid="{00000000-0005-0000-0000-0000BA180000}"/>
    <cellStyle name="20% - Accent4 4 2" xfId="206" xr:uid="{00000000-0005-0000-0000-0000BB180000}"/>
    <cellStyle name="20% - Accent4 4 2 2" xfId="207" xr:uid="{00000000-0005-0000-0000-0000BC180000}"/>
    <cellStyle name="20% - Accent4 4 2 2 2" xfId="1235" xr:uid="{00000000-0005-0000-0000-0000BD180000}"/>
    <cellStyle name="20% - Accent4 4 2 2 2 2" xfId="4765" xr:uid="{00000000-0005-0000-0000-0000BE180000}"/>
    <cellStyle name="20% - Accent4 4 2 2 2 2 2" xfId="8356" xr:uid="{00000000-0005-0000-0000-0000BF180000}"/>
    <cellStyle name="20% - Accent4 4 2 2 2 2 2 2" xfId="16327" xr:uid="{00000000-0005-0000-0000-0000C0180000}"/>
    <cellStyle name="20% - Accent4 4 2 2 2 2 2 3" xfId="24273" xr:uid="{00000000-0005-0000-0000-0000C1180000}"/>
    <cellStyle name="20% - Accent4 4 2 2 2 2 3" xfId="12789" xr:uid="{00000000-0005-0000-0000-0000C2180000}"/>
    <cellStyle name="20% - Accent4 4 2 2 2 2 4" xfId="20744" xr:uid="{00000000-0005-0000-0000-0000C3180000}"/>
    <cellStyle name="20% - Accent4 4 2 2 2 3" xfId="6597" xr:uid="{00000000-0005-0000-0000-0000C4180000}"/>
    <cellStyle name="20% - Accent4 4 2 2 2 3 2" xfId="14569" xr:uid="{00000000-0005-0000-0000-0000C5180000}"/>
    <cellStyle name="20% - Accent4 4 2 2 2 3 3" xfId="22516" xr:uid="{00000000-0005-0000-0000-0000C6180000}"/>
    <cellStyle name="20% - Accent4 4 2 2 2 4" xfId="11033" xr:uid="{00000000-0005-0000-0000-0000C7180000}"/>
    <cellStyle name="20% - Accent4 4 2 2 2 5" xfId="18988" xr:uid="{00000000-0005-0000-0000-0000C8180000}"/>
    <cellStyle name="20% - Accent4 4 2 2 2_Exh G" xfId="2380" xr:uid="{00000000-0005-0000-0000-0000C9180000}"/>
    <cellStyle name="20% - Accent4 4 2 2 3" xfId="3886" xr:uid="{00000000-0005-0000-0000-0000CA180000}"/>
    <cellStyle name="20% - Accent4 4 2 2 3 2" xfId="7478" xr:uid="{00000000-0005-0000-0000-0000CB180000}"/>
    <cellStyle name="20% - Accent4 4 2 2 3 2 2" xfId="15449" xr:uid="{00000000-0005-0000-0000-0000CC180000}"/>
    <cellStyle name="20% - Accent4 4 2 2 3 2 3" xfId="23395" xr:uid="{00000000-0005-0000-0000-0000CD180000}"/>
    <cellStyle name="20% - Accent4 4 2 2 3 3" xfId="11911" xr:uid="{00000000-0005-0000-0000-0000CE180000}"/>
    <cellStyle name="20% - Accent4 4 2 2 3 4" xfId="19866" xr:uid="{00000000-0005-0000-0000-0000CF180000}"/>
    <cellStyle name="20% - Accent4 4 2 2 4" xfId="5706" xr:uid="{00000000-0005-0000-0000-0000D0180000}"/>
    <cellStyle name="20% - Accent4 4 2 2 4 2" xfId="13690" xr:uid="{00000000-0005-0000-0000-0000D1180000}"/>
    <cellStyle name="20% - Accent4 4 2 2 4 3" xfId="21638" xr:uid="{00000000-0005-0000-0000-0000D2180000}"/>
    <cellStyle name="20% - Accent4 4 2 2 5" xfId="9259" xr:uid="{00000000-0005-0000-0000-0000D3180000}"/>
    <cellStyle name="20% - Accent4 4 2 2 5 2" xfId="17217" xr:uid="{00000000-0005-0000-0000-0000D4180000}"/>
    <cellStyle name="20% - Accent4 4 2 2 5 3" xfId="25161" xr:uid="{00000000-0005-0000-0000-0000D5180000}"/>
    <cellStyle name="20% - Accent4 4 2 2 6" xfId="10155" xr:uid="{00000000-0005-0000-0000-0000D6180000}"/>
    <cellStyle name="20% - Accent4 4 2 2 7" xfId="18110" xr:uid="{00000000-0005-0000-0000-0000D7180000}"/>
    <cellStyle name="20% - Accent4 4 2 2_Exh G" xfId="2379" xr:uid="{00000000-0005-0000-0000-0000D8180000}"/>
    <cellStyle name="20% - Accent4 4 2 3" xfId="904" xr:uid="{00000000-0005-0000-0000-0000D9180000}"/>
    <cellStyle name="20% - Accent4 4 2 3 2" xfId="1834" xr:uid="{00000000-0005-0000-0000-0000DA180000}"/>
    <cellStyle name="20% - Accent4 4 2 3 2 2" xfId="5352" xr:uid="{00000000-0005-0000-0000-0000DB180000}"/>
    <cellStyle name="20% - Accent4 4 2 3 2 2 2" xfId="8943" xr:uid="{00000000-0005-0000-0000-0000DC180000}"/>
    <cellStyle name="20% - Accent4 4 2 3 2 2 2 2" xfId="16914" xr:uid="{00000000-0005-0000-0000-0000DD180000}"/>
    <cellStyle name="20% - Accent4 4 2 3 2 2 2 3" xfId="24860" xr:uid="{00000000-0005-0000-0000-0000DE180000}"/>
    <cellStyle name="20% - Accent4 4 2 3 2 2 3" xfId="13376" xr:uid="{00000000-0005-0000-0000-0000DF180000}"/>
    <cellStyle name="20% - Accent4 4 2 3 2 2 4" xfId="21331" xr:uid="{00000000-0005-0000-0000-0000E0180000}"/>
    <cellStyle name="20% - Accent4 4 2 3 2 3" xfId="7184" xr:uid="{00000000-0005-0000-0000-0000E1180000}"/>
    <cellStyle name="20% - Accent4 4 2 3 2 3 2" xfId="15156" xr:uid="{00000000-0005-0000-0000-0000E2180000}"/>
    <cellStyle name="20% - Accent4 4 2 3 2 3 3" xfId="23103" xr:uid="{00000000-0005-0000-0000-0000E3180000}"/>
    <cellStyle name="20% - Accent4 4 2 3 2 4" xfId="11620" xr:uid="{00000000-0005-0000-0000-0000E4180000}"/>
    <cellStyle name="20% - Accent4 4 2 3 2 5" xfId="19575" xr:uid="{00000000-0005-0000-0000-0000E5180000}"/>
    <cellStyle name="20% - Accent4 4 2 3 2_Exh G" xfId="2382" xr:uid="{00000000-0005-0000-0000-0000E6180000}"/>
    <cellStyle name="20% - Accent4 4 2 3 3" xfId="4473" xr:uid="{00000000-0005-0000-0000-0000E7180000}"/>
    <cellStyle name="20% - Accent4 4 2 3 3 2" xfId="8065" xr:uid="{00000000-0005-0000-0000-0000E8180000}"/>
    <cellStyle name="20% - Accent4 4 2 3 3 2 2" xfId="16036" xr:uid="{00000000-0005-0000-0000-0000E9180000}"/>
    <cellStyle name="20% - Accent4 4 2 3 3 2 3" xfId="23982" xr:uid="{00000000-0005-0000-0000-0000EA180000}"/>
    <cellStyle name="20% - Accent4 4 2 3 3 3" xfId="12498" xr:uid="{00000000-0005-0000-0000-0000EB180000}"/>
    <cellStyle name="20% - Accent4 4 2 3 3 4" xfId="20453" xr:uid="{00000000-0005-0000-0000-0000EC180000}"/>
    <cellStyle name="20% - Accent4 4 2 3 4" xfId="6303" xr:uid="{00000000-0005-0000-0000-0000ED180000}"/>
    <cellStyle name="20% - Accent4 4 2 3 4 2" xfId="14278" xr:uid="{00000000-0005-0000-0000-0000EE180000}"/>
    <cellStyle name="20% - Accent4 4 2 3 4 3" xfId="22225" xr:uid="{00000000-0005-0000-0000-0000EF180000}"/>
    <cellStyle name="20% - Accent4 4 2 3 5" xfId="9846" xr:uid="{00000000-0005-0000-0000-0000F0180000}"/>
    <cellStyle name="20% - Accent4 4 2 3 5 2" xfId="17804" xr:uid="{00000000-0005-0000-0000-0000F1180000}"/>
    <cellStyle name="20% - Accent4 4 2 3 5 3" xfId="25748" xr:uid="{00000000-0005-0000-0000-0000F2180000}"/>
    <cellStyle name="20% - Accent4 4 2 3 6" xfId="10742" xr:uid="{00000000-0005-0000-0000-0000F3180000}"/>
    <cellStyle name="20% - Accent4 4 2 3 7" xfId="18697" xr:uid="{00000000-0005-0000-0000-0000F4180000}"/>
    <cellStyle name="20% - Accent4 4 2 3_Exh G" xfId="2381" xr:uid="{00000000-0005-0000-0000-0000F5180000}"/>
    <cellStyle name="20% - Accent4 4 2 4" xfId="1234" xr:uid="{00000000-0005-0000-0000-0000F6180000}"/>
    <cellStyle name="20% - Accent4 4 2 4 2" xfId="4764" xr:uid="{00000000-0005-0000-0000-0000F7180000}"/>
    <cellStyle name="20% - Accent4 4 2 4 2 2" xfId="8355" xr:uid="{00000000-0005-0000-0000-0000F8180000}"/>
    <cellStyle name="20% - Accent4 4 2 4 2 2 2" xfId="16326" xr:uid="{00000000-0005-0000-0000-0000F9180000}"/>
    <cellStyle name="20% - Accent4 4 2 4 2 2 3" xfId="24272" xr:uid="{00000000-0005-0000-0000-0000FA180000}"/>
    <cellStyle name="20% - Accent4 4 2 4 2 3" xfId="12788" xr:uid="{00000000-0005-0000-0000-0000FB180000}"/>
    <cellStyle name="20% - Accent4 4 2 4 2 4" xfId="20743" xr:uid="{00000000-0005-0000-0000-0000FC180000}"/>
    <cellStyle name="20% - Accent4 4 2 4 3" xfId="6596" xr:uid="{00000000-0005-0000-0000-0000FD180000}"/>
    <cellStyle name="20% - Accent4 4 2 4 3 2" xfId="14568" xr:uid="{00000000-0005-0000-0000-0000FE180000}"/>
    <cellStyle name="20% - Accent4 4 2 4 3 3" xfId="22515" xr:uid="{00000000-0005-0000-0000-0000FF180000}"/>
    <cellStyle name="20% - Accent4 4 2 4 4" xfId="11032" xr:uid="{00000000-0005-0000-0000-000000190000}"/>
    <cellStyle name="20% - Accent4 4 2 4 5" xfId="18987" xr:uid="{00000000-0005-0000-0000-000001190000}"/>
    <cellStyle name="20% - Accent4 4 2 4_Exh G" xfId="2383" xr:uid="{00000000-0005-0000-0000-000002190000}"/>
    <cellStyle name="20% - Accent4 4 2 5" xfId="3885" xr:uid="{00000000-0005-0000-0000-000003190000}"/>
    <cellStyle name="20% - Accent4 4 2 5 2" xfId="7477" xr:uid="{00000000-0005-0000-0000-000004190000}"/>
    <cellStyle name="20% - Accent4 4 2 5 2 2" xfId="15448" xr:uid="{00000000-0005-0000-0000-000005190000}"/>
    <cellStyle name="20% - Accent4 4 2 5 2 3" xfId="23394" xr:uid="{00000000-0005-0000-0000-000006190000}"/>
    <cellStyle name="20% - Accent4 4 2 5 3" xfId="11910" xr:uid="{00000000-0005-0000-0000-000007190000}"/>
    <cellStyle name="20% - Accent4 4 2 5 4" xfId="19865" xr:uid="{00000000-0005-0000-0000-000008190000}"/>
    <cellStyle name="20% - Accent4 4 2 6" xfId="5705" xr:uid="{00000000-0005-0000-0000-000009190000}"/>
    <cellStyle name="20% - Accent4 4 2 6 2" xfId="13689" xr:uid="{00000000-0005-0000-0000-00000A190000}"/>
    <cellStyle name="20% - Accent4 4 2 6 3" xfId="21637" xr:uid="{00000000-0005-0000-0000-00000B190000}"/>
    <cellStyle name="20% - Accent4 4 2 7" xfId="9258" xr:uid="{00000000-0005-0000-0000-00000C190000}"/>
    <cellStyle name="20% - Accent4 4 2 7 2" xfId="17216" xr:uid="{00000000-0005-0000-0000-00000D190000}"/>
    <cellStyle name="20% - Accent4 4 2 7 3" xfId="25160" xr:uid="{00000000-0005-0000-0000-00000E190000}"/>
    <cellStyle name="20% - Accent4 4 2 8" xfId="10154" xr:uid="{00000000-0005-0000-0000-00000F190000}"/>
    <cellStyle name="20% - Accent4 4 2 9" xfId="18109" xr:uid="{00000000-0005-0000-0000-000010190000}"/>
    <cellStyle name="20% - Accent4 4 2_Exh G" xfId="2378" xr:uid="{00000000-0005-0000-0000-000011190000}"/>
    <cellStyle name="20% - Accent4 4 3" xfId="208" xr:uid="{00000000-0005-0000-0000-000012190000}"/>
    <cellStyle name="20% - Accent4 4 3 2" xfId="1236" xr:uid="{00000000-0005-0000-0000-000013190000}"/>
    <cellStyle name="20% - Accent4 4 3 2 2" xfId="4766" xr:uid="{00000000-0005-0000-0000-000014190000}"/>
    <cellStyle name="20% - Accent4 4 3 2 2 2" xfId="8357" xr:uid="{00000000-0005-0000-0000-000015190000}"/>
    <cellStyle name="20% - Accent4 4 3 2 2 2 2" xfId="16328" xr:uid="{00000000-0005-0000-0000-000016190000}"/>
    <cellStyle name="20% - Accent4 4 3 2 2 2 3" xfId="24274" xr:uid="{00000000-0005-0000-0000-000017190000}"/>
    <cellStyle name="20% - Accent4 4 3 2 2 3" xfId="12790" xr:uid="{00000000-0005-0000-0000-000018190000}"/>
    <cellStyle name="20% - Accent4 4 3 2 2 4" xfId="20745" xr:uid="{00000000-0005-0000-0000-000019190000}"/>
    <cellStyle name="20% - Accent4 4 3 2 3" xfId="6598" xr:uid="{00000000-0005-0000-0000-00001A190000}"/>
    <cellStyle name="20% - Accent4 4 3 2 3 2" xfId="14570" xr:uid="{00000000-0005-0000-0000-00001B190000}"/>
    <cellStyle name="20% - Accent4 4 3 2 3 3" xfId="22517" xr:uid="{00000000-0005-0000-0000-00001C190000}"/>
    <cellStyle name="20% - Accent4 4 3 2 4" xfId="11034" xr:uid="{00000000-0005-0000-0000-00001D190000}"/>
    <cellStyle name="20% - Accent4 4 3 2 5" xfId="18989" xr:uid="{00000000-0005-0000-0000-00001E190000}"/>
    <cellStyle name="20% - Accent4 4 3 2_Exh G" xfId="2385" xr:uid="{00000000-0005-0000-0000-00001F190000}"/>
    <cellStyle name="20% - Accent4 4 3 3" xfId="3887" xr:uid="{00000000-0005-0000-0000-000020190000}"/>
    <cellStyle name="20% - Accent4 4 3 3 2" xfId="7479" xr:uid="{00000000-0005-0000-0000-000021190000}"/>
    <cellStyle name="20% - Accent4 4 3 3 2 2" xfId="15450" xr:uid="{00000000-0005-0000-0000-000022190000}"/>
    <cellStyle name="20% - Accent4 4 3 3 2 3" xfId="23396" xr:uid="{00000000-0005-0000-0000-000023190000}"/>
    <cellStyle name="20% - Accent4 4 3 3 3" xfId="11912" xr:uid="{00000000-0005-0000-0000-000024190000}"/>
    <cellStyle name="20% - Accent4 4 3 3 4" xfId="19867" xr:uid="{00000000-0005-0000-0000-000025190000}"/>
    <cellStyle name="20% - Accent4 4 3 4" xfId="5707" xr:uid="{00000000-0005-0000-0000-000026190000}"/>
    <cellStyle name="20% - Accent4 4 3 4 2" xfId="13691" xr:uid="{00000000-0005-0000-0000-000027190000}"/>
    <cellStyle name="20% - Accent4 4 3 4 3" xfId="21639" xr:uid="{00000000-0005-0000-0000-000028190000}"/>
    <cellStyle name="20% - Accent4 4 3 5" xfId="9260" xr:uid="{00000000-0005-0000-0000-000029190000}"/>
    <cellStyle name="20% - Accent4 4 3 5 2" xfId="17218" xr:uid="{00000000-0005-0000-0000-00002A190000}"/>
    <cellStyle name="20% - Accent4 4 3 5 3" xfId="25162" xr:uid="{00000000-0005-0000-0000-00002B190000}"/>
    <cellStyle name="20% - Accent4 4 3 6" xfId="10156" xr:uid="{00000000-0005-0000-0000-00002C190000}"/>
    <cellStyle name="20% - Accent4 4 3 7" xfId="18111" xr:uid="{00000000-0005-0000-0000-00002D190000}"/>
    <cellStyle name="20% - Accent4 4 3_Exh G" xfId="2384" xr:uid="{00000000-0005-0000-0000-00002E190000}"/>
    <cellStyle name="20% - Accent4 4 4" xfId="903" xr:uid="{00000000-0005-0000-0000-00002F190000}"/>
    <cellStyle name="20% - Accent4 4 4 2" xfId="1833" xr:uid="{00000000-0005-0000-0000-000030190000}"/>
    <cellStyle name="20% - Accent4 4 4 2 2" xfId="5351" xr:uid="{00000000-0005-0000-0000-000031190000}"/>
    <cellStyle name="20% - Accent4 4 4 2 2 2" xfId="8942" xr:uid="{00000000-0005-0000-0000-000032190000}"/>
    <cellStyle name="20% - Accent4 4 4 2 2 2 2" xfId="16913" xr:uid="{00000000-0005-0000-0000-000033190000}"/>
    <cellStyle name="20% - Accent4 4 4 2 2 2 3" xfId="24859" xr:uid="{00000000-0005-0000-0000-000034190000}"/>
    <cellStyle name="20% - Accent4 4 4 2 2 3" xfId="13375" xr:uid="{00000000-0005-0000-0000-000035190000}"/>
    <cellStyle name="20% - Accent4 4 4 2 2 4" xfId="21330" xr:uid="{00000000-0005-0000-0000-000036190000}"/>
    <cellStyle name="20% - Accent4 4 4 2 3" xfId="7183" xr:uid="{00000000-0005-0000-0000-000037190000}"/>
    <cellStyle name="20% - Accent4 4 4 2 3 2" xfId="15155" xr:uid="{00000000-0005-0000-0000-000038190000}"/>
    <cellStyle name="20% - Accent4 4 4 2 3 3" xfId="23102" xr:uid="{00000000-0005-0000-0000-000039190000}"/>
    <cellStyle name="20% - Accent4 4 4 2 4" xfId="11619" xr:uid="{00000000-0005-0000-0000-00003A190000}"/>
    <cellStyle name="20% - Accent4 4 4 2 5" xfId="19574" xr:uid="{00000000-0005-0000-0000-00003B190000}"/>
    <cellStyle name="20% - Accent4 4 4 2_Exh G" xfId="2387" xr:uid="{00000000-0005-0000-0000-00003C190000}"/>
    <cellStyle name="20% - Accent4 4 4 3" xfId="4472" xr:uid="{00000000-0005-0000-0000-00003D190000}"/>
    <cellStyle name="20% - Accent4 4 4 3 2" xfId="8064" xr:uid="{00000000-0005-0000-0000-00003E190000}"/>
    <cellStyle name="20% - Accent4 4 4 3 2 2" xfId="16035" xr:uid="{00000000-0005-0000-0000-00003F190000}"/>
    <cellStyle name="20% - Accent4 4 4 3 2 3" xfId="23981" xr:uid="{00000000-0005-0000-0000-000040190000}"/>
    <cellStyle name="20% - Accent4 4 4 3 3" xfId="12497" xr:uid="{00000000-0005-0000-0000-000041190000}"/>
    <cellStyle name="20% - Accent4 4 4 3 4" xfId="20452" xr:uid="{00000000-0005-0000-0000-000042190000}"/>
    <cellStyle name="20% - Accent4 4 4 4" xfId="6302" xr:uid="{00000000-0005-0000-0000-000043190000}"/>
    <cellStyle name="20% - Accent4 4 4 4 2" xfId="14277" xr:uid="{00000000-0005-0000-0000-000044190000}"/>
    <cellStyle name="20% - Accent4 4 4 4 3" xfId="22224" xr:uid="{00000000-0005-0000-0000-000045190000}"/>
    <cellStyle name="20% - Accent4 4 4 5" xfId="9845" xr:uid="{00000000-0005-0000-0000-000046190000}"/>
    <cellStyle name="20% - Accent4 4 4 5 2" xfId="17803" xr:uid="{00000000-0005-0000-0000-000047190000}"/>
    <cellStyle name="20% - Accent4 4 4 5 3" xfId="25747" xr:uid="{00000000-0005-0000-0000-000048190000}"/>
    <cellStyle name="20% - Accent4 4 4 6" xfId="10741" xr:uid="{00000000-0005-0000-0000-000049190000}"/>
    <cellStyle name="20% - Accent4 4 4 7" xfId="18696" xr:uid="{00000000-0005-0000-0000-00004A190000}"/>
    <cellStyle name="20% - Accent4 4 4_Exh G" xfId="2386" xr:uid="{00000000-0005-0000-0000-00004B190000}"/>
    <cellStyle name="20% - Accent4 4 5" xfId="1233" xr:uid="{00000000-0005-0000-0000-00004C190000}"/>
    <cellStyle name="20% - Accent4 4 5 2" xfId="4763" xr:uid="{00000000-0005-0000-0000-00004D190000}"/>
    <cellStyle name="20% - Accent4 4 5 2 2" xfId="8354" xr:uid="{00000000-0005-0000-0000-00004E190000}"/>
    <cellStyle name="20% - Accent4 4 5 2 2 2" xfId="16325" xr:uid="{00000000-0005-0000-0000-00004F190000}"/>
    <cellStyle name="20% - Accent4 4 5 2 2 3" xfId="24271" xr:uid="{00000000-0005-0000-0000-000050190000}"/>
    <cellStyle name="20% - Accent4 4 5 2 3" xfId="12787" xr:uid="{00000000-0005-0000-0000-000051190000}"/>
    <cellStyle name="20% - Accent4 4 5 2 4" xfId="20742" xr:uid="{00000000-0005-0000-0000-000052190000}"/>
    <cellStyle name="20% - Accent4 4 5 3" xfId="6595" xr:uid="{00000000-0005-0000-0000-000053190000}"/>
    <cellStyle name="20% - Accent4 4 5 3 2" xfId="14567" xr:uid="{00000000-0005-0000-0000-000054190000}"/>
    <cellStyle name="20% - Accent4 4 5 3 3" xfId="22514" xr:uid="{00000000-0005-0000-0000-000055190000}"/>
    <cellStyle name="20% - Accent4 4 5 4" xfId="11031" xr:uid="{00000000-0005-0000-0000-000056190000}"/>
    <cellStyle name="20% - Accent4 4 5 5" xfId="18986" xr:uid="{00000000-0005-0000-0000-000057190000}"/>
    <cellStyle name="20% - Accent4 4 5_Exh G" xfId="2388" xr:uid="{00000000-0005-0000-0000-000058190000}"/>
    <cellStyle name="20% - Accent4 4 6" xfId="3884" xr:uid="{00000000-0005-0000-0000-000059190000}"/>
    <cellStyle name="20% - Accent4 4 6 2" xfId="7476" xr:uid="{00000000-0005-0000-0000-00005A190000}"/>
    <cellStyle name="20% - Accent4 4 6 2 2" xfId="15447" xr:uid="{00000000-0005-0000-0000-00005B190000}"/>
    <cellStyle name="20% - Accent4 4 6 2 3" xfId="23393" xr:uid="{00000000-0005-0000-0000-00005C190000}"/>
    <cellStyle name="20% - Accent4 4 6 3" xfId="11909" xr:uid="{00000000-0005-0000-0000-00005D190000}"/>
    <cellStyle name="20% - Accent4 4 6 4" xfId="19864" xr:uid="{00000000-0005-0000-0000-00005E190000}"/>
    <cellStyle name="20% - Accent4 4 7" xfId="5704" xr:uid="{00000000-0005-0000-0000-00005F190000}"/>
    <cellStyle name="20% - Accent4 4 7 2" xfId="13688" xr:uid="{00000000-0005-0000-0000-000060190000}"/>
    <cellStyle name="20% - Accent4 4 7 3" xfId="21636" xr:uid="{00000000-0005-0000-0000-000061190000}"/>
    <cellStyle name="20% - Accent4 4 8" xfId="9257" xr:uid="{00000000-0005-0000-0000-000062190000}"/>
    <cellStyle name="20% - Accent4 4 8 2" xfId="17215" xr:uid="{00000000-0005-0000-0000-000063190000}"/>
    <cellStyle name="20% - Accent4 4 8 3" xfId="25159" xr:uid="{00000000-0005-0000-0000-000064190000}"/>
    <cellStyle name="20% - Accent4 4 9" xfId="10153" xr:uid="{00000000-0005-0000-0000-000065190000}"/>
    <cellStyle name="20% - Accent4 4_Exh G" xfId="2377" xr:uid="{00000000-0005-0000-0000-000066190000}"/>
    <cellStyle name="20% - Accent4 5" xfId="209" xr:uid="{00000000-0005-0000-0000-000067190000}"/>
    <cellStyle name="20% - Accent4 5 10" xfId="18112" xr:uid="{00000000-0005-0000-0000-000068190000}"/>
    <cellStyle name="20% - Accent4 5 2" xfId="210" xr:uid="{00000000-0005-0000-0000-000069190000}"/>
    <cellStyle name="20% - Accent4 5 2 2" xfId="211" xr:uid="{00000000-0005-0000-0000-00006A190000}"/>
    <cellStyle name="20% - Accent4 5 2 2 2" xfId="1239" xr:uid="{00000000-0005-0000-0000-00006B190000}"/>
    <cellStyle name="20% - Accent4 5 2 2 2 2" xfId="4769" xr:uid="{00000000-0005-0000-0000-00006C190000}"/>
    <cellStyle name="20% - Accent4 5 2 2 2 2 2" xfId="8360" xr:uid="{00000000-0005-0000-0000-00006D190000}"/>
    <cellStyle name="20% - Accent4 5 2 2 2 2 2 2" xfId="16331" xr:uid="{00000000-0005-0000-0000-00006E190000}"/>
    <cellStyle name="20% - Accent4 5 2 2 2 2 2 3" xfId="24277" xr:uid="{00000000-0005-0000-0000-00006F190000}"/>
    <cellStyle name="20% - Accent4 5 2 2 2 2 3" xfId="12793" xr:uid="{00000000-0005-0000-0000-000070190000}"/>
    <cellStyle name="20% - Accent4 5 2 2 2 2 4" xfId="20748" xr:uid="{00000000-0005-0000-0000-000071190000}"/>
    <cellStyle name="20% - Accent4 5 2 2 2 3" xfId="6601" xr:uid="{00000000-0005-0000-0000-000072190000}"/>
    <cellStyle name="20% - Accent4 5 2 2 2 3 2" xfId="14573" xr:uid="{00000000-0005-0000-0000-000073190000}"/>
    <cellStyle name="20% - Accent4 5 2 2 2 3 3" xfId="22520" xr:uid="{00000000-0005-0000-0000-000074190000}"/>
    <cellStyle name="20% - Accent4 5 2 2 2 4" xfId="11037" xr:uid="{00000000-0005-0000-0000-000075190000}"/>
    <cellStyle name="20% - Accent4 5 2 2 2 5" xfId="18992" xr:uid="{00000000-0005-0000-0000-000076190000}"/>
    <cellStyle name="20% - Accent4 5 2 2 2_Exh G" xfId="2392" xr:uid="{00000000-0005-0000-0000-000077190000}"/>
    <cellStyle name="20% - Accent4 5 2 2 3" xfId="3890" xr:uid="{00000000-0005-0000-0000-000078190000}"/>
    <cellStyle name="20% - Accent4 5 2 2 3 2" xfId="7482" xr:uid="{00000000-0005-0000-0000-000079190000}"/>
    <cellStyle name="20% - Accent4 5 2 2 3 2 2" xfId="15453" xr:uid="{00000000-0005-0000-0000-00007A190000}"/>
    <cellStyle name="20% - Accent4 5 2 2 3 2 3" xfId="23399" xr:uid="{00000000-0005-0000-0000-00007B190000}"/>
    <cellStyle name="20% - Accent4 5 2 2 3 3" xfId="11915" xr:uid="{00000000-0005-0000-0000-00007C190000}"/>
    <cellStyle name="20% - Accent4 5 2 2 3 4" xfId="19870" xr:uid="{00000000-0005-0000-0000-00007D190000}"/>
    <cellStyle name="20% - Accent4 5 2 2 4" xfId="5710" xr:uid="{00000000-0005-0000-0000-00007E190000}"/>
    <cellStyle name="20% - Accent4 5 2 2 4 2" xfId="13694" xr:uid="{00000000-0005-0000-0000-00007F190000}"/>
    <cellStyle name="20% - Accent4 5 2 2 4 3" xfId="21642" xr:uid="{00000000-0005-0000-0000-000080190000}"/>
    <cellStyle name="20% - Accent4 5 2 2 5" xfId="9263" xr:uid="{00000000-0005-0000-0000-000081190000}"/>
    <cellStyle name="20% - Accent4 5 2 2 5 2" xfId="17221" xr:uid="{00000000-0005-0000-0000-000082190000}"/>
    <cellStyle name="20% - Accent4 5 2 2 5 3" xfId="25165" xr:uid="{00000000-0005-0000-0000-000083190000}"/>
    <cellStyle name="20% - Accent4 5 2 2 6" xfId="10159" xr:uid="{00000000-0005-0000-0000-000084190000}"/>
    <cellStyle name="20% - Accent4 5 2 2 7" xfId="18114" xr:uid="{00000000-0005-0000-0000-000085190000}"/>
    <cellStyle name="20% - Accent4 5 2 2_Exh G" xfId="2391" xr:uid="{00000000-0005-0000-0000-000086190000}"/>
    <cellStyle name="20% - Accent4 5 2 3" xfId="1238" xr:uid="{00000000-0005-0000-0000-000087190000}"/>
    <cellStyle name="20% - Accent4 5 2 3 2" xfId="4768" xr:uid="{00000000-0005-0000-0000-000088190000}"/>
    <cellStyle name="20% - Accent4 5 2 3 2 2" xfId="8359" xr:uid="{00000000-0005-0000-0000-000089190000}"/>
    <cellStyle name="20% - Accent4 5 2 3 2 2 2" xfId="16330" xr:uid="{00000000-0005-0000-0000-00008A190000}"/>
    <cellStyle name="20% - Accent4 5 2 3 2 2 3" xfId="24276" xr:uid="{00000000-0005-0000-0000-00008B190000}"/>
    <cellStyle name="20% - Accent4 5 2 3 2 3" xfId="12792" xr:uid="{00000000-0005-0000-0000-00008C190000}"/>
    <cellStyle name="20% - Accent4 5 2 3 2 4" xfId="20747" xr:uid="{00000000-0005-0000-0000-00008D190000}"/>
    <cellStyle name="20% - Accent4 5 2 3 3" xfId="6600" xr:uid="{00000000-0005-0000-0000-00008E190000}"/>
    <cellStyle name="20% - Accent4 5 2 3 3 2" xfId="14572" xr:uid="{00000000-0005-0000-0000-00008F190000}"/>
    <cellStyle name="20% - Accent4 5 2 3 3 3" xfId="22519" xr:uid="{00000000-0005-0000-0000-000090190000}"/>
    <cellStyle name="20% - Accent4 5 2 3 4" xfId="11036" xr:uid="{00000000-0005-0000-0000-000091190000}"/>
    <cellStyle name="20% - Accent4 5 2 3 5" xfId="18991" xr:uid="{00000000-0005-0000-0000-000092190000}"/>
    <cellStyle name="20% - Accent4 5 2 3_Exh G" xfId="2393" xr:uid="{00000000-0005-0000-0000-000093190000}"/>
    <cellStyle name="20% - Accent4 5 2 4" xfId="3889" xr:uid="{00000000-0005-0000-0000-000094190000}"/>
    <cellStyle name="20% - Accent4 5 2 4 2" xfId="7481" xr:uid="{00000000-0005-0000-0000-000095190000}"/>
    <cellStyle name="20% - Accent4 5 2 4 2 2" xfId="15452" xr:uid="{00000000-0005-0000-0000-000096190000}"/>
    <cellStyle name="20% - Accent4 5 2 4 2 3" xfId="23398" xr:uid="{00000000-0005-0000-0000-000097190000}"/>
    <cellStyle name="20% - Accent4 5 2 4 3" xfId="11914" xr:uid="{00000000-0005-0000-0000-000098190000}"/>
    <cellStyle name="20% - Accent4 5 2 4 4" xfId="19869" xr:uid="{00000000-0005-0000-0000-000099190000}"/>
    <cellStyle name="20% - Accent4 5 2 5" xfId="5709" xr:uid="{00000000-0005-0000-0000-00009A190000}"/>
    <cellStyle name="20% - Accent4 5 2 5 2" xfId="13693" xr:uid="{00000000-0005-0000-0000-00009B190000}"/>
    <cellStyle name="20% - Accent4 5 2 5 3" xfId="21641" xr:uid="{00000000-0005-0000-0000-00009C190000}"/>
    <cellStyle name="20% - Accent4 5 2 6" xfId="9262" xr:uid="{00000000-0005-0000-0000-00009D190000}"/>
    <cellStyle name="20% - Accent4 5 2 6 2" xfId="17220" xr:uid="{00000000-0005-0000-0000-00009E190000}"/>
    <cellStyle name="20% - Accent4 5 2 6 3" xfId="25164" xr:uid="{00000000-0005-0000-0000-00009F190000}"/>
    <cellStyle name="20% - Accent4 5 2 7" xfId="10158" xr:uid="{00000000-0005-0000-0000-0000A0190000}"/>
    <cellStyle name="20% - Accent4 5 2 8" xfId="18113" xr:uid="{00000000-0005-0000-0000-0000A1190000}"/>
    <cellStyle name="20% - Accent4 5 2_Exh G" xfId="2390" xr:uid="{00000000-0005-0000-0000-0000A2190000}"/>
    <cellStyle name="20% - Accent4 5 3" xfId="212" xr:uid="{00000000-0005-0000-0000-0000A3190000}"/>
    <cellStyle name="20% - Accent4 5 3 2" xfId="1240" xr:uid="{00000000-0005-0000-0000-0000A4190000}"/>
    <cellStyle name="20% - Accent4 5 3 2 2" xfId="4770" xr:uid="{00000000-0005-0000-0000-0000A5190000}"/>
    <cellStyle name="20% - Accent4 5 3 2 2 2" xfId="8361" xr:uid="{00000000-0005-0000-0000-0000A6190000}"/>
    <cellStyle name="20% - Accent4 5 3 2 2 2 2" xfId="16332" xr:uid="{00000000-0005-0000-0000-0000A7190000}"/>
    <cellStyle name="20% - Accent4 5 3 2 2 2 3" xfId="24278" xr:uid="{00000000-0005-0000-0000-0000A8190000}"/>
    <cellStyle name="20% - Accent4 5 3 2 2 3" xfId="12794" xr:uid="{00000000-0005-0000-0000-0000A9190000}"/>
    <cellStyle name="20% - Accent4 5 3 2 2 4" xfId="20749" xr:uid="{00000000-0005-0000-0000-0000AA190000}"/>
    <cellStyle name="20% - Accent4 5 3 2 3" xfId="6602" xr:uid="{00000000-0005-0000-0000-0000AB190000}"/>
    <cellStyle name="20% - Accent4 5 3 2 3 2" xfId="14574" xr:uid="{00000000-0005-0000-0000-0000AC190000}"/>
    <cellStyle name="20% - Accent4 5 3 2 3 3" xfId="22521" xr:uid="{00000000-0005-0000-0000-0000AD190000}"/>
    <cellStyle name="20% - Accent4 5 3 2 4" xfId="11038" xr:uid="{00000000-0005-0000-0000-0000AE190000}"/>
    <cellStyle name="20% - Accent4 5 3 2 5" xfId="18993" xr:uid="{00000000-0005-0000-0000-0000AF190000}"/>
    <cellStyle name="20% - Accent4 5 3 2_Exh G" xfId="2395" xr:uid="{00000000-0005-0000-0000-0000B0190000}"/>
    <cellStyle name="20% - Accent4 5 3 3" xfId="3891" xr:uid="{00000000-0005-0000-0000-0000B1190000}"/>
    <cellStyle name="20% - Accent4 5 3 3 2" xfId="7483" xr:uid="{00000000-0005-0000-0000-0000B2190000}"/>
    <cellStyle name="20% - Accent4 5 3 3 2 2" xfId="15454" xr:uid="{00000000-0005-0000-0000-0000B3190000}"/>
    <cellStyle name="20% - Accent4 5 3 3 2 3" xfId="23400" xr:uid="{00000000-0005-0000-0000-0000B4190000}"/>
    <cellStyle name="20% - Accent4 5 3 3 3" xfId="11916" xr:uid="{00000000-0005-0000-0000-0000B5190000}"/>
    <cellStyle name="20% - Accent4 5 3 3 4" xfId="19871" xr:uid="{00000000-0005-0000-0000-0000B6190000}"/>
    <cellStyle name="20% - Accent4 5 3 4" xfId="5711" xr:uid="{00000000-0005-0000-0000-0000B7190000}"/>
    <cellStyle name="20% - Accent4 5 3 4 2" xfId="13695" xr:uid="{00000000-0005-0000-0000-0000B8190000}"/>
    <cellStyle name="20% - Accent4 5 3 4 3" xfId="21643" xr:uid="{00000000-0005-0000-0000-0000B9190000}"/>
    <cellStyle name="20% - Accent4 5 3 5" xfId="9264" xr:uid="{00000000-0005-0000-0000-0000BA190000}"/>
    <cellStyle name="20% - Accent4 5 3 5 2" xfId="17222" xr:uid="{00000000-0005-0000-0000-0000BB190000}"/>
    <cellStyle name="20% - Accent4 5 3 5 3" xfId="25166" xr:uid="{00000000-0005-0000-0000-0000BC190000}"/>
    <cellStyle name="20% - Accent4 5 3 6" xfId="10160" xr:uid="{00000000-0005-0000-0000-0000BD190000}"/>
    <cellStyle name="20% - Accent4 5 3 7" xfId="18115" xr:uid="{00000000-0005-0000-0000-0000BE190000}"/>
    <cellStyle name="20% - Accent4 5 3_Exh G" xfId="2394" xr:uid="{00000000-0005-0000-0000-0000BF190000}"/>
    <cellStyle name="20% - Accent4 5 4" xfId="905" xr:uid="{00000000-0005-0000-0000-0000C0190000}"/>
    <cellStyle name="20% - Accent4 5 5" xfId="1237" xr:uid="{00000000-0005-0000-0000-0000C1190000}"/>
    <cellStyle name="20% - Accent4 5 5 2" xfId="4767" xr:uid="{00000000-0005-0000-0000-0000C2190000}"/>
    <cellStyle name="20% - Accent4 5 5 2 2" xfId="8358" xr:uid="{00000000-0005-0000-0000-0000C3190000}"/>
    <cellStyle name="20% - Accent4 5 5 2 2 2" xfId="16329" xr:uid="{00000000-0005-0000-0000-0000C4190000}"/>
    <cellStyle name="20% - Accent4 5 5 2 2 3" xfId="24275" xr:uid="{00000000-0005-0000-0000-0000C5190000}"/>
    <cellStyle name="20% - Accent4 5 5 2 3" xfId="12791" xr:uid="{00000000-0005-0000-0000-0000C6190000}"/>
    <cellStyle name="20% - Accent4 5 5 2 4" xfId="20746" xr:uid="{00000000-0005-0000-0000-0000C7190000}"/>
    <cellStyle name="20% - Accent4 5 5 3" xfId="6599" xr:uid="{00000000-0005-0000-0000-0000C8190000}"/>
    <cellStyle name="20% - Accent4 5 5 3 2" xfId="14571" xr:uid="{00000000-0005-0000-0000-0000C9190000}"/>
    <cellStyle name="20% - Accent4 5 5 3 3" xfId="22518" xr:uid="{00000000-0005-0000-0000-0000CA190000}"/>
    <cellStyle name="20% - Accent4 5 5 4" xfId="11035" xr:uid="{00000000-0005-0000-0000-0000CB190000}"/>
    <cellStyle name="20% - Accent4 5 5 5" xfId="18990" xr:uid="{00000000-0005-0000-0000-0000CC190000}"/>
    <cellStyle name="20% - Accent4 5 5_Exh G" xfId="2396" xr:uid="{00000000-0005-0000-0000-0000CD190000}"/>
    <cellStyle name="20% - Accent4 5 6" xfId="3888" xr:uid="{00000000-0005-0000-0000-0000CE190000}"/>
    <cellStyle name="20% - Accent4 5 6 2" xfId="7480" xr:uid="{00000000-0005-0000-0000-0000CF190000}"/>
    <cellStyle name="20% - Accent4 5 6 2 2" xfId="15451" xr:uid="{00000000-0005-0000-0000-0000D0190000}"/>
    <cellStyle name="20% - Accent4 5 6 2 3" xfId="23397" xr:uid="{00000000-0005-0000-0000-0000D1190000}"/>
    <cellStyle name="20% - Accent4 5 6 3" xfId="11913" xr:uid="{00000000-0005-0000-0000-0000D2190000}"/>
    <cellStyle name="20% - Accent4 5 6 4" xfId="19868" xr:uid="{00000000-0005-0000-0000-0000D3190000}"/>
    <cellStyle name="20% - Accent4 5 7" xfId="5708" xr:uid="{00000000-0005-0000-0000-0000D4190000}"/>
    <cellStyle name="20% - Accent4 5 7 2" xfId="13692" xr:uid="{00000000-0005-0000-0000-0000D5190000}"/>
    <cellStyle name="20% - Accent4 5 7 3" xfId="21640" xr:uid="{00000000-0005-0000-0000-0000D6190000}"/>
    <cellStyle name="20% - Accent4 5 8" xfId="9261" xr:uid="{00000000-0005-0000-0000-0000D7190000}"/>
    <cellStyle name="20% - Accent4 5 8 2" xfId="17219" xr:uid="{00000000-0005-0000-0000-0000D8190000}"/>
    <cellStyle name="20% - Accent4 5 8 3" xfId="25163" xr:uid="{00000000-0005-0000-0000-0000D9190000}"/>
    <cellStyle name="20% - Accent4 5 9" xfId="10157" xr:uid="{00000000-0005-0000-0000-0000DA190000}"/>
    <cellStyle name="20% - Accent4 5_Exh G" xfId="2389" xr:uid="{00000000-0005-0000-0000-0000DB190000}"/>
    <cellStyle name="20% - Accent4 6" xfId="213" xr:uid="{00000000-0005-0000-0000-0000DC190000}"/>
    <cellStyle name="20% - Accent4 6 10" xfId="18116" xr:uid="{00000000-0005-0000-0000-0000DD190000}"/>
    <cellStyle name="20% - Accent4 6 2" xfId="214" xr:uid="{00000000-0005-0000-0000-0000DE190000}"/>
    <cellStyle name="20% - Accent4 6 2 2" xfId="215" xr:uid="{00000000-0005-0000-0000-0000DF190000}"/>
    <cellStyle name="20% - Accent4 6 2 2 2" xfId="1243" xr:uid="{00000000-0005-0000-0000-0000E0190000}"/>
    <cellStyle name="20% - Accent4 6 2 2 2 2" xfId="4773" xr:uid="{00000000-0005-0000-0000-0000E1190000}"/>
    <cellStyle name="20% - Accent4 6 2 2 2 2 2" xfId="8364" xr:uid="{00000000-0005-0000-0000-0000E2190000}"/>
    <cellStyle name="20% - Accent4 6 2 2 2 2 2 2" xfId="16335" xr:uid="{00000000-0005-0000-0000-0000E3190000}"/>
    <cellStyle name="20% - Accent4 6 2 2 2 2 2 3" xfId="24281" xr:uid="{00000000-0005-0000-0000-0000E4190000}"/>
    <cellStyle name="20% - Accent4 6 2 2 2 2 3" xfId="12797" xr:uid="{00000000-0005-0000-0000-0000E5190000}"/>
    <cellStyle name="20% - Accent4 6 2 2 2 2 4" xfId="20752" xr:uid="{00000000-0005-0000-0000-0000E6190000}"/>
    <cellStyle name="20% - Accent4 6 2 2 2 3" xfId="6605" xr:uid="{00000000-0005-0000-0000-0000E7190000}"/>
    <cellStyle name="20% - Accent4 6 2 2 2 3 2" xfId="14577" xr:uid="{00000000-0005-0000-0000-0000E8190000}"/>
    <cellStyle name="20% - Accent4 6 2 2 2 3 3" xfId="22524" xr:uid="{00000000-0005-0000-0000-0000E9190000}"/>
    <cellStyle name="20% - Accent4 6 2 2 2 4" xfId="11041" xr:uid="{00000000-0005-0000-0000-0000EA190000}"/>
    <cellStyle name="20% - Accent4 6 2 2 2 5" xfId="18996" xr:uid="{00000000-0005-0000-0000-0000EB190000}"/>
    <cellStyle name="20% - Accent4 6 2 2 2_Exh G" xfId="2400" xr:uid="{00000000-0005-0000-0000-0000EC190000}"/>
    <cellStyle name="20% - Accent4 6 2 2 3" xfId="3894" xr:uid="{00000000-0005-0000-0000-0000ED190000}"/>
    <cellStyle name="20% - Accent4 6 2 2 3 2" xfId="7486" xr:uid="{00000000-0005-0000-0000-0000EE190000}"/>
    <cellStyle name="20% - Accent4 6 2 2 3 2 2" xfId="15457" xr:uid="{00000000-0005-0000-0000-0000EF190000}"/>
    <cellStyle name="20% - Accent4 6 2 2 3 2 3" xfId="23403" xr:uid="{00000000-0005-0000-0000-0000F0190000}"/>
    <cellStyle name="20% - Accent4 6 2 2 3 3" xfId="11919" xr:uid="{00000000-0005-0000-0000-0000F1190000}"/>
    <cellStyle name="20% - Accent4 6 2 2 3 4" xfId="19874" xr:uid="{00000000-0005-0000-0000-0000F2190000}"/>
    <cellStyle name="20% - Accent4 6 2 2 4" xfId="5714" xr:uid="{00000000-0005-0000-0000-0000F3190000}"/>
    <cellStyle name="20% - Accent4 6 2 2 4 2" xfId="13698" xr:uid="{00000000-0005-0000-0000-0000F4190000}"/>
    <cellStyle name="20% - Accent4 6 2 2 4 3" xfId="21646" xr:uid="{00000000-0005-0000-0000-0000F5190000}"/>
    <cellStyle name="20% - Accent4 6 2 2 5" xfId="9267" xr:uid="{00000000-0005-0000-0000-0000F6190000}"/>
    <cellStyle name="20% - Accent4 6 2 2 5 2" xfId="17225" xr:uid="{00000000-0005-0000-0000-0000F7190000}"/>
    <cellStyle name="20% - Accent4 6 2 2 5 3" xfId="25169" xr:uid="{00000000-0005-0000-0000-0000F8190000}"/>
    <cellStyle name="20% - Accent4 6 2 2 6" xfId="10163" xr:uid="{00000000-0005-0000-0000-0000F9190000}"/>
    <cellStyle name="20% - Accent4 6 2 2 7" xfId="18118" xr:uid="{00000000-0005-0000-0000-0000FA190000}"/>
    <cellStyle name="20% - Accent4 6 2 2_Exh G" xfId="2399" xr:uid="{00000000-0005-0000-0000-0000FB190000}"/>
    <cellStyle name="20% - Accent4 6 2 3" xfId="1242" xr:uid="{00000000-0005-0000-0000-0000FC190000}"/>
    <cellStyle name="20% - Accent4 6 2 3 2" xfId="4772" xr:uid="{00000000-0005-0000-0000-0000FD190000}"/>
    <cellStyle name="20% - Accent4 6 2 3 2 2" xfId="8363" xr:uid="{00000000-0005-0000-0000-0000FE190000}"/>
    <cellStyle name="20% - Accent4 6 2 3 2 2 2" xfId="16334" xr:uid="{00000000-0005-0000-0000-0000FF190000}"/>
    <cellStyle name="20% - Accent4 6 2 3 2 2 3" xfId="24280" xr:uid="{00000000-0005-0000-0000-0000001A0000}"/>
    <cellStyle name="20% - Accent4 6 2 3 2 3" xfId="12796" xr:uid="{00000000-0005-0000-0000-0000011A0000}"/>
    <cellStyle name="20% - Accent4 6 2 3 2 4" xfId="20751" xr:uid="{00000000-0005-0000-0000-0000021A0000}"/>
    <cellStyle name="20% - Accent4 6 2 3 3" xfId="6604" xr:uid="{00000000-0005-0000-0000-0000031A0000}"/>
    <cellStyle name="20% - Accent4 6 2 3 3 2" xfId="14576" xr:uid="{00000000-0005-0000-0000-0000041A0000}"/>
    <cellStyle name="20% - Accent4 6 2 3 3 3" xfId="22523" xr:uid="{00000000-0005-0000-0000-0000051A0000}"/>
    <cellStyle name="20% - Accent4 6 2 3 4" xfId="11040" xr:uid="{00000000-0005-0000-0000-0000061A0000}"/>
    <cellStyle name="20% - Accent4 6 2 3 5" xfId="18995" xr:uid="{00000000-0005-0000-0000-0000071A0000}"/>
    <cellStyle name="20% - Accent4 6 2 3_Exh G" xfId="2401" xr:uid="{00000000-0005-0000-0000-0000081A0000}"/>
    <cellStyle name="20% - Accent4 6 2 4" xfId="3893" xr:uid="{00000000-0005-0000-0000-0000091A0000}"/>
    <cellStyle name="20% - Accent4 6 2 4 2" xfId="7485" xr:uid="{00000000-0005-0000-0000-00000A1A0000}"/>
    <cellStyle name="20% - Accent4 6 2 4 2 2" xfId="15456" xr:uid="{00000000-0005-0000-0000-00000B1A0000}"/>
    <cellStyle name="20% - Accent4 6 2 4 2 3" xfId="23402" xr:uid="{00000000-0005-0000-0000-00000C1A0000}"/>
    <cellStyle name="20% - Accent4 6 2 4 3" xfId="11918" xr:uid="{00000000-0005-0000-0000-00000D1A0000}"/>
    <cellStyle name="20% - Accent4 6 2 4 4" xfId="19873" xr:uid="{00000000-0005-0000-0000-00000E1A0000}"/>
    <cellStyle name="20% - Accent4 6 2 5" xfId="5713" xr:uid="{00000000-0005-0000-0000-00000F1A0000}"/>
    <cellStyle name="20% - Accent4 6 2 5 2" xfId="13697" xr:uid="{00000000-0005-0000-0000-0000101A0000}"/>
    <cellStyle name="20% - Accent4 6 2 5 3" xfId="21645" xr:uid="{00000000-0005-0000-0000-0000111A0000}"/>
    <cellStyle name="20% - Accent4 6 2 6" xfId="9266" xr:uid="{00000000-0005-0000-0000-0000121A0000}"/>
    <cellStyle name="20% - Accent4 6 2 6 2" xfId="17224" xr:uid="{00000000-0005-0000-0000-0000131A0000}"/>
    <cellStyle name="20% - Accent4 6 2 6 3" xfId="25168" xr:uid="{00000000-0005-0000-0000-0000141A0000}"/>
    <cellStyle name="20% - Accent4 6 2 7" xfId="10162" xr:uid="{00000000-0005-0000-0000-0000151A0000}"/>
    <cellStyle name="20% - Accent4 6 2 8" xfId="18117" xr:uid="{00000000-0005-0000-0000-0000161A0000}"/>
    <cellStyle name="20% - Accent4 6 2_Exh G" xfId="2398" xr:uid="{00000000-0005-0000-0000-0000171A0000}"/>
    <cellStyle name="20% - Accent4 6 3" xfId="216" xr:uid="{00000000-0005-0000-0000-0000181A0000}"/>
    <cellStyle name="20% - Accent4 6 3 2" xfId="1244" xr:uid="{00000000-0005-0000-0000-0000191A0000}"/>
    <cellStyle name="20% - Accent4 6 3 2 2" xfId="4774" xr:uid="{00000000-0005-0000-0000-00001A1A0000}"/>
    <cellStyle name="20% - Accent4 6 3 2 2 2" xfId="8365" xr:uid="{00000000-0005-0000-0000-00001B1A0000}"/>
    <cellStyle name="20% - Accent4 6 3 2 2 2 2" xfId="16336" xr:uid="{00000000-0005-0000-0000-00001C1A0000}"/>
    <cellStyle name="20% - Accent4 6 3 2 2 2 3" xfId="24282" xr:uid="{00000000-0005-0000-0000-00001D1A0000}"/>
    <cellStyle name="20% - Accent4 6 3 2 2 3" xfId="12798" xr:uid="{00000000-0005-0000-0000-00001E1A0000}"/>
    <cellStyle name="20% - Accent4 6 3 2 2 4" xfId="20753" xr:uid="{00000000-0005-0000-0000-00001F1A0000}"/>
    <cellStyle name="20% - Accent4 6 3 2 3" xfId="6606" xr:uid="{00000000-0005-0000-0000-0000201A0000}"/>
    <cellStyle name="20% - Accent4 6 3 2 3 2" xfId="14578" xr:uid="{00000000-0005-0000-0000-0000211A0000}"/>
    <cellStyle name="20% - Accent4 6 3 2 3 3" xfId="22525" xr:uid="{00000000-0005-0000-0000-0000221A0000}"/>
    <cellStyle name="20% - Accent4 6 3 2 4" xfId="11042" xr:uid="{00000000-0005-0000-0000-0000231A0000}"/>
    <cellStyle name="20% - Accent4 6 3 2 5" xfId="18997" xr:uid="{00000000-0005-0000-0000-0000241A0000}"/>
    <cellStyle name="20% - Accent4 6 3 2_Exh G" xfId="2403" xr:uid="{00000000-0005-0000-0000-0000251A0000}"/>
    <cellStyle name="20% - Accent4 6 3 3" xfId="3895" xr:uid="{00000000-0005-0000-0000-0000261A0000}"/>
    <cellStyle name="20% - Accent4 6 3 3 2" xfId="7487" xr:uid="{00000000-0005-0000-0000-0000271A0000}"/>
    <cellStyle name="20% - Accent4 6 3 3 2 2" xfId="15458" xr:uid="{00000000-0005-0000-0000-0000281A0000}"/>
    <cellStyle name="20% - Accent4 6 3 3 2 3" xfId="23404" xr:uid="{00000000-0005-0000-0000-0000291A0000}"/>
    <cellStyle name="20% - Accent4 6 3 3 3" xfId="11920" xr:uid="{00000000-0005-0000-0000-00002A1A0000}"/>
    <cellStyle name="20% - Accent4 6 3 3 4" xfId="19875" xr:uid="{00000000-0005-0000-0000-00002B1A0000}"/>
    <cellStyle name="20% - Accent4 6 3 4" xfId="5715" xr:uid="{00000000-0005-0000-0000-00002C1A0000}"/>
    <cellStyle name="20% - Accent4 6 3 4 2" xfId="13699" xr:uid="{00000000-0005-0000-0000-00002D1A0000}"/>
    <cellStyle name="20% - Accent4 6 3 4 3" xfId="21647" xr:uid="{00000000-0005-0000-0000-00002E1A0000}"/>
    <cellStyle name="20% - Accent4 6 3 5" xfId="9268" xr:uid="{00000000-0005-0000-0000-00002F1A0000}"/>
    <cellStyle name="20% - Accent4 6 3 5 2" xfId="17226" xr:uid="{00000000-0005-0000-0000-0000301A0000}"/>
    <cellStyle name="20% - Accent4 6 3 5 3" xfId="25170" xr:uid="{00000000-0005-0000-0000-0000311A0000}"/>
    <cellStyle name="20% - Accent4 6 3 6" xfId="10164" xr:uid="{00000000-0005-0000-0000-0000321A0000}"/>
    <cellStyle name="20% - Accent4 6 3 7" xfId="18119" xr:uid="{00000000-0005-0000-0000-0000331A0000}"/>
    <cellStyle name="20% - Accent4 6 3_Exh G" xfId="2402" xr:uid="{00000000-0005-0000-0000-0000341A0000}"/>
    <cellStyle name="20% - Accent4 6 4" xfId="906" xr:uid="{00000000-0005-0000-0000-0000351A0000}"/>
    <cellStyle name="20% - Accent4 6 4 2" xfId="1835" xr:uid="{00000000-0005-0000-0000-0000361A0000}"/>
    <cellStyle name="20% - Accent4 6 4 2 2" xfId="5353" xr:uid="{00000000-0005-0000-0000-0000371A0000}"/>
    <cellStyle name="20% - Accent4 6 4 2 2 2" xfId="8944" xr:uid="{00000000-0005-0000-0000-0000381A0000}"/>
    <cellStyle name="20% - Accent4 6 4 2 2 2 2" xfId="16915" xr:uid="{00000000-0005-0000-0000-0000391A0000}"/>
    <cellStyle name="20% - Accent4 6 4 2 2 2 3" xfId="24861" xr:uid="{00000000-0005-0000-0000-00003A1A0000}"/>
    <cellStyle name="20% - Accent4 6 4 2 2 3" xfId="13377" xr:uid="{00000000-0005-0000-0000-00003B1A0000}"/>
    <cellStyle name="20% - Accent4 6 4 2 2 4" xfId="21332" xr:uid="{00000000-0005-0000-0000-00003C1A0000}"/>
    <cellStyle name="20% - Accent4 6 4 2 3" xfId="7185" xr:uid="{00000000-0005-0000-0000-00003D1A0000}"/>
    <cellStyle name="20% - Accent4 6 4 2 3 2" xfId="15157" xr:uid="{00000000-0005-0000-0000-00003E1A0000}"/>
    <cellStyle name="20% - Accent4 6 4 2 3 3" xfId="23104" xr:uid="{00000000-0005-0000-0000-00003F1A0000}"/>
    <cellStyle name="20% - Accent4 6 4 2 4" xfId="11621" xr:uid="{00000000-0005-0000-0000-0000401A0000}"/>
    <cellStyle name="20% - Accent4 6 4 2 5" xfId="19576" xr:uid="{00000000-0005-0000-0000-0000411A0000}"/>
    <cellStyle name="20% - Accent4 6 4 2_Exh G" xfId="2405" xr:uid="{00000000-0005-0000-0000-0000421A0000}"/>
    <cellStyle name="20% - Accent4 6 4 3" xfId="4474" xr:uid="{00000000-0005-0000-0000-0000431A0000}"/>
    <cellStyle name="20% - Accent4 6 4 3 2" xfId="8066" xr:uid="{00000000-0005-0000-0000-0000441A0000}"/>
    <cellStyle name="20% - Accent4 6 4 3 2 2" xfId="16037" xr:uid="{00000000-0005-0000-0000-0000451A0000}"/>
    <cellStyle name="20% - Accent4 6 4 3 2 3" xfId="23983" xr:uid="{00000000-0005-0000-0000-0000461A0000}"/>
    <cellStyle name="20% - Accent4 6 4 3 3" xfId="12499" xr:uid="{00000000-0005-0000-0000-0000471A0000}"/>
    <cellStyle name="20% - Accent4 6 4 3 4" xfId="20454" xr:uid="{00000000-0005-0000-0000-0000481A0000}"/>
    <cellStyle name="20% - Accent4 6 4 4" xfId="6304" xr:uid="{00000000-0005-0000-0000-0000491A0000}"/>
    <cellStyle name="20% - Accent4 6 4 4 2" xfId="14279" xr:uid="{00000000-0005-0000-0000-00004A1A0000}"/>
    <cellStyle name="20% - Accent4 6 4 4 3" xfId="22226" xr:uid="{00000000-0005-0000-0000-00004B1A0000}"/>
    <cellStyle name="20% - Accent4 6 4 5" xfId="9847" xr:uid="{00000000-0005-0000-0000-00004C1A0000}"/>
    <cellStyle name="20% - Accent4 6 4 5 2" xfId="17805" xr:uid="{00000000-0005-0000-0000-00004D1A0000}"/>
    <cellStyle name="20% - Accent4 6 4 5 3" xfId="25749" xr:uid="{00000000-0005-0000-0000-00004E1A0000}"/>
    <cellStyle name="20% - Accent4 6 4 6" xfId="10743" xr:uid="{00000000-0005-0000-0000-00004F1A0000}"/>
    <cellStyle name="20% - Accent4 6 4 7" xfId="18698" xr:uid="{00000000-0005-0000-0000-0000501A0000}"/>
    <cellStyle name="20% - Accent4 6 4_Exh G" xfId="2404" xr:uid="{00000000-0005-0000-0000-0000511A0000}"/>
    <cellStyle name="20% - Accent4 6 5" xfId="1241" xr:uid="{00000000-0005-0000-0000-0000521A0000}"/>
    <cellStyle name="20% - Accent4 6 5 2" xfId="4771" xr:uid="{00000000-0005-0000-0000-0000531A0000}"/>
    <cellStyle name="20% - Accent4 6 5 2 2" xfId="8362" xr:uid="{00000000-0005-0000-0000-0000541A0000}"/>
    <cellStyle name="20% - Accent4 6 5 2 2 2" xfId="16333" xr:uid="{00000000-0005-0000-0000-0000551A0000}"/>
    <cellStyle name="20% - Accent4 6 5 2 2 3" xfId="24279" xr:uid="{00000000-0005-0000-0000-0000561A0000}"/>
    <cellStyle name="20% - Accent4 6 5 2 3" xfId="12795" xr:uid="{00000000-0005-0000-0000-0000571A0000}"/>
    <cellStyle name="20% - Accent4 6 5 2 4" xfId="20750" xr:uid="{00000000-0005-0000-0000-0000581A0000}"/>
    <cellStyle name="20% - Accent4 6 5 3" xfId="6603" xr:uid="{00000000-0005-0000-0000-0000591A0000}"/>
    <cellStyle name="20% - Accent4 6 5 3 2" xfId="14575" xr:uid="{00000000-0005-0000-0000-00005A1A0000}"/>
    <cellStyle name="20% - Accent4 6 5 3 3" xfId="22522" xr:uid="{00000000-0005-0000-0000-00005B1A0000}"/>
    <cellStyle name="20% - Accent4 6 5 4" xfId="11039" xr:uid="{00000000-0005-0000-0000-00005C1A0000}"/>
    <cellStyle name="20% - Accent4 6 5 5" xfId="18994" xr:uid="{00000000-0005-0000-0000-00005D1A0000}"/>
    <cellStyle name="20% - Accent4 6 5_Exh G" xfId="2406" xr:uid="{00000000-0005-0000-0000-00005E1A0000}"/>
    <cellStyle name="20% - Accent4 6 6" xfId="3892" xr:uid="{00000000-0005-0000-0000-00005F1A0000}"/>
    <cellStyle name="20% - Accent4 6 6 2" xfId="7484" xr:uid="{00000000-0005-0000-0000-0000601A0000}"/>
    <cellStyle name="20% - Accent4 6 6 2 2" xfId="15455" xr:uid="{00000000-0005-0000-0000-0000611A0000}"/>
    <cellStyle name="20% - Accent4 6 6 2 3" xfId="23401" xr:uid="{00000000-0005-0000-0000-0000621A0000}"/>
    <cellStyle name="20% - Accent4 6 6 3" xfId="11917" xr:uid="{00000000-0005-0000-0000-0000631A0000}"/>
    <cellStyle name="20% - Accent4 6 6 4" xfId="19872" xr:uid="{00000000-0005-0000-0000-0000641A0000}"/>
    <cellStyle name="20% - Accent4 6 7" xfId="5712" xr:uid="{00000000-0005-0000-0000-0000651A0000}"/>
    <cellStyle name="20% - Accent4 6 7 2" xfId="13696" xr:uid="{00000000-0005-0000-0000-0000661A0000}"/>
    <cellStyle name="20% - Accent4 6 7 3" xfId="21644" xr:uid="{00000000-0005-0000-0000-0000671A0000}"/>
    <cellStyle name="20% - Accent4 6 8" xfId="9265" xr:uid="{00000000-0005-0000-0000-0000681A0000}"/>
    <cellStyle name="20% - Accent4 6 8 2" xfId="17223" xr:uid="{00000000-0005-0000-0000-0000691A0000}"/>
    <cellStyle name="20% - Accent4 6 8 3" xfId="25167" xr:uid="{00000000-0005-0000-0000-00006A1A0000}"/>
    <cellStyle name="20% - Accent4 6 9" xfId="10161" xr:uid="{00000000-0005-0000-0000-00006B1A0000}"/>
    <cellStyle name="20% - Accent4 6_Exh G" xfId="2397" xr:uid="{00000000-0005-0000-0000-00006C1A0000}"/>
    <cellStyle name="20% - Accent4 7" xfId="217" xr:uid="{00000000-0005-0000-0000-00006D1A0000}"/>
    <cellStyle name="20% - Accent4 7 10" xfId="18120" xr:uid="{00000000-0005-0000-0000-00006E1A0000}"/>
    <cellStyle name="20% - Accent4 7 2" xfId="218" xr:uid="{00000000-0005-0000-0000-00006F1A0000}"/>
    <cellStyle name="20% - Accent4 7 2 2" xfId="219" xr:uid="{00000000-0005-0000-0000-0000701A0000}"/>
    <cellStyle name="20% - Accent4 7 2 2 2" xfId="1247" xr:uid="{00000000-0005-0000-0000-0000711A0000}"/>
    <cellStyle name="20% - Accent4 7 2 2 2 2" xfId="4777" xr:uid="{00000000-0005-0000-0000-0000721A0000}"/>
    <cellStyle name="20% - Accent4 7 2 2 2 2 2" xfId="8368" xr:uid="{00000000-0005-0000-0000-0000731A0000}"/>
    <cellStyle name="20% - Accent4 7 2 2 2 2 2 2" xfId="16339" xr:uid="{00000000-0005-0000-0000-0000741A0000}"/>
    <cellStyle name="20% - Accent4 7 2 2 2 2 2 3" xfId="24285" xr:uid="{00000000-0005-0000-0000-0000751A0000}"/>
    <cellStyle name="20% - Accent4 7 2 2 2 2 3" xfId="12801" xr:uid="{00000000-0005-0000-0000-0000761A0000}"/>
    <cellStyle name="20% - Accent4 7 2 2 2 2 4" xfId="20756" xr:uid="{00000000-0005-0000-0000-0000771A0000}"/>
    <cellStyle name="20% - Accent4 7 2 2 2 3" xfId="6609" xr:uid="{00000000-0005-0000-0000-0000781A0000}"/>
    <cellStyle name="20% - Accent4 7 2 2 2 3 2" xfId="14581" xr:uid="{00000000-0005-0000-0000-0000791A0000}"/>
    <cellStyle name="20% - Accent4 7 2 2 2 3 3" xfId="22528" xr:uid="{00000000-0005-0000-0000-00007A1A0000}"/>
    <cellStyle name="20% - Accent4 7 2 2 2 4" xfId="11045" xr:uid="{00000000-0005-0000-0000-00007B1A0000}"/>
    <cellStyle name="20% - Accent4 7 2 2 2 5" xfId="19000" xr:uid="{00000000-0005-0000-0000-00007C1A0000}"/>
    <cellStyle name="20% - Accent4 7 2 2 2_Exh G" xfId="2410" xr:uid="{00000000-0005-0000-0000-00007D1A0000}"/>
    <cellStyle name="20% - Accent4 7 2 2 3" xfId="3898" xr:uid="{00000000-0005-0000-0000-00007E1A0000}"/>
    <cellStyle name="20% - Accent4 7 2 2 3 2" xfId="7490" xr:uid="{00000000-0005-0000-0000-00007F1A0000}"/>
    <cellStyle name="20% - Accent4 7 2 2 3 2 2" xfId="15461" xr:uid="{00000000-0005-0000-0000-0000801A0000}"/>
    <cellStyle name="20% - Accent4 7 2 2 3 2 3" xfId="23407" xr:uid="{00000000-0005-0000-0000-0000811A0000}"/>
    <cellStyle name="20% - Accent4 7 2 2 3 3" xfId="11923" xr:uid="{00000000-0005-0000-0000-0000821A0000}"/>
    <cellStyle name="20% - Accent4 7 2 2 3 4" xfId="19878" xr:uid="{00000000-0005-0000-0000-0000831A0000}"/>
    <cellStyle name="20% - Accent4 7 2 2 4" xfId="5718" xr:uid="{00000000-0005-0000-0000-0000841A0000}"/>
    <cellStyle name="20% - Accent4 7 2 2 4 2" xfId="13702" xr:uid="{00000000-0005-0000-0000-0000851A0000}"/>
    <cellStyle name="20% - Accent4 7 2 2 4 3" xfId="21650" xr:uid="{00000000-0005-0000-0000-0000861A0000}"/>
    <cellStyle name="20% - Accent4 7 2 2 5" xfId="9271" xr:uid="{00000000-0005-0000-0000-0000871A0000}"/>
    <cellStyle name="20% - Accent4 7 2 2 5 2" xfId="17229" xr:uid="{00000000-0005-0000-0000-0000881A0000}"/>
    <cellStyle name="20% - Accent4 7 2 2 5 3" xfId="25173" xr:uid="{00000000-0005-0000-0000-0000891A0000}"/>
    <cellStyle name="20% - Accent4 7 2 2 6" xfId="10167" xr:uid="{00000000-0005-0000-0000-00008A1A0000}"/>
    <cellStyle name="20% - Accent4 7 2 2 7" xfId="18122" xr:uid="{00000000-0005-0000-0000-00008B1A0000}"/>
    <cellStyle name="20% - Accent4 7 2 2_Exh G" xfId="2409" xr:uid="{00000000-0005-0000-0000-00008C1A0000}"/>
    <cellStyle name="20% - Accent4 7 2 3" xfId="1246" xr:uid="{00000000-0005-0000-0000-00008D1A0000}"/>
    <cellStyle name="20% - Accent4 7 2 3 2" xfId="4776" xr:uid="{00000000-0005-0000-0000-00008E1A0000}"/>
    <cellStyle name="20% - Accent4 7 2 3 2 2" xfId="8367" xr:uid="{00000000-0005-0000-0000-00008F1A0000}"/>
    <cellStyle name="20% - Accent4 7 2 3 2 2 2" xfId="16338" xr:uid="{00000000-0005-0000-0000-0000901A0000}"/>
    <cellStyle name="20% - Accent4 7 2 3 2 2 3" xfId="24284" xr:uid="{00000000-0005-0000-0000-0000911A0000}"/>
    <cellStyle name="20% - Accent4 7 2 3 2 3" xfId="12800" xr:uid="{00000000-0005-0000-0000-0000921A0000}"/>
    <cellStyle name="20% - Accent4 7 2 3 2 4" xfId="20755" xr:uid="{00000000-0005-0000-0000-0000931A0000}"/>
    <cellStyle name="20% - Accent4 7 2 3 3" xfId="6608" xr:uid="{00000000-0005-0000-0000-0000941A0000}"/>
    <cellStyle name="20% - Accent4 7 2 3 3 2" xfId="14580" xr:uid="{00000000-0005-0000-0000-0000951A0000}"/>
    <cellStyle name="20% - Accent4 7 2 3 3 3" xfId="22527" xr:uid="{00000000-0005-0000-0000-0000961A0000}"/>
    <cellStyle name="20% - Accent4 7 2 3 4" xfId="11044" xr:uid="{00000000-0005-0000-0000-0000971A0000}"/>
    <cellStyle name="20% - Accent4 7 2 3 5" xfId="18999" xr:uid="{00000000-0005-0000-0000-0000981A0000}"/>
    <cellStyle name="20% - Accent4 7 2 3_Exh G" xfId="2411" xr:uid="{00000000-0005-0000-0000-0000991A0000}"/>
    <cellStyle name="20% - Accent4 7 2 4" xfId="3897" xr:uid="{00000000-0005-0000-0000-00009A1A0000}"/>
    <cellStyle name="20% - Accent4 7 2 4 2" xfId="7489" xr:uid="{00000000-0005-0000-0000-00009B1A0000}"/>
    <cellStyle name="20% - Accent4 7 2 4 2 2" xfId="15460" xr:uid="{00000000-0005-0000-0000-00009C1A0000}"/>
    <cellStyle name="20% - Accent4 7 2 4 2 3" xfId="23406" xr:uid="{00000000-0005-0000-0000-00009D1A0000}"/>
    <cellStyle name="20% - Accent4 7 2 4 3" xfId="11922" xr:uid="{00000000-0005-0000-0000-00009E1A0000}"/>
    <cellStyle name="20% - Accent4 7 2 4 4" xfId="19877" xr:uid="{00000000-0005-0000-0000-00009F1A0000}"/>
    <cellStyle name="20% - Accent4 7 2 5" xfId="5717" xr:uid="{00000000-0005-0000-0000-0000A01A0000}"/>
    <cellStyle name="20% - Accent4 7 2 5 2" xfId="13701" xr:uid="{00000000-0005-0000-0000-0000A11A0000}"/>
    <cellStyle name="20% - Accent4 7 2 5 3" xfId="21649" xr:uid="{00000000-0005-0000-0000-0000A21A0000}"/>
    <cellStyle name="20% - Accent4 7 2 6" xfId="9270" xr:uid="{00000000-0005-0000-0000-0000A31A0000}"/>
    <cellStyle name="20% - Accent4 7 2 6 2" xfId="17228" xr:uid="{00000000-0005-0000-0000-0000A41A0000}"/>
    <cellStyle name="20% - Accent4 7 2 6 3" xfId="25172" xr:uid="{00000000-0005-0000-0000-0000A51A0000}"/>
    <cellStyle name="20% - Accent4 7 2 7" xfId="10166" xr:uid="{00000000-0005-0000-0000-0000A61A0000}"/>
    <cellStyle name="20% - Accent4 7 2 8" xfId="18121" xr:uid="{00000000-0005-0000-0000-0000A71A0000}"/>
    <cellStyle name="20% - Accent4 7 2_Exh G" xfId="2408" xr:uid="{00000000-0005-0000-0000-0000A81A0000}"/>
    <cellStyle name="20% - Accent4 7 3" xfId="220" xr:uid="{00000000-0005-0000-0000-0000A91A0000}"/>
    <cellStyle name="20% - Accent4 7 3 2" xfId="1248" xr:uid="{00000000-0005-0000-0000-0000AA1A0000}"/>
    <cellStyle name="20% - Accent4 7 3 2 2" xfId="4778" xr:uid="{00000000-0005-0000-0000-0000AB1A0000}"/>
    <cellStyle name="20% - Accent4 7 3 2 2 2" xfId="8369" xr:uid="{00000000-0005-0000-0000-0000AC1A0000}"/>
    <cellStyle name="20% - Accent4 7 3 2 2 2 2" xfId="16340" xr:uid="{00000000-0005-0000-0000-0000AD1A0000}"/>
    <cellStyle name="20% - Accent4 7 3 2 2 2 3" xfId="24286" xr:uid="{00000000-0005-0000-0000-0000AE1A0000}"/>
    <cellStyle name="20% - Accent4 7 3 2 2 3" xfId="12802" xr:uid="{00000000-0005-0000-0000-0000AF1A0000}"/>
    <cellStyle name="20% - Accent4 7 3 2 2 4" xfId="20757" xr:uid="{00000000-0005-0000-0000-0000B01A0000}"/>
    <cellStyle name="20% - Accent4 7 3 2 3" xfId="6610" xr:uid="{00000000-0005-0000-0000-0000B11A0000}"/>
    <cellStyle name="20% - Accent4 7 3 2 3 2" xfId="14582" xr:uid="{00000000-0005-0000-0000-0000B21A0000}"/>
    <cellStyle name="20% - Accent4 7 3 2 3 3" xfId="22529" xr:uid="{00000000-0005-0000-0000-0000B31A0000}"/>
    <cellStyle name="20% - Accent4 7 3 2 4" xfId="11046" xr:uid="{00000000-0005-0000-0000-0000B41A0000}"/>
    <cellStyle name="20% - Accent4 7 3 2 5" xfId="19001" xr:uid="{00000000-0005-0000-0000-0000B51A0000}"/>
    <cellStyle name="20% - Accent4 7 3 2_Exh G" xfId="2413" xr:uid="{00000000-0005-0000-0000-0000B61A0000}"/>
    <cellStyle name="20% - Accent4 7 3 3" xfId="3899" xr:uid="{00000000-0005-0000-0000-0000B71A0000}"/>
    <cellStyle name="20% - Accent4 7 3 3 2" xfId="7491" xr:uid="{00000000-0005-0000-0000-0000B81A0000}"/>
    <cellStyle name="20% - Accent4 7 3 3 2 2" xfId="15462" xr:uid="{00000000-0005-0000-0000-0000B91A0000}"/>
    <cellStyle name="20% - Accent4 7 3 3 2 3" xfId="23408" xr:uid="{00000000-0005-0000-0000-0000BA1A0000}"/>
    <cellStyle name="20% - Accent4 7 3 3 3" xfId="11924" xr:uid="{00000000-0005-0000-0000-0000BB1A0000}"/>
    <cellStyle name="20% - Accent4 7 3 3 4" xfId="19879" xr:uid="{00000000-0005-0000-0000-0000BC1A0000}"/>
    <cellStyle name="20% - Accent4 7 3 4" xfId="5719" xr:uid="{00000000-0005-0000-0000-0000BD1A0000}"/>
    <cellStyle name="20% - Accent4 7 3 4 2" xfId="13703" xr:uid="{00000000-0005-0000-0000-0000BE1A0000}"/>
    <cellStyle name="20% - Accent4 7 3 4 3" xfId="21651" xr:uid="{00000000-0005-0000-0000-0000BF1A0000}"/>
    <cellStyle name="20% - Accent4 7 3 5" xfId="9272" xr:uid="{00000000-0005-0000-0000-0000C01A0000}"/>
    <cellStyle name="20% - Accent4 7 3 5 2" xfId="17230" xr:uid="{00000000-0005-0000-0000-0000C11A0000}"/>
    <cellStyle name="20% - Accent4 7 3 5 3" xfId="25174" xr:uid="{00000000-0005-0000-0000-0000C21A0000}"/>
    <cellStyle name="20% - Accent4 7 3 6" xfId="10168" xr:uid="{00000000-0005-0000-0000-0000C31A0000}"/>
    <cellStyle name="20% - Accent4 7 3 7" xfId="18123" xr:uid="{00000000-0005-0000-0000-0000C41A0000}"/>
    <cellStyle name="20% - Accent4 7 3_Exh G" xfId="2412" xr:uid="{00000000-0005-0000-0000-0000C51A0000}"/>
    <cellStyle name="20% - Accent4 7 4" xfId="907" xr:uid="{00000000-0005-0000-0000-0000C61A0000}"/>
    <cellStyle name="20% - Accent4 7 4 2" xfId="1836" xr:uid="{00000000-0005-0000-0000-0000C71A0000}"/>
    <cellStyle name="20% - Accent4 7 4 2 2" xfId="5354" xr:uid="{00000000-0005-0000-0000-0000C81A0000}"/>
    <cellStyle name="20% - Accent4 7 4 2 2 2" xfId="8945" xr:uid="{00000000-0005-0000-0000-0000C91A0000}"/>
    <cellStyle name="20% - Accent4 7 4 2 2 2 2" xfId="16916" xr:uid="{00000000-0005-0000-0000-0000CA1A0000}"/>
    <cellStyle name="20% - Accent4 7 4 2 2 2 3" xfId="24862" xr:uid="{00000000-0005-0000-0000-0000CB1A0000}"/>
    <cellStyle name="20% - Accent4 7 4 2 2 3" xfId="13378" xr:uid="{00000000-0005-0000-0000-0000CC1A0000}"/>
    <cellStyle name="20% - Accent4 7 4 2 2 4" xfId="21333" xr:uid="{00000000-0005-0000-0000-0000CD1A0000}"/>
    <cellStyle name="20% - Accent4 7 4 2 3" xfId="7186" xr:uid="{00000000-0005-0000-0000-0000CE1A0000}"/>
    <cellStyle name="20% - Accent4 7 4 2 3 2" xfId="15158" xr:uid="{00000000-0005-0000-0000-0000CF1A0000}"/>
    <cellStyle name="20% - Accent4 7 4 2 3 3" xfId="23105" xr:uid="{00000000-0005-0000-0000-0000D01A0000}"/>
    <cellStyle name="20% - Accent4 7 4 2 4" xfId="11622" xr:uid="{00000000-0005-0000-0000-0000D11A0000}"/>
    <cellStyle name="20% - Accent4 7 4 2 5" xfId="19577" xr:uid="{00000000-0005-0000-0000-0000D21A0000}"/>
    <cellStyle name="20% - Accent4 7 4 2_Exh G" xfId="2415" xr:uid="{00000000-0005-0000-0000-0000D31A0000}"/>
    <cellStyle name="20% - Accent4 7 4 3" xfId="4475" xr:uid="{00000000-0005-0000-0000-0000D41A0000}"/>
    <cellStyle name="20% - Accent4 7 4 3 2" xfId="8067" xr:uid="{00000000-0005-0000-0000-0000D51A0000}"/>
    <cellStyle name="20% - Accent4 7 4 3 2 2" xfId="16038" xr:uid="{00000000-0005-0000-0000-0000D61A0000}"/>
    <cellStyle name="20% - Accent4 7 4 3 2 3" xfId="23984" xr:uid="{00000000-0005-0000-0000-0000D71A0000}"/>
    <cellStyle name="20% - Accent4 7 4 3 3" xfId="12500" xr:uid="{00000000-0005-0000-0000-0000D81A0000}"/>
    <cellStyle name="20% - Accent4 7 4 3 4" xfId="20455" xr:uid="{00000000-0005-0000-0000-0000D91A0000}"/>
    <cellStyle name="20% - Accent4 7 4 4" xfId="6305" xr:uid="{00000000-0005-0000-0000-0000DA1A0000}"/>
    <cellStyle name="20% - Accent4 7 4 4 2" xfId="14280" xr:uid="{00000000-0005-0000-0000-0000DB1A0000}"/>
    <cellStyle name="20% - Accent4 7 4 4 3" xfId="22227" xr:uid="{00000000-0005-0000-0000-0000DC1A0000}"/>
    <cellStyle name="20% - Accent4 7 4 5" xfId="9848" xr:uid="{00000000-0005-0000-0000-0000DD1A0000}"/>
    <cellStyle name="20% - Accent4 7 4 5 2" xfId="17806" xr:uid="{00000000-0005-0000-0000-0000DE1A0000}"/>
    <cellStyle name="20% - Accent4 7 4 5 3" xfId="25750" xr:uid="{00000000-0005-0000-0000-0000DF1A0000}"/>
    <cellStyle name="20% - Accent4 7 4 6" xfId="10744" xr:uid="{00000000-0005-0000-0000-0000E01A0000}"/>
    <cellStyle name="20% - Accent4 7 4 7" xfId="18699" xr:uid="{00000000-0005-0000-0000-0000E11A0000}"/>
    <cellStyle name="20% - Accent4 7 4_Exh G" xfId="2414" xr:uid="{00000000-0005-0000-0000-0000E21A0000}"/>
    <cellStyle name="20% - Accent4 7 5" xfId="1245" xr:uid="{00000000-0005-0000-0000-0000E31A0000}"/>
    <cellStyle name="20% - Accent4 7 5 2" xfId="4775" xr:uid="{00000000-0005-0000-0000-0000E41A0000}"/>
    <cellStyle name="20% - Accent4 7 5 2 2" xfId="8366" xr:uid="{00000000-0005-0000-0000-0000E51A0000}"/>
    <cellStyle name="20% - Accent4 7 5 2 2 2" xfId="16337" xr:uid="{00000000-0005-0000-0000-0000E61A0000}"/>
    <cellStyle name="20% - Accent4 7 5 2 2 3" xfId="24283" xr:uid="{00000000-0005-0000-0000-0000E71A0000}"/>
    <cellStyle name="20% - Accent4 7 5 2 3" xfId="12799" xr:uid="{00000000-0005-0000-0000-0000E81A0000}"/>
    <cellStyle name="20% - Accent4 7 5 2 4" xfId="20754" xr:uid="{00000000-0005-0000-0000-0000E91A0000}"/>
    <cellStyle name="20% - Accent4 7 5 3" xfId="6607" xr:uid="{00000000-0005-0000-0000-0000EA1A0000}"/>
    <cellStyle name="20% - Accent4 7 5 3 2" xfId="14579" xr:uid="{00000000-0005-0000-0000-0000EB1A0000}"/>
    <cellStyle name="20% - Accent4 7 5 3 3" xfId="22526" xr:uid="{00000000-0005-0000-0000-0000EC1A0000}"/>
    <cellStyle name="20% - Accent4 7 5 4" xfId="11043" xr:uid="{00000000-0005-0000-0000-0000ED1A0000}"/>
    <cellStyle name="20% - Accent4 7 5 5" xfId="18998" xr:uid="{00000000-0005-0000-0000-0000EE1A0000}"/>
    <cellStyle name="20% - Accent4 7 5_Exh G" xfId="2416" xr:uid="{00000000-0005-0000-0000-0000EF1A0000}"/>
    <cellStyle name="20% - Accent4 7 6" xfId="3896" xr:uid="{00000000-0005-0000-0000-0000F01A0000}"/>
    <cellStyle name="20% - Accent4 7 6 2" xfId="7488" xr:uid="{00000000-0005-0000-0000-0000F11A0000}"/>
    <cellStyle name="20% - Accent4 7 6 2 2" xfId="15459" xr:uid="{00000000-0005-0000-0000-0000F21A0000}"/>
    <cellStyle name="20% - Accent4 7 6 2 3" xfId="23405" xr:uid="{00000000-0005-0000-0000-0000F31A0000}"/>
    <cellStyle name="20% - Accent4 7 6 3" xfId="11921" xr:uid="{00000000-0005-0000-0000-0000F41A0000}"/>
    <cellStyle name="20% - Accent4 7 6 4" xfId="19876" xr:uid="{00000000-0005-0000-0000-0000F51A0000}"/>
    <cellStyle name="20% - Accent4 7 7" xfId="5716" xr:uid="{00000000-0005-0000-0000-0000F61A0000}"/>
    <cellStyle name="20% - Accent4 7 7 2" xfId="13700" xr:uid="{00000000-0005-0000-0000-0000F71A0000}"/>
    <cellStyle name="20% - Accent4 7 7 3" xfId="21648" xr:uid="{00000000-0005-0000-0000-0000F81A0000}"/>
    <cellStyle name="20% - Accent4 7 8" xfId="9269" xr:uid="{00000000-0005-0000-0000-0000F91A0000}"/>
    <cellStyle name="20% - Accent4 7 8 2" xfId="17227" xr:uid="{00000000-0005-0000-0000-0000FA1A0000}"/>
    <cellStyle name="20% - Accent4 7 8 3" xfId="25171" xr:uid="{00000000-0005-0000-0000-0000FB1A0000}"/>
    <cellStyle name="20% - Accent4 7 9" xfId="10165" xr:uid="{00000000-0005-0000-0000-0000FC1A0000}"/>
    <cellStyle name="20% - Accent4 7_Exh G" xfId="2407" xr:uid="{00000000-0005-0000-0000-0000FD1A0000}"/>
    <cellStyle name="20% - Accent4 8" xfId="221" xr:uid="{00000000-0005-0000-0000-0000FE1A0000}"/>
    <cellStyle name="20% - Accent4 8 10" xfId="18124" xr:uid="{00000000-0005-0000-0000-0000FF1A0000}"/>
    <cellStyle name="20% - Accent4 8 2" xfId="222" xr:uid="{00000000-0005-0000-0000-0000001B0000}"/>
    <cellStyle name="20% - Accent4 8 2 2" xfId="223" xr:uid="{00000000-0005-0000-0000-0000011B0000}"/>
    <cellStyle name="20% - Accent4 8 2 2 2" xfId="1251" xr:uid="{00000000-0005-0000-0000-0000021B0000}"/>
    <cellStyle name="20% - Accent4 8 2 2 2 2" xfId="4781" xr:uid="{00000000-0005-0000-0000-0000031B0000}"/>
    <cellStyle name="20% - Accent4 8 2 2 2 2 2" xfId="8372" xr:uid="{00000000-0005-0000-0000-0000041B0000}"/>
    <cellStyle name="20% - Accent4 8 2 2 2 2 2 2" xfId="16343" xr:uid="{00000000-0005-0000-0000-0000051B0000}"/>
    <cellStyle name="20% - Accent4 8 2 2 2 2 2 3" xfId="24289" xr:uid="{00000000-0005-0000-0000-0000061B0000}"/>
    <cellStyle name="20% - Accent4 8 2 2 2 2 3" xfId="12805" xr:uid="{00000000-0005-0000-0000-0000071B0000}"/>
    <cellStyle name="20% - Accent4 8 2 2 2 2 4" xfId="20760" xr:uid="{00000000-0005-0000-0000-0000081B0000}"/>
    <cellStyle name="20% - Accent4 8 2 2 2 3" xfId="6613" xr:uid="{00000000-0005-0000-0000-0000091B0000}"/>
    <cellStyle name="20% - Accent4 8 2 2 2 3 2" xfId="14585" xr:uid="{00000000-0005-0000-0000-00000A1B0000}"/>
    <cellStyle name="20% - Accent4 8 2 2 2 3 3" xfId="22532" xr:uid="{00000000-0005-0000-0000-00000B1B0000}"/>
    <cellStyle name="20% - Accent4 8 2 2 2 4" xfId="11049" xr:uid="{00000000-0005-0000-0000-00000C1B0000}"/>
    <cellStyle name="20% - Accent4 8 2 2 2 5" xfId="19004" xr:uid="{00000000-0005-0000-0000-00000D1B0000}"/>
    <cellStyle name="20% - Accent4 8 2 2 2_Exh G" xfId="2420" xr:uid="{00000000-0005-0000-0000-00000E1B0000}"/>
    <cellStyle name="20% - Accent4 8 2 2 3" xfId="3902" xr:uid="{00000000-0005-0000-0000-00000F1B0000}"/>
    <cellStyle name="20% - Accent4 8 2 2 3 2" xfId="7494" xr:uid="{00000000-0005-0000-0000-0000101B0000}"/>
    <cellStyle name="20% - Accent4 8 2 2 3 2 2" xfId="15465" xr:uid="{00000000-0005-0000-0000-0000111B0000}"/>
    <cellStyle name="20% - Accent4 8 2 2 3 2 3" xfId="23411" xr:uid="{00000000-0005-0000-0000-0000121B0000}"/>
    <cellStyle name="20% - Accent4 8 2 2 3 3" xfId="11927" xr:uid="{00000000-0005-0000-0000-0000131B0000}"/>
    <cellStyle name="20% - Accent4 8 2 2 3 4" xfId="19882" xr:uid="{00000000-0005-0000-0000-0000141B0000}"/>
    <cellStyle name="20% - Accent4 8 2 2 4" xfId="5722" xr:uid="{00000000-0005-0000-0000-0000151B0000}"/>
    <cellStyle name="20% - Accent4 8 2 2 4 2" xfId="13706" xr:uid="{00000000-0005-0000-0000-0000161B0000}"/>
    <cellStyle name="20% - Accent4 8 2 2 4 3" xfId="21654" xr:uid="{00000000-0005-0000-0000-0000171B0000}"/>
    <cellStyle name="20% - Accent4 8 2 2 5" xfId="9275" xr:uid="{00000000-0005-0000-0000-0000181B0000}"/>
    <cellStyle name="20% - Accent4 8 2 2 5 2" xfId="17233" xr:uid="{00000000-0005-0000-0000-0000191B0000}"/>
    <cellStyle name="20% - Accent4 8 2 2 5 3" xfId="25177" xr:uid="{00000000-0005-0000-0000-00001A1B0000}"/>
    <cellStyle name="20% - Accent4 8 2 2 6" xfId="10171" xr:uid="{00000000-0005-0000-0000-00001B1B0000}"/>
    <cellStyle name="20% - Accent4 8 2 2 7" xfId="18126" xr:uid="{00000000-0005-0000-0000-00001C1B0000}"/>
    <cellStyle name="20% - Accent4 8 2 2_Exh G" xfId="2419" xr:uid="{00000000-0005-0000-0000-00001D1B0000}"/>
    <cellStyle name="20% - Accent4 8 2 3" xfId="1250" xr:uid="{00000000-0005-0000-0000-00001E1B0000}"/>
    <cellStyle name="20% - Accent4 8 2 3 2" xfId="4780" xr:uid="{00000000-0005-0000-0000-00001F1B0000}"/>
    <cellStyle name="20% - Accent4 8 2 3 2 2" xfId="8371" xr:uid="{00000000-0005-0000-0000-0000201B0000}"/>
    <cellStyle name="20% - Accent4 8 2 3 2 2 2" xfId="16342" xr:uid="{00000000-0005-0000-0000-0000211B0000}"/>
    <cellStyle name="20% - Accent4 8 2 3 2 2 3" xfId="24288" xr:uid="{00000000-0005-0000-0000-0000221B0000}"/>
    <cellStyle name="20% - Accent4 8 2 3 2 3" xfId="12804" xr:uid="{00000000-0005-0000-0000-0000231B0000}"/>
    <cellStyle name="20% - Accent4 8 2 3 2 4" xfId="20759" xr:uid="{00000000-0005-0000-0000-0000241B0000}"/>
    <cellStyle name="20% - Accent4 8 2 3 3" xfId="6612" xr:uid="{00000000-0005-0000-0000-0000251B0000}"/>
    <cellStyle name="20% - Accent4 8 2 3 3 2" xfId="14584" xr:uid="{00000000-0005-0000-0000-0000261B0000}"/>
    <cellStyle name="20% - Accent4 8 2 3 3 3" xfId="22531" xr:uid="{00000000-0005-0000-0000-0000271B0000}"/>
    <cellStyle name="20% - Accent4 8 2 3 4" xfId="11048" xr:uid="{00000000-0005-0000-0000-0000281B0000}"/>
    <cellStyle name="20% - Accent4 8 2 3 5" xfId="19003" xr:uid="{00000000-0005-0000-0000-0000291B0000}"/>
    <cellStyle name="20% - Accent4 8 2 3_Exh G" xfId="2421" xr:uid="{00000000-0005-0000-0000-00002A1B0000}"/>
    <cellStyle name="20% - Accent4 8 2 4" xfId="3901" xr:uid="{00000000-0005-0000-0000-00002B1B0000}"/>
    <cellStyle name="20% - Accent4 8 2 4 2" xfId="7493" xr:uid="{00000000-0005-0000-0000-00002C1B0000}"/>
    <cellStyle name="20% - Accent4 8 2 4 2 2" xfId="15464" xr:uid="{00000000-0005-0000-0000-00002D1B0000}"/>
    <cellStyle name="20% - Accent4 8 2 4 2 3" xfId="23410" xr:uid="{00000000-0005-0000-0000-00002E1B0000}"/>
    <cellStyle name="20% - Accent4 8 2 4 3" xfId="11926" xr:uid="{00000000-0005-0000-0000-00002F1B0000}"/>
    <cellStyle name="20% - Accent4 8 2 4 4" xfId="19881" xr:uid="{00000000-0005-0000-0000-0000301B0000}"/>
    <cellStyle name="20% - Accent4 8 2 5" xfId="5721" xr:uid="{00000000-0005-0000-0000-0000311B0000}"/>
    <cellStyle name="20% - Accent4 8 2 5 2" xfId="13705" xr:uid="{00000000-0005-0000-0000-0000321B0000}"/>
    <cellStyle name="20% - Accent4 8 2 5 3" xfId="21653" xr:uid="{00000000-0005-0000-0000-0000331B0000}"/>
    <cellStyle name="20% - Accent4 8 2 6" xfId="9274" xr:uid="{00000000-0005-0000-0000-0000341B0000}"/>
    <cellStyle name="20% - Accent4 8 2 6 2" xfId="17232" xr:uid="{00000000-0005-0000-0000-0000351B0000}"/>
    <cellStyle name="20% - Accent4 8 2 6 3" xfId="25176" xr:uid="{00000000-0005-0000-0000-0000361B0000}"/>
    <cellStyle name="20% - Accent4 8 2 7" xfId="10170" xr:uid="{00000000-0005-0000-0000-0000371B0000}"/>
    <cellStyle name="20% - Accent4 8 2 8" xfId="18125" xr:uid="{00000000-0005-0000-0000-0000381B0000}"/>
    <cellStyle name="20% - Accent4 8 2_Exh G" xfId="2418" xr:uid="{00000000-0005-0000-0000-0000391B0000}"/>
    <cellStyle name="20% - Accent4 8 3" xfId="224" xr:uid="{00000000-0005-0000-0000-00003A1B0000}"/>
    <cellStyle name="20% - Accent4 8 3 2" xfId="1252" xr:uid="{00000000-0005-0000-0000-00003B1B0000}"/>
    <cellStyle name="20% - Accent4 8 3 2 2" xfId="4782" xr:uid="{00000000-0005-0000-0000-00003C1B0000}"/>
    <cellStyle name="20% - Accent4 8 3 2 2 2" xfId="8373" xr:uid="{00000000-0005-0000-0000-00003D1B0000}"/>
    <cellStyle name="20% - Accent4 8 3 2 2 2 2" xfId="16344" xr:uid="{00000000-0005-0000-0000-00003E1B0000}"/>
    <cellStyle name="20% - Accent4 8 3 2 2 2 3" xfId="24290" xr:uid="{00000000-0005-0000-0000-00003F1B0000}"/>
    <cellStyle name="20% - Accent4 8 3 2 2 3" xfId="12806" xr:uid="{00000000-0005-0000-0000-0000401B0000}"/>
    <cellStyle name="20% - Accent4 8 3 2 2 4" xfId="20761" xr:uid="{00000000-0005-0000-0000-0000411B0000}"/>
    <cellStyle name="20% - Accent4 8 3 2 3" xfId="6614" xr:uid="{00000000-0005-0000-0000-0000421B0000}"/>
    <cellStyle name="20% - Accent4 8 3 2 3 2" xfId="14586" xr:uid="{00000000-0005-0000-0000-0000431B0000}"/>
    <cellStyle name="20% - Accent4 8 3 2 3 3" xfId="22533" xr:uid="{00000000-0005-0000-0000-0000441B0000}"/>
    <cellStyle name="20% - Accent4 8 3 2 4" xfId="11050" xr:uid="{00000000-0005-0000-0000-0000451B0000}"/>
    <cellStyle name="20% - Accent4 8 3 2 5" xfId="19005" xr:uid="{00000000-0005-0000-0000-0000461B0000}"/>
    <cellStyle name="20% - Accent4 8 3 2_Exh G" xfId="2423" xr:uid="{00000000-0005-0000-0000-0000471B0000}"/>
    <cellStyle name="20% - Accent4 8 3 3" xfId="3903" xr:uid="{00000000-0005-0000-0000-0000481B0000}"/>
    <cellStyle name="20% - Accent4 8 3 3 2" xfId="7495" xr:uid="{00000000-0005-0000-0000-0000491B0000}"/>
    <cellStyle name="20% - Accent4 8 3 3 2 2" xfId="15466" xr:uid="{00000000-0005-0000-0000-00004A1B0000}"/>
    <cellStyle name="20% - Accent4 8 3 3 2 3" xfId="23412" xr:uid="{00000000-0005-0000-0000-00004B1B0000}"/>
    <cellStyle name="20% - Accent4 8 3 3 3" xfId="11928" xr:uid="{00000000-0005-0000-0000-00004C1B0000}"/>
    <cellStyle name="20% - Accent4 8 3 3 4" xfId="19883" xr:uid="{00000000-0005-0000-0000-00004D1B0000}"/>
    <cellStyle name="20% - Accent4 8 3 4" xfId="5723" xr:uid="{00000000-0005-0000-0000-00004E1B0000}"/>
    <cellStyle name="20% - Accent4 8 3 4 2" xfId="13707" xr:uid="{00000000-0005-0000-0000-00004F1B0000}"/>
    <cellStyle name="20% - Accent4 8 3 4 3" xfId="21655" xr:uid="{00000000-0005-0000-0000-0000501B0000}"/>
    <cellStyle name="20% - Accent4 8 3 5" xfId="9276" xr:uid="{00000000-0005-0000-0000-0000511B0000}"/>
    <cellStyle name="20% - Accent4 8 3 5 2" xfId="17234" xr:uid="{00000000-0005-0000-0000-0000521B0000}"/>
    <cellStyle name="20% - Accent4 8 3 5 3" xfId="25178" xr:uid="{00000000-0005-0000-0000-0000531B0000}"/>
    <cellStyle name="20% - Accent4 8 3 6" xfId="10172" xr:uid="{00000000-0005-0000-0000-0000541B0000}"/>
    <cellStyle name="20% - Accent4 8 3 7" xfId="18127" xr:uid="{00000000-0005-0000-0000-0000551B0000}"/>
    <cellStyle name="20% - Accent4 8 3_Exh G" xfId="2422" xr:uid="{00000000-0005-0000-0000-0000561B0000}"/>
    <cellStyle name="20% - Accent4 8 4" xfId="908" xr:uid="{00000000-0005-0000-0000-0000571B0000}"/>
    <cellStyle name="20% - Accent4 8 4 2" xfId="1837" xr:uid="{00000000-0005-0000-0000-0000581B0000}"/>
    <cellStyle name="20% - Accent4 8 4 2 2" xfId="5355" xr:uid="{00000000-0005-0000-0000-0000591B0000}"/>
    <cellStyle name="20% - Accent4 8 4 2 2 2" xfId="8946" xr:uid="{00000000-0005-0000-0000-00005A1B0000}"/>
    <cellStyle name="20% - Accent4 8 4 2 2 2 2" xfId="16917" xr:uid="{00000000-0005-0000-0000-00005B1B0000}"/>
    <cellStyle name="20% - Accent4 8 4 2 2 2 3" xfId="24863" xr:uid="{00000000-0005-0000-0000-00005C1B0000}"/>
    <cellStyle name="20% - Accent4 8 4 2 2 3" xfId="13379" xr:uid="{00000000-0005-0000-0000-00005D1B0000}"/>
    <cellStyle name="20% - Accent4 8 4 2 2 4" xfId="21334" xr:uid="{00000000-0005-0000-0000-00005E1B0000}"/>
    <cellStyle name="20% - Accent4 8 4 2 3" xfId="7187" xr:uid="{00000000-0005-0000-0000-00005F1B0000}"/>
    <cellStyle name="20% - Accent4 8 4 2 3 2" xfId="15159" xr:uid="{00000000-0005-0000-0000-0000601B0000}"/>
    <cellStyle name="20% - Accent4 8 4 2 3 3" xfId="23106" xr:uid="{00000000-0005-0000-0000-0000611B0000}"/>
    <cellStyle name="20% - Accent4 8 4 2 4" xfId="11623" xr:uid="{00000000-0005-0000-0000-0000621B0000}"/>
    <cellStyle name="20% - Accent4 8 4 2 5" xfId="19578" xr:uid="{00000000-0005-0000-0000-0000631B0000}"/>
    <cellStyle name="20% - Accent4 8 4 2_Exh G" xfId="2425" xr:uid="{00000000-0005-0000-0000-0000641B0000}"/>
    <cellStyle name="20% - Accent4 8 4 3" xfId="4476" xr:uid="{00000000-0005-0000-0000-0000651B0000}"/>
    <cellStyle name="20% - Accent4 8 4 3 2" xfId="8068" xr:uid="{00000000-0005-0000-0000-0000661B0000}"/>
    <cellStyle name="20% - Accent4 8 4 3 2 2" xfId="16039" xr:uid="{00000000-0005-0000-0000-0000671B0000}"/>
    <cellStyle name="20% - Accent4 8 4 3 2 3" xfId="23985" xr:uid="{00000000-0005-0000-0000-0000681B0000}"/>
    <cellStyle name="20% - Accent4 8 4 3 3" xfId="12501" xr:uid="{00000000-0005-0000-0000-0000691B0000}"/>
    <cellStyle name="20% - Accent4 8 4 3 4" xfId="20456" xr:uid="{00000000-0005-0000-0000-00006A1B0000}"/>
    <cellStyle name="20% - Accent4 8 4 4" xfId="6306" xr:uid="{00000000-0005-0000-0000-00006B1B0000}"/>
    <cellStyle name="20% - Accent4 8 4 4 2" xfId="14281" xr:uid="{00000000-0005-0000-0000-00006C1B0000}"/>
    <cellStyle name="20% - Accent4 8 4 4 3" xfId="22228" xr:uid="{00000000-0005-0000-0000-00006D1B0000}"/>
    <cellStyle name="20% - Accent4 8 4 5" xfId="9849" xr:uid="{00000000-0005-0000-0000-00006E1B0000}"/>
    <cellStyle name="20% - Accent4 8 4 5 2" xfId="17807" xr:uid="{00000000-0005-0000-0000-00006F1B0000}"/>
    <cellStyle name="20% - Accent4 8 4 5 3" xfId="25751" xr:uid="{00000000-0005-0000-0000-0000701B0000}"/>
    <cellStyle name="20% - Accent4 8 4 6" xfId="10745" xr:uid="{00000000-0005-0000-0000-0000711B0000}"/>
    <cellStyle name="20% - Accent4 8 4 7" xfId="18700" xr:uid="{00000000-0005-0000-0000-0000721B0000}"/>
    <cellStyle name="20% - Accent4 8 4_Exh G" xfId="2424" xr:uid="{00000000-0005-0000-0000-0000731B0000}"/>
    <cellStyle name="20% - Accent4 8 5" xfId="1249" xr:uid="{00000000-0005-0000-0000-0000741B0000}"/>
    <cellStyle name="20% - Accent4 8 5 2" xfId="4779" xr:uid="{00000000-0005-0000-0000-0000751B0000}"/>
    <cellStyle name="20% - Accent4 8 5 2 2" xfId="8370" xr:uid="{00000000-0005-0000-0000-0000761B0000}"/>
    <cellStyle name="20% - Accent4 8 5 2 2 2" xfId="16341" xr:uid="{00000000-0005-0000-0000-0000771B0000}"/>
    <cellStyle name="20% - Accent4 8 5 2 2 3" xfId="24287" xr:uid="{00000000-0005-0000-0000-0000781B0000}"/>
    <cellStyle name="20% - Accent4 8 5 2 3" xfId="12803" xr:uid="{00000000-0005-0000-0000-0000791B0000}"/>
    <cellStyle name="20% - Accent4 8 5 2 4" xfId="20758" xr:uid="{00000000-0005-0000-0000-00007A1B0000}"/>
    <cellStyle name="20% - Accent4 8 5 3" xfId="6611" xr:uid="{00000000-0005-0000-0000-00007B1B0000}"/>
    <cellStyle name="20% - Accent4 8 5 3 2" xfId="14583" xr:uid="{00000000-0005-0000-0000-00007C1B0000}"/>
    <cellStyle name="20% - Accent4 8 5 3 3" xfId="22530" xr:uid="{00000000-0005-0000-0000-00007D1B0000}"/>
    <cellStyle name="20% - Accent4 8 5 4" xfId="11047" xr:uid="{00000000-0005-0000-0000-00007E1B0000}"/>
    <cellStyle name="20% - Accent4 8 5 5" xfId="19002" xr:uid="{00000000-0005-0000-0000-00007F1B0000}"/>
    <cellStyle name="20% - Accent4 8 5_Exh G" xfId="2426" xr:uid="{00000000-0005-0000-0000-0000801B0000}"/>
    <cellStyle name="20% - Accent4 8 6" xfId="3900" xr:uid="{00000000-0005-0000-0000-0000811B0000}"/>
    <cellStyle name="20% - Accent4 8 6 2" xfId="7492" xr:uid="{00000000-0005-0000-0000-0000821B0000}"/>
    <cellStyle name="20% - Accent4 8 6 2 2" xfId="15463" xr:uid="{00000000-0005-0000-0000-0000831B0000}"/>
    <cellStyle name="20% - Accent4 8 6 2 3" xfId="23409" xr:uid="{00000000-0005-0000-0000-0000841B0000}"/>
    <cellStyle name="20% - Accent4 8 6 3" xfId="11925" xr:uid="{00000000-0005-0000-0000-0000851B0000}"/>
    <cellStyle name="20% - Accent4 8 6 4" xfId="19880" xr:uid="{00000000-0005-0000-0000-0000861B0000}"/>
    <cellStyle name="20% - Accent4 8 7" xfId="5720" xr:uid="{00000000-0005-0000-0000-0000871B0000}"/>
    <cellStyle name="20% - Accent4 8 7 2" xfId="13704" xr:uid="{00000000-0005-0000-0000-0000881B0000}"/>
    <cellStyle name="20% - Accent4 8 7 3" xfId="21652" xr:uid="{00000000-0005-0000-0000-0000891B0000}"/>
    <cellStyle name="20% - Accent4 8 8" xfId="9273" xr:uid="{00000000-0005-0000-0000-00008A1B0000}"/>
    <cellStyle name="20% - Accent4 8 8 2" xfId="17231" xr:uid="{00000000-0005-0000-0000-00008B1B0000}"/>
    <cellStyle name="20% - Accent4 8 8 3" xfId="25175" xr:uid="{00000000-0005-0000-0000-00008C1B0000}"/>
    <cellStyle name="20% - Accent4 8 9" xfId="10169" xr:uid="{00000000-0005-0000-0000-00008D1B0000}"/>
    <cellStyle name="20% - Accent4 8_Exh G" xfId="2417" xr:uid="{00000000-0005-0000-0000-00008E1B0000}"/>
    <cellStyle name="20% - Accent4 9" xfId="225" xr:uid="{00000000-0005-0000-0000-00008F1B0000}"/>
    <cellStyle name="20% - Accent4 9 10" xfId="18128" xr:uid="{00000000-0005-0000-0000-0000901B0000}"/>
    <cellStyle name="20% - Accent4 9 2" xfId="226" xr:uid="{00000000-0005-0000-0000-0000911B0000}"/>
    <cellStyle name="20% - Accent4 9 2 2" xfId="227" xr:uid="{00000000-0005-0000-0000-0000921B0000}"/>
    <cellStyle name="20% - Accent4 9 2 2 2" xfId="1255" xr:uid="{00000000-0005-0000-0000-0000931B0000}"/>
    <cellStyle name="20% - Accent4 9 2 2 2 2" xfId="4785" xr:uid="{00000000-0005-0000-0000-0000941B0000}"/>
    <cellStyle name="20% - Accent4 9 2 2 2 2 2" xfId="8376" xr:uid="{00000000-0005-0000-0000-0000951B0000}"/>
    <cellStyle name="20% - Accent4 9 2 2 2 2 2 2" xfId="16347" xr:uid="{00000000-0005-0000-0000-0000961B0000}"/>
    <cellStyle name="20% - Accent4 9 2 2 2 2 2 3" xfId="24293" xr:uid="{00000000-0005-0000-0000-0000971B0000}"/>
    <cellStyle name="20% - Accent4 9 2 2 2 2 3" xfId="12809" xr:uid="{00000000-0005-0000-0000-0000981B0000}"/>
    <cellStyle name="20% - Accent4 9 2 2 2 2 4" xfId="20764" xr:uid="{00000000-0005-0000-0000-0000991B0000}"/>
    <cellStyle name="20% - Accent4 9 2 2 2 3" xfId="6617" xr:uid="{00000000-0005-0000-0000-00009A1B0000}"/>
    <cellStyle name="20% - Accent4 9 2 2 2 3 2" xfId="14589" xr:uid="{00000000-0005-0000-0000-00009B1B0000}"/>
    <cellStyle name="20% - Accent4 9 2 2 2 3 3" xfId="22536" xr:uid="{00000000-0005-0000-0000-00009C1B0000}"/>
    <cellStyle name="20% - Accent4 9 2 2 2 4" xfId="11053" xr:uid="{00000000-0005-0000-0000-00009D1B0000}"/>
    <cellStyle name="20% - Accent4 9 2 2 2 5" xfId="19008" xr:uid="{00000000-0005-0000-0000-00009E1B0000}"/>
    <cellStyle name="20% - Accent4 9 2 2 2_Exh G" xfId="2430" xr:uid="{00000000-0005-0000-0000-00009F1B0000}"/>
    <cellStyle name="20% - Accent4 9 2 2 3" xfId="3906" xr:uid="{00000000-0005-0000-0000-0000A01B0000}"/>
    <cellStyle name="20% - Accent4 9 2 2 3 2" xfId="7498" xr:uid="{00000000-0005-0000-0000-0000A11B0000}"/>
    <cellStyle name="20% - Accent4 9 2 2 3 2 2" xfId="15469" xr:uid="{00000000-0005-0000-0000-0000A21B0000}"/>
    <cellStyle name="20% - Accent4 9 2 2 3 2 3" xfId="23415" xr:uid="{00000000-0005-0000-0000-0000A31B0000}"/>
    <cellStyle name="20% - Accent4 9 2 2 3 3" xfId="11931" xr:uid="{00000000-0005-0000-0000-0000A41B0000}"/>
    <cellStyle name="20% - Accent4 9 2 2 3 4" xfId="19886" xr:uid="{00000000-0005-0000-0000-0000A51B0000}"/>
    <cellStyle name="20% - Accent4 9 2 2 4" xfId="5726" xr:uid="{00000000-0005-0000-0000-0000A61B0000}"/>
    <cellStyle name="20% - Accent4 9 2 2 4 2" xfId="13710" xr:uid="{00000000-0005-0000-0000-0000A71B0000}"/>
    <cellStyle name="20% - Accent4 9 2 2 4 3" xfId="21658" xr:uid="{00000000-0005-0000-0000-0000A81B0000}"/>
    <cellStyle name="20% - Accent4 9 2 2 5" xfId="9279" xr:uid="{00000000-0005-0000-0000-0000A91B0000}"/>
    <cellStyle name="20% - Accent4 9 2 2 5 2" xfId="17237" xr:uid="{00000000-0005-0000-0000-0000AA1B0000}"/>
    <cellStyle name="20% - Accent4 9 2 2 5 3" xfId="25181" xr:uid="{00000000-0005-0000-0000-0000AB1B0000}"/>
    <cellStyle name="20% - Accent4 9 2 2 6" xfId="10175" xr:uid="{00000000-0005-0000-0000-0000AC1B0000}"/>
    <cellStyle name="20% - Accent4 9 2 2 7" xfId="18130" xr:uid="{00000000-0005-0000-0000-0000AD1B0000}"/>
    <cellStyle name="20% - Accent4 9 2 2_Exh G" xfId="2429" xr:uid="{00000000-0005-0000-0000-0000AE1B0000}"/>
    <cellStyle name="20% - Accent4 9 2 3" xfId="1254" xr:uid="{00000000-0005-0000-0000-0000AF1B0000}"/>
    <cellStyle name="20% - Accent4 9 2 3 2" xfId="4784" xr:uid="{00000000-0005-0000-0000-0000B01B0000}"/>
    <cellStyle name="20% - Accent4 9 2 3 2 2" xfId="8375" xr:uid="{00000000-0005-0000-0000-0000B11B0000}"/>
    <cellStyle name="20% - Accent4 9 2 3 2 2 2" xfId="16346" xr:uid="{00000000-0005-0000-0000-0000B21B0000}"/>
    <cellStyle name="20% - Accent4 9 2 3 2 2 3" xfId="24292" xr:uid="{00000000-0005-0000-0000-0000B31B0000}"/>
    <cellStyle name="20% - Accent4 9 2 3 2 3" xfId="12808" xr:uid="{00000000-0005-0000-0000-0000B41B0000}"/>
    <cellStyle name="20% - Accent4 9 2 3 2 4" xfId="20763" xr:uid="{00000000-0005-0000-0000-0000B51B0000}"/>
    <cellStyle name="20% - Accent4 9 2 3 3" xfId="6616" xr:uid="{00000000-0005-0000-0000-0000B61B0000}"/>
    <cellStyle name="20% - Accent4 9 2 3 3 2" xfId="14588" xr:uid="{00000000-0005-0000-0000-0000B71B0000}"/>
    <cellStyle name="20% - Accent4 9 2 3 3 3" xfId="22535" xr:uid="{00000000-0005-0000-0000-0000B81B0000}"/>
    <cellStyle name="20% - Accent4 9 2 3 4" xfId="11052" xr:uid="{00000000-0005-0000-0000-0000B91B0000}"/>
    <cellStyle name="20% - Accent4 9 2 3 5" xfId="19007" xr:uid="{00000000-0005-0000-0000-0000BA1B0000}"/>
    <cellStyle name="20% - Accent4 9 2 3_Exh G" xfId="2431" xr:uid="{00000000-0005-0000-0000-0000BB1B0000}"/>
    <cellStyle name="20% - Accent4 9 2 4" xfId="3905" xr:uid="{00000000-0005-0000-0000-0000BC1B0000}"/>
    <cellStyle name="20% - Accent4 9 2 4 2" xfId="7497" xr:uid="{00000000-0005-0000-0000-0000BD1B0000}"/>
    <cellStyle name="20% - Accent4 9 2 4 2 2" xfId="15468" xr:uid="{00000000-0005-0000-0000-0000BE1B0000}"/>
    <cellStyle name="20% - Accent4 9 2 4 2 3" xfId="23414" xr:uid="{00000000-0005-0000-0000-0000BF1B0000}"/>
    <cellStyle name="20% - Accent4 9 2 4 3" xfId="11930" xr:uid="{00000000-0005-0000-0000-0000C01B0000}"/>
    <cellStyle name="20% - Accent4 9 2 4 4" xfId="19885" xr:uid="{00000000-0005-0000-0000-0000C11B0000}"/>
    <cellStyle name="20% - Accent4 9 2 5" xfId="5725" xr:uid="{00000000-0005-0000-0000-0000C21B0000}"/>
    <cellStyle name="20% - Accent4 9 2 5 2" xfId="13709" xr:uid="{00000000-0005-0000-0000-0000C31B0000}"/>
    <cellStyle name="20% - Accent4 9 2 5 3" xfId="21657" xr:uid="{00000000-0005-0000-0000-0000C41B0000}"/>
    <cellStyle name="20% - Accent4 9 2 6" xfId="9278" xr:uid="{00000000-0005-0000-0000-0000C51B0000}"/>
    <cellStyle name="20% - Accent4 9 2 6 2" xfId="17236" xr:uid="{00000000-0005-0000-0000-0000C61B0000}"/>
    <cellStyle name="20% - Accent4 9 2 6 3" xfId="25180" xr:uid="{00000000-0005-0000-0000-0000C71B0000}"/>
    <cellStyle name="20% - Accent4 9 2 7" xfId="10174" xr:uid="{00000000-0005-0000-0000-0000C81B0000}"/>
    <cellStyle name="20% - Accent4 9 2 8" xfId="18129" xr:uid="{00000000-0005-0000-0000-0000C91B0000}"/>
    <cellStyle name="20% - Accent4 9 2_Exh G" xfId="2428" xr:uid="{00000000-0005-0000-0000-0000CA1B0000}"/>
    <cellStyle name="20% - Accent4 9 3" xfId="228" xr:uid="{00000000-0005-0000-0000-0000CB1B0000}"/>
    <cellStyle name="20% - Accent4 9 3 2" xfId="1256" xr:uid="{00000000-0005-0000-0000-0000CC1B0000}"/>
    <cellStyle name="20% - Accent4 9 3 2 2" xfId="4786" xr:uid="{00000000-0005-0000-0000-0000CD1B0000}"/>
    <cellStyle name="20% - Accent4 9 3 2 2 2" xfId="8377" xr:uid="{00000000-0005-0000-0000-0000CE1B0000}"/>
    <cellStyle name="20% - Accent4 9 3 2 2 2 2" xfId="16348" xr:uid="{00000000-0005-0000-0000-0000CF1B0000}"/>
    <cellStyle name="20% - Accent4 9 3 2 2 2 3" xfId="24294" xr:uid="{00000000-0005-0000-0000-0000D01B0000}"/>
    <cellStyle name="20% - Accent4 9 3 2 2 3" xfId="12810" xr:uid="{00000000-0005-0000-0000-0000D11B0000}"/>
    <cellStyle name="20% - Accent4 9 3 2 2 4" xfId="20765" xr:uid="{00000000-0005-0000-0000-0000D21B0000}"/>
    <cellStyle name="20% - Accent4 9 3 2 3" xfId="6618" xr:uid="{00000000-0005-0000-0000-0000D31B0000}"/>
    <cellStyle name="20% - Accent4 9 3 2 3 2" xfId="14590" xr:uid="{00000000-0005-0000-0000-0000D41B0000}"/>
    <cellStyle name="20% - Accent4 9 3 2 3 3" xfId="22537" xr:uid="{00000000-0005-0000-0000-0000D51B0000}"/>
    <cellStyle name="20% - Accent4 9 3 2 4" xfId="11054" xr:uid="{00000000-0005-0000-0000-0000D61B0000}"/>
    <cellStyle name="20% - Accent4 9 3 2 5" xfId="19009" xr:uid="{00000000-0005-0000-0000-0000D71B0000}"/>
    <cellStyle name="20% - Accent4 9 3 2_Exh G" xfId="2433" xr:uid="{00000000-0005-0000-0000-0000D81B0000}"/>
    <cellStyle name="20% - Accent4 9 3 3" xfId="3907" xr:uid="{00000000-0005-0000-0000-0000D91B0000}"/>
    <cellStyle name="20% - Accent4 9 3 3 2" xfId="7499" xr:uid="{00000000-0005-0000-0000-0000DA1B0000}"/>
    <cellStyle name="20% - Accent4 9 3 3 2 2" xfId="15470" xr:uid="{00000000-0005-0000-0000-0000DB1B0000}"/>
    <cellStyle name="20% - Accent4 9 3 3 2 3" xfId="23416" xr:uid="{00000000-0005-0000-0000-0000DC1B0000}"/>
    <cellStyle name="20% - Accent4 9 3 3 3" xfId="11932" xr:uid="{00000000-0005-0000-0000-0000DD1B0000}"/>
    <cellStyle name="20% - Accent4 9 3 3 4" xfId="19887" xr:uid="{00000000-0005-0000-0000-0000DE1B0000}"/>
    <cellStyle name="20% - Accent4 9 3 4" xfId="5727" xr:uid="{00000000-0005-0000-0000-0000DF1B0000}"/>
    <cellStyle name="20% - Accent4 9 3 4 2" xfId="13711" xr:uid="{00000000-0005-0000-0000-0000E01B0000}"/>
    <cellStyle name="20% - Accent4 9 3 4 3" xfId="21659" xr:uid="{00000000-0005-0000-0000-0000E11B0000}"/>
    <cellStyle name="20% - Accent4 9 3 5" xfId="9280" xr:uid="{00000000-0005-0000-0000-0000E21B0000}"/>
    <cellStyle name="20% - Accent4 9 3 5 2" xfId="17238" xr:uid="{00000000-0005-0000-0000-0000E31B0000}"/>
    <cellStyle name="20% - Accent4 9 3 5 3" xfId="25182" xr:uid="{00000000-0005-0000-0000-0000E41B0000}"/>
    <cellStyle name="20% - Accent4 9 3 6" xfId="10176" xr:uid="{00000000-0005-0000-0000-0000E51B0000}"/>
    <cellStyle name="20% - Accent4 9 3 7" xfId="18131" xr:uid="{00000000-0005-0000-0000-0000E61B0000}"/>
    <cellStyle name="20% - Accent4 9 3_Exh G" xfId="2432" xr:uid="{00000000-0005-0000-0000-0000E71B0000}"/>
    <cellStyle name="20% - Accent4 9 4" xfId="909" xr:uid="{00000000-0005-0000-0000-0000E81B0000}"/>
    <cellStyle name="20% - Accent4 9 4 2" xfId="1838" xr:uid="{00000000-0005-0000-0000-0000E91B0000}"/>
    <cellStyle name="20% - Accent4 9 4 2 2" xfId="5356" xr:uid="{00000000-0005-0000-0000-0000EA1B0000}"/>
    <cellStyle name="20% - Accent4 9 4 2 2 2" xfId="8947" xr:uid="{00000000-0005-0000-0000-0000EB1B0000}"/>
    <cellStyle name="20% - Accent4 9 4 2 2 2 2" xfId="16918" xr:uid="{00000000-0005-0000-0000-0000EC1B0000}"/>
    <cellStyle name="20% - Accent4 9 4 2 2 2 3" xfId="24864" xr:uid="{00000000-0005-0000-0000-0000ED1B0000}"/>
    <cellStyle name="20% - Accent4 9 4 2 2 3" xfId="13380" xr:uid="{00000000-0005-0000-0000-0000EE1B0000}"/>
    <cellStyle name="20% - Accent4 9 4 2 2 4" xfId="21335" xr:uid="{00000000-0005-0000-0000-0000EF1B0000}"/>
    <cellStyle name="20% - Accent4 9 4 2 3" xfId="7188" xr:uid="{00000000-0005-0000-0000-0000F01B0000}"/>
    <cellStyle name="20% - Accent4 9 4 2 3 2" xfId="15160" xr:uid="{00000000-0005-0000-0000-0000F11B0000}"/>
    <cellStyle name="20% - Accent4 9 4 2 3 3" xfId="23107" xr:uid="{00000000-0005-0000-0000-0000F21B0000}"/>
    <cellStyle name="20% - Accent4 9 4 2 4" xfId="11624" xr:uid="{00000000-0005-0000-0000-0000F31B0000}"/>
    <cellStyle name="20% - Accent4 9 4 2 5" xfId="19579" xr:uid="{00000000-0005-0000-0000-0000F41B0000}"/>
    <cellStyle name="20% - Accent4 9 4 2_Exh G" xfId="2435" xr:uid="{00000000-0005-0000-0000-0000F51B0000}"/>
    <cellStyle name="20% - Accent4 9 4 3" xfId="4477" xr:uid="{00000000-0005-0000-0000-0000F61B0000}"/>
    <cellStyle name="20% - Accent4 9 4 3 2" xfId="8069" xr:uid="{00000000-0005-0000-0000-0000F71B0000}"/>
    <cellStyle name="20% - Accent4 9 4 3 2 2" xfId="16040" xr:uid="{00000000-0005-0000-0000-0000F81B0000}"/>
    <cellStyle name="20% - Accent4 9 4 3 2 3" xfId="23986" xr:uid="{00000000-0005-0000-0000-0000F91B0000}"/>
    <cellStyle name="20% - Accent4 9 4 3 3" xfId="12502" xr:uid="{00000000-0005-0000-0000-0000FA1B0000}"/>
    <cellStyle name="20% - Accent4 9 4 3 4" xfId="20457" xr:uid="{00000000-0005-0000-0000-0000FB1B0000}"/>
    <cellStyle name="20% - Accent4 9 4 4" xfId="6307" xr:uid="{00000000-0005-0000-0000-0000FC1B0000}"/>
    <cellStyle name="20% - Accent4 9 4 4 2" xfId="14282" xr:uid="{00000000-0005-0000-0000-0000FD1B0000}"/>
    <cellStyle name="20% - Accent4 9 4 4 3" xfId="22229" xr:uid="{00000000-0005-0000-0000-0000FE1B0000}"/>
    <cellStyle name="20% - Accent4 9 4 5" xfId="9850" xr:uid="{00000000-0005-0000-0000-0000FF1B0000}"/>
    <cellStyle name="20% - Accent4 9 4 5 2" xfId="17808" xr:uid="{00000000-0005-0000-0000-0000001C0000}"/>
    <cellStyle name="20% - Accent4 9 4 5 3" xfId="25752" xr:uid="{00000000-0005-0000-0000-0000011C0000}"/>
    <cellStyle name="20% - Accent4 9 4 6" xfId="10746" xr:uid="{00000000-0005-0000-0000-0000021C0000}"/>
    <cellStyle name="20% - Accent4 9 4 7" xfId="18701" xr:uid="{00000000-0005-0000-0000-0000031C0000}"/>
    <cellStyle name="20% - Accent4 9 4_Exh G" xfId="2434" xr:uid="{00000000-0005-0000-0000-0000041C0000}"/>
    <cellStyle name="20% - Accent4 9 5" xfId="1253" xr:uid="{00000000-0005-0000-0000-0000051C0000}"/>
    <cellStyle name="20% - Accent4 9 5 2" xfId="4783" xr:uid="{00000000-0005-0000-0000-0000061C0000}"/>
    <cellStyle name="20% - Accent4 9 5 2 2" xfId="8374" xr:uid="{00000000-0005-0000-0000-0000071C0000}"/>
    <cellStyle name="20% - Accent4 9 5 2 2 2" xfId="16345" xr:uid="{00000000-0005-0000-0000-0000081C0000}"/>
    <cellStyle name="20% - Accent4 9 5 2 2 3" xfId="24291" xr:uid="{00000000-0005-0000-0000-0000091C0000}"/>
    <cellStyle name="20% - Accent4 9 5 2 3" xfId="12807" xr:uid="{00000000-0005-0000-0000-00000A1C0000}"/>
    <cellStyle name="20% - Accent4 9 5 2 4" xfId="20762" xr:uid="{00000000-0005-0000-0000-00000B1C0000}"/>
    <cellStyle name="20% - Accent4 9 5 3" xfId="6615" xr:uid="{00000000-0005-0000-0000-00000C1C0000}"/>
    <cellStyle name="20% - Accent4 9 5 3 2" xfId="14587" xr:uid="{00000000-0005-0000-0000-00000D1C0000}"/>
    <cellStyle name="20% - Accent4 9 5 3 3" xfId="22534" xr:uid="{00000000-0005-0000-0000-00000E1C0000}"/>
    <cellStyle name="20% - Accent4 9 5 4" xfId="11051" xr:uid="{00000000-0005-0000-0000-00000F1C0000}"/>
    <cellStyle name="20% - Accent4 9 5 5" xfId="19006" xr:uid="{00000000-0005-0000-0000-0000101C0000}"/>
    <cellStyle name="20% - Accent4 9 5_Exh G" xfId="2436" xr:uid="{00000000-0005-0000-0000-0000111C0000}"/>
    <cellStyle name="20% - Accent4 9 6" xfId="3904" xr:uid="{00000000-0005-0000-0000-0000121C0000}"/>
    <cellStyle name="20% - Accent4 9 6 2" xfId="7496" xr:uid="{00000000-0005-0000-0000-0000131C0000}"/>
    <cellStyle name="20% - Accent4 9 6 2 2" xfId="15467" xr:uid="{00000000-0005-0000-0000-0000141C0000}"/>
    <cellStyle name="20% - Accent4 9 6 2 3" xfId="23413" xr:uid="{00000000-0005-0000-0000-0000151C0000}"/>
    <cellStyle name="20% - Accent4 9 6 3" xfId="11929" xr:uid="{00000000-0005-0000-0000-0000161C0000}"/>
    <cellStyle name="20% - Accent4 9 6 4" xfId="19884" xr:uid="{00000000-0005-0000-0000-0000171C0000}"/>
    <cellStyle name="20% - Accent4 9 7" xfId="5724" xr:uid="{00000000-0005-0000-0000-0000181C0000}"/>
    <cellStyle name="20% - Accent4 9 7 2" xfId="13708" xr:uid="{00000000-0005-0000-0000-0000191C0000}"/>
    <cellStyle name="20% - Accent4 9 7 3" xfId="21656" xr:uid="{00000000-0005-0000-0000-00001A1C0000}"/>
    <cellStyle name="20% - Accent4 9 8" xfId="9277" xr:uid="{00000000-0005-0000-0000-00001B1C0000}"/>
    <cellStyle name="20% - Accent4 9 8 2" xfId="17235" xr:uid="{00000000-0005-0000-0000-00001C1C0000}"/>
    <cellStyle name="20% - Accent4 9 8 3" xfId="25179" xr:uid="{00000000-0005-0000-0000-00001D1C0000}"/>
    <cellStyle name="20% - Accent4 9 9" xfId="10173" xr:uid="{00000000-0005-0000-0000-00001E1C0000}"/>
    <cellStyle name="20% - Accent4 9_Exh G" xfId="2427" xr:uid="{00000000-0005-0000-0000-00001F1C0000}"/>
    <cellStyle name="20% - Accent5 10" xfId="229" xr:uid="{00000000-0005-0000-0000-0000201C0000}"/>
    <cellStyle name="20% - Accent5 10 10" xfId="18132" xr:uid="{00000000-0005-0000-0000-0000211C0000}"/>
    <cellStyle name="20% - Accent5 10 2" xfId="230" xr:uid="{00000000-0005-0000-0000-0000221C0000}"/>
    <cellStyle name="20% - Accent5 10 2 2" xfId="231" xr:uid="{00000000-0005-0000-0000-0000231C0000}"/>
    <cellStyle name="20% - Accent5 10 2 2 2" xfId="1259" xr:uid="{00000000-0005-0000-0000-0000241C0000}"/>
    <cellStyle name="20% - Accent5 10 2 2 2 2" xfId="4789" xr:uid="{00000000-0005-0000-0000-0000251C0000}"/>
    <cellStyle name="20% - Accent5 10 2 2 2 2 2" xfId="8380" xr:uid="{00000000-0005-0000-0000-0000261C0000}"/>
    <cellStyle name="20% - Accent5 10 2 2 2 2 2 2" xfId="16351" xr:uid="{00000000-0005-0000-0000-0000271C0000}"/>
    <cellStyle name="20% - Accent5 10 2 2 2 2 2 3" xfId="24297" xr:uid="{00000000-0005-0000-0000-0000281C0000}"/>
    <cellStyle name="20% - Accent5 10 2 2 2 2 3" xfId="12813" xr:uid="{00000000-0005-0000-0000-0000291C0000}"/>
    <cellStyle name="20% - Accent5 10 2 2 2 2 4" xfId="20768" xr:uid="{00000000-0005-0000-0000-00002A1C0000}"/>
    <cellStyle name="20% - Accent5 10 2 2 2 3" xfId="6621" xr:uid="{00000000-0005-0000-0000-00002B1C0000}"/>
    <cellStyle name="20% - Accent5 10 2 2 2 3 2" xfId="14593" xr:uid="{00000000-0005-0000-0000-00002C1C0000}"/>
    <cellStyle name="20% - Accent5 10 2 2 2 3 3" xfId="22540" xr:uid="{00000000-0005-0000-0000-00002D1C0000}"/>
    <cellStyle name="20% - Accent5 10 2 2 2 4" xfId="11057" xr:uid="{00000000-0005-0000-0000-00002E1C0000}"/>
    <cellStyle name="20% - Accent5 10 2 2 2 5" xfId="19012" xr:uid="{00000000-0005-0000-0000-00002F1C0000}"/>
    <cellStyle name="20% - Accent5 10 2 2 2_Exh G" xfId="2440" xr:uid="{00000000-0005-0000-0000-0000301C0000}"/>
    <cellStyle name="20% - Accent5 10 2 2 3" xfId="3910" xr:uid="{00000000-0005-0000-0000-0000311C0000}"/>
    <cellStyle name="20% - Accent5 10 2 2 3 2" xfId="7502" xr:uid="{00000000-0005-0000-0000-0000321C0000}"/>
    <cellStyle name="20% - Accent5 10 2 2 3 2 2" xfId="15473" xr:uid="{00000000-0005-0000-0000-0000331C0000}"/>
    <cellStyle name="20% - Accent5 10 2 2 3 2 3" xfId="23419" xr:uid="{00000000-0005-0000-0000-0000341C0000}"/>
    <cellStyle name="20% - Accent5 10 2 2 3 3" xfId="11935" xr:uid="{00000000-0005-0000-0000-0000351C0000}"/>
    <cellStyle name="20% - Accent5 10 2 2 3 4" xfId="19890" xr:uid="{00000000-0005-0000-0000-0000361C0000}"/>
    <cellStyle name="20% - Accent5 10 2 2 4" xfId="5730" xr:uid="{00000000-0005-0000-0000-0000371C0000}"/>
    <cellStyle name="20% - Accent5 10 2 2 4 2" xfId="13714" xr:uid="{00000000-0005-0000-0000-0000381C0000}"/>
    <cellStyle name="20% - Accent5 10 2 2 4 3" xfId="21662" xr:uid="{00000000-0005-0000-0000-0000391C0000}"/>
    <cellStyle name="20% - Accent5 10 2 2 5" xfId="9283" xr:uid="{00000000-0005-0000-0000-00003A1C0000}"/>
    <cellStyle name="20% - Accent5 10 2 2 5 2" xfId="17241" xr:uid="{00000000-0005-0000-0000-00003B1C0000}"/>
    <cellStyle name="20% - Accent5 10 2 2 5 3" xfId="25185" xr:uid="{00000000-0005-0000-0000-00003C1C0000}"/>
    <cellStyle name="20% - Accent5 10 2 2 6" xfId="10179" xr:uid="{00000000-0005-0000-0000-00003D1C0000}"/>
    <cellStyle name="20% - Accent5 10 2 2 7" xfId="18134" xr:uid="{00000000-0005-0000-0000-00003E1C0000}"/>
    <cellStyle name="20% - Accent5 10 2 2_Exh G" xfId="2439" xr:uid="{00000000-0005-0000-0000-00003F1C0000}"/>
    <cellStyle name="20% - Accent5 10 2 3" xfId="1258" xr:uid="{00000000-0005-0000-0000-0000401C0000}"/>
    <cellStyle name="20% - Accent5 10 2 3 2" xfId="4788" xr:uid="{00000000-0005-0000-0000-0000411C0000}"/>
    <cellStyle name="20% - Accent5 10 2 3 2 2" xfId="8379" xr:uid="{00000000-0005-0000-0000-0000421C0000}"/>
    <cellStyle name="20% - Accent5 10 2 3 2 2 2" xfId="16350" xr:uid="{00000000-0005-0000-0000-0000431C0000}"/>
    <cellStyle name="20% - Accent5 10 2 3 2 2 3" xfId="24296" xr:uid="{00000000-0005-0000-0000-0000441C0000}"/>
    <cellStyle name="20% - Accent5 10 2 3 2 3" xfId="12812" xr:uid="{00000000-0005-0000-0000-0000451C0000}"/>
    <cellStyle name="20% - Accent5 10 2 3 2 4" xfId="20767" xr:uid="{00000000-0005-0000-0000-0000461C0000}"/>
    <cellStyle name="20% - Accent5 10 2 3 3" xfId="6620" xr:uid="{00000000-0005-0000-0000-0000471C0000}"/>
    <cellStyle name="20% - Accent5 10 2 3 3 2" xfId="14592" xr:uid="{00000000-0005-0000-0000-0000481C0000}"/>
    <cellStyle name="20% - Accent5 10 2 3 3 3" xfId="22539" xr:uid="{00000000-0005-0000-0000-0000491C0000}"/>
    <cellStyle name="20% - Accent5 10 2 3 4" xfId="11056" xr:uid="{00000000-0005-0000-0000-00004A1C0000}"/>
    <cellStyle name="20% - Accent5 10 2 3 5" xfId="19011" xr:uid="{00000000-0005-0000-0000-00004B1C0000}"/>
    <cellStyle name="20% - Accent5 10 2 3_Exh G" xfId="2441" xr:uid="{00000000-0005-0000-0000-00004C1C0000}"/>
    <cellStyle name="20% - Accent5 10 2 4" xfId="3909" xr:uid="{00000000-0005-0000-0000-00004D1C0000}"/>
    <cellStyle name="20% - Accent5 10 2 4 2" xfId="7501" xr:uid="{00000000-0005-0000-0000-00004E1C0000}"/>
    <cellStyle name="20% - Accent5 10 2 4 2 2" xfId="15472" xr:uid="{00000000-0005-0000-0000-00004F1C0000}"/>
    <cellStyle name="20% - Accent5 10 2 4 2 3" xfId="23418" xr:uid="{00000000-0005-0000-0000-0000501C0000}"/>
    <cellStyle name="20% - Accent5 10 2 4 3" xfId="11934" xr:uid="{00000000-0005-0000-0000-0000511C0000}"/>
    <cellStyle name="20% - Accent5 10 2 4 4" xfId="19889" xr:uid="{00000000-0005-0000-0000-0000521C0000}"/>
    <cellStyle name="20% - Accent5 10 2 5" xfId="5729" xr:uid="{00000000-0005-0000-0000-0000531C0000}"/>
    <cellStyle name="20% - Accent5 10 2 5 2" xfId="13713" xr:uid="{00000000-0005-0000-0000-0000541C0000}"/>
    <cellStyle name="20% - Accent5 10 2 5 3" xfId="21661" xr:uid="{00000000-0005-0000-0000-0000551C0000}"/>
    <cellStyle name="20% - Accent5 10 2 6" xfId="9282" xr:uid="{00000000-0005-0000-0000-0000561C0000}"/>
    <cellStyle name="20% - Accent5 10 2 6 2" xfId="17240" xr:uid="{00000000-0005-0000-0000-0000571C0000}"/>
    <cellStyle name="20% - Accent5 10 2 6 3" xfId="25184" xr:uid="{00000000-0005-0000-0000-0000581C0000}"/>
    <cellStyle name="20% - Accent5 10 2 7" xfId="10178" xr:uid="{00000000-0005-0000-0000-0000591C0000}"/>
    <cellStyle name="20% - Accent5 10 2 8" xfId="18133" xr:uid="{00000000-0005-0000-0000-00005A1C0000}"/>
    <cellStyle name="20% - Accent5 10 2_Exh G" xfId="2438" xr:uid="{00000000-0005-0000-0000-00005B1C0000}"/>
    <cellStyle name="20% - Accent5 10 3" xfId="232" xr:uid="{00000000-0005-0000-0000-00005C1C0000}"/>
    <cellStyle name="20% - Accent5 10 3 2" xfId="1260" xr:uid="{00000000-0005-0000-0000-00005D1C0000}"/>
    <cellStyle name="20% - Accent5 10 3 2 2" xfId="4790" xr:uid="{00000000-0005-0000-0000-00005E1C0000}"/>
    <cellStyle name="20% - Accent5 10 3 2 2 2" xfId="8381" xr:uid="{00000000-0005-0000-0000-00005F1C0000}"/>
    <cellStyle name="20% - Accent5 10 3 2 2 2 2" xfId="16352" xr:uid="{00000000-0005-0000-0000-0000601C0000}"/>
    <cellStyle name="20% - Accent5 10 3 2 2 2 3" xfId="24298" xr:uid="{00000000-0005-0000-0000-0000611C0000}"/>
    <cellStyle name="20% - Accent5 10 3 2 2 3" xfId="12814" xr:uid="{00000000-0005-0000-0000-0000621C0000}"/>
    <cellStyle name="20% - Accent5 10 3 2 2 4" xfId="20769" xr:uid="{00000000-0005-0000-0000-0000631C0000}"/>
    <cellStyle name="20% - Accent5 10 3 2 3" xfId="6622" xr:uid="{00000000-0005-0000-0000-0000641C0000}"/>
    <cellStyle name="20% - Accent5 10 3 2 3 2" xfId="14594" xr:uid="{00000000-0005-0000-0000-0000651C0000}"/>
    <cellStyle name="20% - Accent5 10 3 2 3 3" xfId="22541" xr:uid="{00000000-0005-0000-0000-0000661C0000}"/>
    <cellStyle name="20% - Accent5 10 3 2 4" xfId="11058" xr:uid="{00000000-0005-0000-0000-0000671C0000}"/>
    <cellStyle name="20% - Accent5 10 3 2 5" xfId="19013" xr:uid="{00000000-0005-0000-0000-0000681C0000}"/>
    <cellStyle name="20% - Accent5 10 3 2_Exh G" xfId="2443" xr:uid="{00000000-0005-0000-0000-0000691C0000}"/>
    <cellStyle name="20% - Accent5 10 3 3" xfId="3911" xr:uid="{00000000-0005-0000-0000-00006A1C0000}"/>
    <cellStyle name="20% - Accent5 10 3 3 2" xfId="7503" xr:uid="{00000000-0005-0000-0000-00006B1C0000}"/>
    <cellStyle name="20% - Accent5 10 3 3 2 2" xfId="15474" xr:uid="{00000000-0005-0000-0000-00006C1C0000}"/>
    <cellStyle name="20% - Accent5 10 3 3 2 3" xfId="23420" xr:uid="{00000000-0005-0000-0000-00006D1C0000}"/>
    <cellStyle name="20% - Accent5 10 3 3 3" xfId="11936" xr:uid="{00000000-0005-0000-0000-00006E1C0000}"/>
    <cellStyle name="20% - Accent5 10 3 3 4" xfId="19891" xr:uid="{00000000-0005-0000-0000-00006F1C0000}"/>
    <cellStyle name="20% - Accent5 10 3 4" xfId="5731" xr:uid="{00000000-0005-0000-0000-0000701C0000}"/>
    <cellStyle name="20% - Accent5 10 3 4 2" xfId="13715" xr:uid="{00000000-0005-0000-0000-0000711C0000}"/>
    <cellStyle name="20% - Accent5 10 3 4 3" xfId="21663" xr:uid="{00000000-0005-0000-0000-0000721C0000}"/>
    <cellStyle name="20% - Accent5 10 3 5" xfId="9284" xr:uid="{00000000-0005-0000-0000-0000731C0000}"/>
    <cellStyle name="20% - Accent5 10 3 5 2" xfId="17242" xr:uid="{00000000-0005-0000-0000-0000741C0000}"/>
    <cellStyle name="20% - Accent5 10 3 5 3" xfId="25186" xr:uid="{00000000-0005-0000-0000-0000751C0000}"/>
    <cellStyle name="20% - Accent5 10 3 6" xfId="10180" xr:uid="{00000000-0005-0000-0000-0000761C0000}"/>
    <cellStyle name="20% - Accent5 10 3 7" xfId="18135" xr:uid="{00000000-0005-0000-0000-0000771C0000}"/>
    <cellStyle name="20% - Accent5 10 3_Exh G" xfId="2442" xr:uid="{00000000-0005-0000-0000-0000781C0000}"/>
    <cellStyle name="20% - Accent5 10 4" xfId="910" xr:uid="{00000000-0005-0000-0000-0000791C0000}"/>
    <cellStyle name="20% - Accent5 10 5" xfId="1257" xr:uid="{00000000-0005-0000-0000-00007A1C0000}"/>
    <cellStyle name="20% - Accent5 10 5 2" xfId="4787" xr:uid="{00000000-0005-0000-0000-00007B1C0000}"/>
    <cellStyle name="20% - Accent5 10 5 2 2" xfId="8378" xr:uid="{00000000-0005-0000-0000-00007C1C0000}"/>
    <cellStyle name="20% - Accent5 10 5 2 2 2" xfId="16349" xr:uid="{00000000-0005-0000-0000-00007D1C0000}"/>
    <cellStyle name="20% - Accent5 10 5 2 2 3" xfId="24295" xr:uid="{00000000-0005-0000-0000-00007E1C0000}"/>
    <cellStyle name="20% - Accent5 10 5 2 3" xfId="12811" xr:uid="{00000000-0005-0000-0000-00007F1C0000}"/>
    <cellStyle name="20% - Accent5 10 5 2 4" xfId="20766" xr:uid="{00000000-0005-0000-0000-0000801C0000}"/>
    <cellStyle name="20% - Accent5 10 5 3" xfId="6619" xr:uid="{00000000-0005-0000-0000-0000811C0000}"/>
    <cellStyle name="20% - Accent5 10 5 3 2" xfId="14591" xr:uid="{00000000-0005-0000-0000-0000821C0000}"/>
    <cellStyle name="20% - Accent5 10 5 3 3" xfId="22538" xr:uid="{00000000-0005-0000-0000-0000831C0000}"/>
    <cellStyle name="20% - Accent5 10 5 4" xfId="11055" xr:uid="{00000000-0005-0000-0000-0000841C0000}"/>
    <cellStyle name="20% - Accent5 10 5 5" xfId="19010" xr:uid="{00000000-0005-0000-0000-0000851C0000}"/>
    <cellStyle name="20% - Accent5 10 5_Exh G" xfId="2444" xr:uid="{00000000-0005-0000-0000-0000861C0000}"/>
    <cellStyle name="20% - Accent5 10 6" xfId="3908" xr:uid="{00000000-0005-0000-0000-0000871C0000}"/>
    <cellStyle name="20% - Accent5 10 6 2" xfId="7500" xr:uid="{00000000-0005-0000-0000-0000881C0000}"/>
    <cellStyle name="20% - Accent5 10 6 2 2" xfId="15471" xr:uid="{00000000-0005-0000-0000-0000891C0000}"/>
    <cellStyle name="20% - Accent5 10 6 2 3" xfId="23417" xr:uid="{00000000-0005-0000-0000-00008A1C0000}"/>
    <cellStyle name="20% - Accent5 10 6 3" xfId="11933" xr:uid="{00000000-0005-0000-0000-00008B1C0000}"/>
    <cellStyle name="20% - Accent5 10 6 4" xfId="19888" xr:uid="{00000000-0005-0000-0000-00008C1C0000}"/>
    <cellStyle name="20% - Accent5 10 7" xfId="5728" xr:uid="{00000000-0005-0000-0000-00008D1C0000}"/>
    <cellStyle name="20% - Accent5 10 7 2" xfId="13712" xr:uid="{00000000-0005-0000-0000-00008E1C0000}"/>
    <cellStyle name="20% - Accent5 10 7 3" xfId="21660" xr:uid="{00000000-0005-0000-0000-00008F1C0000}"/>
    <cellStyle name="20% - Accent5 10 8" xfId="9281" xr:uid="{00000000-0005-0000-0000-0000901C0000}"/>
    <cellStyle name="20% - Accent5 10 8 2" xfId="17239" xr:uid="{00000000-0005-0000-0000-0000911C0000}"/>
    <cellStyle name="20% - Accent5 10 8 3" xfId="25183" xr:uid="{00000000-0005-0000-0000-0000921C0000}"/>
    <cellStyle name="20% - Accent5 10 9" xfId="10177" xr:uid="{00000000-0005-0000-0000-0000931C0000}"/>
    <cellStyle name="20% - Accent5 10_Exh G" xfId="2437" xr:uid="{00000000-0005-0000-0000-0000941C0000}"/>
    <cellStyle name="20% - Accent5 11" xfId="233" xr:uid="{00000000-0005-0000-0000-0000951C0000}"/>
    <cellStyle name="20% - Accent5 11 2" xfId="234" xr:uid="{00000000-0005-0000-0000-0000961C0000}"/>
    <cellStyle name="20% - Accent5 11 2 2" xfId="235" xr:uid="{00000000-0005-0000-0000-0000971C0000}"/>
    <cellStyle name="20% - Accent5 11 2 2 2" xfId="1263" xr:uid="{00000000-0005-0000-0000-0000981C0000}"/>
    <cellStyle name="20% - Accent5 11 2 2 2 2" xfId="4793" xr:uid="{00000000-0005-0000-0000-0000991C0000}"/>
    <cellStyle name="20% - Accent5 11 2 2 2 2 2" xfId="8384" xr:uid="{00000000-0005-0000-0000-00009A1C0000}"/>
    <cellStyle name="20% - Accent5 11 2 2 2 2 2 2" xfId="16355" xr:uid="{00000000-0005-0000-0000-00009B1C0000}"/>
    <cellStyle name="20% - Accent5 11 2 2 2 2 2 3" xfId="24301" xr:uid="{00000000-0005-0000-0000-00009C1C0000}"/>
    <cellStyle name="20% - Accent5 11 2 2 2 2 3" xfId="12817" xr:uid="{00000000-0005-0000-0000-00009D1C0000}"/>
    <cellStyle name="20% - Accent5 11 2 2 2 2 4" xfId="20772" xr:uid="{00000000-0005-0000-0000-00009E1C0000}"/>
    <cellStyle name="20% - Accent5 11 2 2 2 3" xfId="6625" xr:uid="{00000000-0005-0000-0000-00009F1C0000}"/>
    <cellStyle name="20% - Accent5 11 2 2 2 3 2" xfId="14597" xr:uid="{00000000-0005-0000-0000-0000A01C0000}"/>
    <cellStyle name="20% - Accent5 11 2 2 2 3 3" xfId="22544" xr:uid="{00000000-0005-0000-0000-0000A11C0000}"/>
    <cellStyle name="20% - Accent5 11 2 2 2 4" xfId="11061" xr:uid="{00000000-0005-0000-0000-0000A21C0000}"/>
    <cellStyle name="20% - Accent5 11 2 2 2 5" xfId="19016" xr:uid="{00000000-0005-0000-0000-0000A31C0000}"/>
    <cellStyle name="20% - Accent5 11 2 2 2_Exh G" xfId="2448" xr:uid="{00000000-0005-0000-0000-0000A41C0000}"/>
    <cellStyle name="20% - Accent5 11 2 2 3" xfId="3914" xr:uid="{00000000-0005-0000-0000-0000A51C0000}"/>
    <cellStyle name="20% - Accent5 11 2 2 3 2" xfId="7506" xr:uid="{00000000-0005-0000-0000-0000A61C0000}"/>
    <cellStyle name="20% - Accent5 11 2 2 3 2 2" xfId="15477" xr:uid="{00000000-0005-0000-0000-0000A71C0000}"/>
    <cellStyle name="20% - Accent5 11 2 2 3 2 3" xfId="23423" xr:uid="{00000000-0005-0000-0000-0000A81C0000}"/>
    <cellStyle name="20% - Accent5 11 2 2 3 3" xfId="11939" xr:uid="{00000000-0005-0000-0000-0000A91C0000}"/>
    <cellStyle name="20% - Accent5 11 2 2 3 4" xfId="19894" xr:uid="{00000000-0005-0000-0000-0000AA1C0000}"/>
    <cellStyle name="20% - Accent5 11 2 2 4" xfId="5734" xr:uid="{00000000-0005-0000-0000-0000AB1C0000}"/>
    <cellStyle name="20% - Accent5 11 2 2 4 2" xfId="13718" xr:uid="{00000000-0005-0000-0000-0000AC1C0000}"/>
    <cellStyle name="20% - Accent5 11 2 2 4 3" xfId="21666" xr:uid="{00000000-0005-0000-0000-0000AD1C0000}"/>
    <cellStyle name="20% - Accent5 11 2 2 5" xfId="9287" xr:uid="{00000000-0005-0000-0000-0000AE1C0000}"/>
    <cellStyle name="20% - Accent5 11 2 2 5 2" xfId="17245" xr:uid="{00000000-0005-0000-0000-0000AF1C0000}"/>
    <cellStyle name="20% - Accent5 11 2 2 5 3" xfId="25189" xr:uid="{00000000-0005-0000-0000-0000B01C0000}"/>
    <cellStyle name="20% - Accent5 11 2 2 6" xfId="10183" xr:uid="{00000000-0005-0000-0000-0000B11C0000}"/>
    <cellStyle name="20% - Accent5 11 2 2 7" xfId="18138" xr:uid="{00000000-0005-0000-0000-0000B21C0000}"/>
    <cellStyle name="20% - Accent5 11 2 2_Exh G" xfId="2447" xr:uid="{00000000-0005-0000-0000-0000B31C0000}"/>
    <cellStyle name="20% - Accent5 11 2 3" xfId="1262" xr:uid="{00000000-0005-0000-0000-0000B41C0000}"/>
    <cellStyle name="20% - Accent5 11 2 3 2" xfId="4792" xr:uid="{00000000-0005-0000-0000-0000B51C0000}"/>
    <cellStyle name="20% - Accent5 11 2 3 2 2" xfId="8383" xr:uid="{00000000-0005-0000-0000-0000B61C0000}"/>
    <cellStyle name="20% - Accent5 11 2 3 2 2 2" xfId="16354" xr:uid="{00000000-0005-0000-0000-0000B71C0000}"/>
    <cellStyle name="20% - Accent5 11 2 3 2 2 3" xfId="24300" xr:uid="{00000000-0005-0000-0000-0000B81C0000}"/>
    <cellStyle name="20% - Accent5 11 2 3 2 3" xfId="12816" xr:uid="{00000000-0005-0000-0000-0000B91C0000}"/>
    <cellStyle name="20% - Accent5 11 2 3 2 4" xfId="20771" xr:uid="{00000000-0005-0000-0000-0000BA1C0000}"/>
    <cellStyle name="20% - Accent5 11 2 3 3" xfId="6624" xr:uid="{00000000-0005-0000-0000-0000BB1C0000}"/>
    <cellStyle name="20% - Accent5 11 2 3 3 2" xfId="14596" xr:uid="{00000000-0005-0000-0000-0000BC1C0000}"/>
    <cellStyle name="20% - Accent5 11 2 3 3 3" xfId="22543" xr:uid="{00000000-0005-0000-0000-0000BD1C0000}"/>
    <cellStyle name="20% - Accent5 11 2 3 4" xfId="11060" xr:uid="{00000000-0005-0000-0000-0000BE1C0000}"/>
    <cellStyle name="20% - Accent5 11 2 3 5" xfId="19015" xr:uid="{00000000-0005-0000-0000-0000BF1C0000}"/>
    <cellStyle name="20% - Accent5 11 2 3_Exh G" xfId="2449" xr:uid="{00000000-0005-0000-0000-0000C01C0000}"/>
    <cellStyle name="20% - Accent5 11 2 4" xfId="3913" xr:uid="{00000000-0005-0000-0000-0000C11C0000}"/>
    <cellStyle name="20% - Accent5 11 2 4 2" xfId="7505" xr:uid="{00000000-0005-0000-0000-0000C21C0000}"/>
    <cellStyle name="20% - Accent5 11 2 4 2 2" xfId="15476" xr:uid="{00000000-0005-0000-0000-0000C31C0000}"/>
    <cellStyle name="20% - Accent5 11 2 4 2 3" xfId="23422" xr:uid="{00000000-0005-0000-0000-0000C41C0000}"/>
    <cellStyle name="20% - Accent5 11 2 4 3" xfId="11938" xr:uid="{00000000-0005-0000-0000-0000C51C0000}"/>
    <cellStyle name="20% - Accent5 11 2 4 4" xfId="19893" xr:uid="{00000000-0005-0000-0000-0000C61C0000}"/>
    <cellStyle name="20% - Accent5 11 2 5" xfId="5733" xr:uid="{00000000-0005-0000-0000-0000C71C0000}"/>
    <cellStyle name="20% - Accent5 11 2 5 2" xfId="13717" xr:uid="{00000000-0005-0000-0000-0000C81C0000}"/>
    <cellStyle name="20% - Accent5 11 2 5 3" xfId="21665" xr:uid="{00000000-0005-0000-0000-0000C91C0000}"/>
    <cellStyle name="20% - Accent5 11 2 6" xfId="9286" xr:uid="{00000000-0005-0000-0000-0000CA1C0000}"/>
    <cellStyle name="20% - Accent5 11 2 6 2" xfId="17244" xr:uid="{00000000-0005-0000-0000-0000CB1C0000}"/>
    <cellStyle name="20% - Accent5 11 2 6 3" xfId="25188" xr:uid="{00000000-0005-0000-0000-0000CC1C0000}"/>
    <cellStyle name="20% - Accent5 11 2 7" xfId="10182" xr:uid="{00000000-0005-0000-0000-0000CD1C0000}"/>
    <cellStyle name="20% - Accent5 11 2 8" xfId="18137" xr:uid="{00000000-0005-0000-0000-0000CE1C0000}"/>
    <cellStyle name="20% - Accent5 11 2_Exh G" xfId="2446" xr:uid="{00000000-0005-0000-0000-0000CF1C0000}"/>
    <cellStyle name="20% - Accent5 11 3" xfId="236" xr:uid="{00000000-0005-0000-0000-0000D01C0000}"/>
    <cellStyle name="20% - Accent5 11 3 2" xfId="1264" xr:uid="{00000000-0005-0000-0000-0000D11C0000}"/>
    <cellStyle name="20% - Accent5 11 3 2 2" xfId="4794" xr:uid="{00000000-0005-0000-0000-0000D21C0000}"/>
    <cellStyle name="20% - Accent5 11 3 2 2 2" xfId="8385" xr:uid="{00000000-0005-0000-0000-0000D31C0000}"/>
    <cellStyle name="20% - Accent5 11 3 2 2 2 2" xfId="16356" xr:uid="{00000000-0005-0000-0000-0000D41C0000}"/>
    <cellStyle name="20% - Accent5 11 3 2 2 2 3" xfId="24302" xr:uid="{00000000-0005-0000-0000-0000D51C0000}"/>
    <cellStyle name="20% - Accent5 11 3 2 2 3" xfId="12818" xr:uid="{00000000-0005-0000-0000-0000D61C0000}"/>
    <cellStyle name="20% - Accent5 11 3 2 2 4" xfId="20773" xr:uid="{00000000-0005-0000-0000-0000D71C0000}"/>
    <cellStyle name="20% - Accent5 11 3 2 3" xfId="6626" xr:uid="{00000000-0005-0000-0000-0000D81C0000}"/>
    <cellStyle name="20% - Accent5 11 3 2 3 2" xfId="14598" xr:uid="{00000000-0005-0000-0000-0000D91C0000}"/>
    <cellStyle name="20% - Accent5 11 3 2 3 3" xfId="22545" xr:uid="{00000000-0005-0000-0000-0000DA1C0000}"/>
    <cellStyle name="20% - Accent5 11 3 2 4" xfId="11062" xr:uid="{00000000-0005-0000-0000-0000DB1C0000}"/>
    <cellStyle name="20% - Accent5 11 3 2 5" xfId="19017" xr:uid="{00000000-0005-0000-0000-0000DC1C0000}"/>
    <cellStyle name="20% - Accent5 11 3 2_Exh G" xfId="2451" xr:uid="{00000000-0005-0000-0000-0000DD1C0000}"/>
    <cellStyle name="20% - Accent5 11 3 3" xfId="3915" xr:uid="{00000000-0005-0000-0000-0000DE1C0000}"/>
    <cellStyle name="20% - Accent5 11 3 3 2" xfId="7507" xr:uid="{00000000-0005-0000-0000-0000DF1C0000}"/>
    <cellStyle name="20% - Accent5 11 3 3 2 2" xfId="15478" xr:uid="{00000000-0005-0000-0000-0000E01C0000}"/>
    <cellStyle name="20% - Accent5 11 3 3 2 3" xfId="23424" xr:uid="{00000000-0005-0000-0000-0000E11C0000}"/>
    <cellStyle name="20% - Accent5 11 3 3 3" xfId="11940" xr:uid="{00000000-0005-0000-0000-0000E21C0000}"/>
    <cellStyle name="20% - Accent5 11 3 3 4" xfId="19895" xr:uid="{00000000-0005-0000-0000-0000E31C0000}"/>
    <cellStyle name="20% - Accent5 11 3 4" xfId="5735" xr:uid="{00000000-0005-0000-0000-0000E41C0000}"/>
    <cellStyle name="20% - Accent5 11 3 4 2" xfId="13719" xr:uid="{00000000-0005-0000-0000-0000E51C0000}"/>
    <cellStyle name="20% - Accent5 11 3 4 3" xfId="21667" xr:uid="{00000000-0005-0000-0000-0000E61C0000}"/>
    <cellStyle name="20% - Accent5 11 3 5" xfId="9288" xr:uid="{00000000-0005-0000-0000-0000E71C0000}"/>
    <cellStyle name="20% - Accent5 11 3 5 2" xfId="17246" xr:uid="{00000000-0005-0000-0000-0000E81C0000}"/>
    <cellStyle name="20% - Accent5 11 3 5 3" xfId="25190" xr:uid="{00000000-0005-0000-0000-0000E91C0000}"/>
    <cellStyle name="20% - Accent5 11 3 6" xfId="10184" xr:uid="{00000000-0005-0000-0000-0000EA1C0000}"/>
    <cellStyle name="20% - Accent5 11 3 7" xfId="18139" xr:uid="{00000000-0005-0000-0000-0000EB1C0000}"/>
    <cellStyle name="20% - Accent5 11 3_Exh G" xfId="2450" xr:uid="{00000000-0005-0000-0000-0000EC1C0000}"/>
    <cellStyle name="20% - Accent5 11 4" xfId="1261" xr:uid="{00000000-0005-0000-0000-0000ED1C0000}"/>
    <cellStyle name="20% - Accent5 11 4 2" xfId="4791" xr:uid="{00000000-0005-0000-0000-0000EE1C0000}"/>
    <cellStyle name="20% - Accent5 11 4 2 2" xfId="8382" xr:uid="{00000000-0005-0000-0000-0000EF1C0000}"/>
    <cellStyle name="20% - Accent5 11 4 2 2 2" xfId="16353" xr:uid="{00000000-0005-0000-0000-0000F01C0000}"/>
    <cellStyle name="20% - Accent5 11 4 2 2 3" xfId="24299" xr:uid="{00000000-0005-0000-0000-0000F11C0000}"/>
    <cellStyle name="20% - Accent5 11 4 2 3" xfId="12815" xr:uid="{00000000-0005-0000-0000-0000F21C0000}"/>
    <cellStyle name="20% - Accent5 11 4 2 4" xfId="20770" xr:uid="{00000000-0005-0000-0000-0000F31C0000}"/>
    <cellStyle name="20% - Accent5 11 4 3" xfId="6623" xr:uid="{00000000-0005-0000-0000-0000F41C0000}"/>
    <cellStyle name="20% - Accent5 11 4 3 2" xfId="14595" xr:uid="{00000000-0005-0000-0000-0000F51C0000}"/>
    <cellStyle name="20% - Accent5 11 4 3 3" xfId="22542" xr:uid="{00000000-0005-0000-0000-0000F61C0000}"/>
    <cellStyle name="20% - Accent5 11 4 4" xfId="11059" xr:uid="{00000000-0005-0000-0000-0000F71C0000}"/>
    <cellStyle name="20% - Accent5 11 4 5" xfId="19014" xr:uid="{00000000-0005-0000-0000-0000F81C0000}"/>
    <cellStyle name="20% - Accent5 11 4_Exh G" xfId="2452" xr:uid="{00000000-0005-0000-0000-0000F91C0000}"/>
    <cellStyle name="20% - Accent5 11 5" xfId="3912" xr:uid="{00000000-0005-0000-0000-0000FA1C0000}"/>
    <cellStyle name="20% - Accent5 11 5 2" xfId="7504" xr:uid="{00000000-0005-0000-0000-0000FB1C0000}"/>
    <cellStyle name="20% - Accent5 11 5 2 2" xfId="15475" xr:uid="{00000000-0005-0000-0000-0000FC1C0000}"/>
    <cellStyle name="20% - Accent5 11 5 2 3" xfId="23421" xr:uid="{00000000-0005-0000-0000-0000FD1C0000}"/>
    <cellStyle name="20% - Accent5 11 5 3" xfId="11937" xr:uid="{00000000-0005-0000-0000-0000FE1C0000}"/>
    <cellStyle name="20% - Accent5 11 5 4" xfId="19892" xr:uid="{00000000-0005-0000-0000-0000FF1C0000}"/>
    <cellStyle name="20% - Accent5 11 6" xfId="5732" xr:uid="{00000000-0005-0000-0000-0000001D0000}"/>
    <cellStyle name="20% - Accent5 11 6 2" xfId="13716" xr:uid="{00000000-0005-0000-0000-0000011D0000}"/>
    <cellStyle name="20% - Accent5 11 6 3" xfId="21664" xr:uid="{00000000-0005-0000-0000-0000021D0000}"/>
    <cellStyle name="20% - Accent5 11 7" xfId="9285" xr:uid="{00000000-0005-0000-0000-0000031D0000}"/>
    <cellStyle name="20% - Accent5 11 7 2" xfId="17243" xr:uid="{00000000-0005-0000-0000-0000041D0000}"/>
    <cellStyle name="20% - Accent5 11 7 3" xfId="25187" xr:uid="{00000000-0005-0000-0000-0000051D0000}"/>
    <cellStyle name="20% - Accent5 11 8" xfId="10181" xr:uid="{00000000-0005-0000-0000-0000061D0000}"/>
    <cellStyle name="20% - Accent5 11 9" xfId="18136" xr:uid="{00000000-0005-0000-0000-0000071D0000}"/>
    <cellStyle name="20% - Accent5 11_Exh G" xfId="2445" xr:uid="{00000000-0005-0000-0000-0000081D0000}"/>
    <cellStyle name="20% - Accent5 12" xfId="237" xr:uid="{00000000-0005-0000-0000-0000091D0000}"/>
    <cellStyle name="20% - Accent5 12 2" xfId="238" xr:uid="{00000000-0005-0000-0000-00000A1D0000}"/>
    <cellStyle name="20% - Accent5 12 2 2" xfId="239" xr:uid="{00000000-0005-0000-0000-00000B1D0000}"/>
    <cellStyle name="20% - Accent5 12 2 2 2" xfId="1267" xr:uid="{00000000-0005-0000-0000-00000C1D0000}"/>
    <cellStyle name="20% - Accent5 12 2 2 2 2" xfId="4797" xr:uid="{00000000-0005-0000-0000-00000D1D0000}"/>
    <cellStyle name="20% - Accent5 12 2 2 2 2 2" xfId="8388" xr:uid="{00000000-0005-0000-0000-00000E1D0000}"/>
    <cellStyle name="20% - Accent5 12 2 2 2 2 2 2" xfId="16359" xr:uid="{00000000-0005-0000-0000-00000F1D0000}"/>
    <cellStyle name="20% - Accent5 12 2 2 2 2 2 3" xfId="24305" xr:uid="{00000000-0005-0000-0000-0000101D0000}"/>
    <cellStyle name="20% - Accent5 12 2 2 2 2 3" xfId="12821" xr:uid="{00000000-0005-0000-0000-0000111D0000}"/>
    <cellStyle name="20% - Accent5 12 2 2 2 2 4" xfId="20776" xr:uid="{00000000-0005-0000-0000-0000121D0000}"/>
    <cellStyle name="20% - Accent5 12 2 2 2 3" xfId="6629" xr:uid="{00000000-0005-0000-0000-0000131D0000}"/>
    <cellStyle name="20% - Accent5 12 2 2 2 3 2" xfId="14601" xr:uid="{00000000-0005-0000-0000-0000141D0000}"/>
    <cellStyle name="20% - Accent5 12 2 2 2 3 3" xfId="22548" xr:uid="{00000000-0005-0000-0000-0000151D0000}"/>
    <cellStyle name="20% - Accent5 12 2 2 2 4" xfId="11065" xr:uid="{00000000-0005-0000-0000-0000161D0000}"/>
    <cellStyle name="20% - Accent5 12 2 2 2 5" xfId="19020" xr:uid="{00000000-0005-0000-0000-0000171D0000}"/>
    <cellStyle name="20% - Accent5 12 2 2 2_Exh G" xfId="2456" xr:uid="{00000000-0005-0000-0000-0000181D0000}"/>
    <cellStyle name="20% - Accent5 12 2 2 3" xfId="3918" xr:uid="{00000000-0005-0000-0000-0000191D0000}"/>
    <cellStyle name="20% - Accent5 12 2 2 3 2" xfId="7510" xr:uid="{00000000-0005-0000-0000-00001A1D0000}"/>
    <cellStyle name="20% - Accent5 12 2 2 3 2 2" xfId="15481" xr:uid="{00000000-0005-0000-0000-00001B1D0000}"/>
    <cellStyle name="20% - Accent5 12 2 2 3 2 3" xfId="23427" xr:uid="{00000000-0005-0000-0000-00001C1D0000}"/>
    <cellStyle name="20% - Accent5 12 2 2 3 3" xfId="11943" xr:uid="{00000000-0005-0000-0000-00001D1D0000}"/>
    <cellStyle name="20% - Accent5 12 2 2 3 4" xfId="19898" xr:uid="{00000000-0005-0000-0000-00001E1D0000}"/>
    <cellStyle name="20% - Accent5 12 2 2 4" xfId="5738" xr:uid="{00000000-0005-0000-0000-00001F1D0000}"/>
    <cellStyle name="20% - Accent5 12 2 2 4 2" xfId="13722" xr:uid="{00000000-0005-0000-0000-0000201D0000}"/>
    <cellStyle name="20% - Accent5 12 2 2 4 3" xfId="21670" xr:uid="{00000000-0005-0000-0000-0000211D0000}"/>
    <cellStyle name="20% - Accent5 12 2 2 5" xfId="9291" xr:uid="{00000000-0005-0000-0000-0000221D0000}"/>
    <cellStyle name="20% - Accent5 12 2 2 5 2" xfId="17249" xr:uid="{00000000-0005-0000-0000-0000231D0000}"/>
    <cellStyle name="20% - Accent5 12 2 2 5 3" xfId="25193" xr:uid="{00000000-0005-0000-0000-0000241D0000}"/>
    <cellStyle name="20% - Accent5 12 2 2 6" xfId="10187" xr:uid="{00000000-0005-0000-0000-0000251D0000}"/>
    <cellStyle name="20% - Accent5 12 2 2 7" xfId="18142" xr:uid="{00000000-0005-0000-0000-0000261D0000}"/>
    <cellStyle name="20% - Accent5 12 2 2_Exh G" xfId="2455" xr:uid="{00000000-0005-0000-0000-0000271D0000}"/>
    <cellStyle name="20% - Accent5 12 2 3" xfId="1266" xr:uid="{00000000-0005-0000-0000-0000281D0000}"/>
    <cellStyle name="20% - Accent5 12 2 3 2" xfId="4796" xr:uid="{00000000-0005-0000-0000-0000291D0000}"/>
    <cellStyle name="20% - Accent5 12 2 3 2 2" xfId="8387" xr:uid="{00000000-0005-0000-0000-00002A1D0000}"/>
    <cellStyle name="20% - Accent5 12 2 3 2 2 2" xfId="16358" xr:uid="{00000000-0005-0000-0000-00002B1D0000}"/>
    <cellStyle name="20% - Accent5 12 2 3 2 2 3" xfId="24304" xr:uid="{00000000-0005-0000-0000-00002C1D0000}"/>
    <cellStyle name="20% - Accent5 12 2 3 2 3" xfId="12820" xr:uid="{00000000-0005-0000-0000-00002D1D0000}"/>
    <cellStyle name="20% - Accent5 12 2 3 2 4" xfId="20775" xr:uid="{00000000-0005-0000-0000-00002E1D0000}"/>
    <cellStyle name="20% - Accent5 12 2 3 3" xfId="6628" xr:uid="{00000000-0005-0000-0000-00002F1D0000}"/>
    <cellStyle name="20% - Accent5 12 2 3 3 2" xfId="14600" xr:uid="{00000000-0005-0000-0000-0000301D0000}"/>
    <cellStyle name="20% - Accent5 12 2 3 3 3" xfId="22547" xr:uid="{00000000-0005-0000-0000-0000311D0000}"/>
    <cellStyle name="20% - Accent5 12 2 3 4" xfId="11064" xr:uid="{00000000-0005-0000-0000-0000321D0000}"/>
    <cellStyle name="20% - Accent5 12 2 3 5" xfId="19019" xr:uid="{00000000-0005-0000-0000-0000331D0000}"/>
    <cellStyle name="20% - Accent5 12 2 3_Exh G" xfId="2457" xr:uid="{00000000-0005-0000-0000-0000341D0000}"/>
    <cellStyle name="20% - Accent5 12 2 4" xfId="3917" xr:uid="{00000000-0005-0000-0000-0000351D0000}"/>
    <cellStyle name="20% - Accent5 12 2 4 2" xfId="7509" xr:uid="{00000000-0005-0000-0000-0000361D0000}"/>
    <cellStyle name="20% - Accent5 12 2 4 2 2" xfId="15480" xr:uid="{00000000-0005-0000-0000-0000371D0000}"/>
    <cellStyle name="20% - Accent5 12 2 4 2 3" xfId="23426" xr:uid="{00000000-0005-0000-0000-0000381D0000}"/>
    <cellStyle name="20% - Accent5 12 2 4 3" xfId="11942" xr:uid="{00000000-0005-0000-0000-0000391D0000}"/>
    <cellStyle name="20% - Accent5 12 2 4 4" xfId="19897" xr:uid="{00000000-0005-0000-0000-00003A1D0000}"/>
    <cellStyle name="20% - Accent5 12 2 5" xfId="5737" xr:uid="{00000000-0005-0000-0000-00003B1D0000}"/>
    <cellStyle name="20% - Accent5 12 2 5 2" xfId="13721" xr:uid="{00000000-0005-0000-0000-00003C1D0000}"/>
    <cellStyle name="20% - Accent5 12 2 5 3" xfId="21669" xr:uid="{00000000-0005-0000-0000-00003D1D0000}"/>
    <cellStyle name="20% - Accent5 12 2 6" xfId="9290" xr:uid="{00000000-0005-0000-0000-00003E1D0000}"/>
    <cellStyle name="20% - Accent5 12 2 6 2" xfId="17248" xr:uid="{00000000-0005-0000-0000-00003F1D0000}"/>
    <cellStyle name="20% - Accent5 12 2 6 3" xfId="25192" xr:uid="{00000000-0005-0000-0000-0000401D0000}"/>
    <cellStyle name="20% - Accent5 12 2 7" xfId="10186" xr:uid="{00000000-0005-0000-0000-0000411D0000}"/>
    <cellStyle name="20% - Accent5 12 2 8" xfId="18141" xr:uid="{00000000-0005-0000-0000-0000421D0000}"/>
    <cellStyle name="20% - Accent5 12 2_Exh G" xfId="2454" xr:uid="{00000000-0005-0000-0000-0000431D0000}"/>
    <cellStyle name="20% - Accent5 12 3" xfId="240" xr:uid="{00000000-0005-0000-0000-0000441D0000}"/>
    <cellStyle name="20% - Accent5 12 3 2" xfId="1268" xr:uid="{00000000-0005-0000-0000-0000451D0000}"/>
    <cellStyle name="20% - Accent5 12 3 2 2" xfId="4798" xr:uid="{00000000-0005-0000-0000-0000461D0000}"/>
    <cellStyle name="20% - Accent5 12 3 2 2 2" xfId="8389" xr:uid="{00000000-0005-0000-0000-0000471D0000}"/>
    <cellStyle name="20% - Accent5 12 3 2 2 2 2" xfId="16360" xr:uid="{00000000-0005-0000-0000-0000481D0000}"/>
    <cellStyle name="20% - Accent5 12 3 2 2 2 3" xfId="24306" xr:uid="{00000000-0005-0000-0000-0000491D0000}"/>
    <cellStyle name="20% - Accent5 12 3 2 2 3" xfId="12822" xr:uid="{00000000-0005-0000-0000-00004A1D0000}"/>
    <cellStyle name="20% - Accent5 12 3 2 2 4" xfId="20777" xr:uid="{00000000-0005-0000-0000-00004B1D0000}"/>
    <cellStyle name="20% - Accent5 12 3 2 3" xfId="6630" xr:uid="{00000000-0005-0000-0000-00004C1D0000}"/>
    <cellStyle name="20% - Accent5 12 3 2 3 2" xfId="14602" xr:uid="{00000000-0005-0000-0000-00004D1D0000}"/>
    <cellStyle name="20% - Accent5 12 3 2 3 3" xfId="22549" xr:uid="{00000000-0005-0000-0000-00004E1D0000}"/>
    <cellStyle name="20% - Accent5 12 3 2 4" xfId="11066" xr:uid="{00000000-0005-0000-0000-00004F1D0000}"/>
    <cellStyle name="20% - Accent5 12 3 2 5" xfId="19021" xr:uid="{00000000-0005-0000-0000-0000501D0000}"/>
    <cellStyle name="20% - Accent5 12 3 2_Exh G" xfId="2459" xr:uid="{00000000-0005-0000-0000-0000511D0000}"/>
    <cellStyle name="20% - Accent5 12 3 3" xfId="3919" xr:uid="{00000000-0005-0000-0000-0000521D0000}"/>
    <cellStyle name="20% - Accent5 12 3 3 2" xfId="7511" xr:uid="{00000000-0005-0000-0000-0000531D0000}"/>
    <cellStyle name="20% - Accent5 12 3 3 2 2" xfId="15482" xr:uid="{00000000-0005-0000-0000-0000541D0000}"/>
    <cellStyle name="20% - Accent5 12 3 3 2 3" xfId="23428" xr:uid="{00000000-0005-0000-0000-0000551D0000}"/>
    <cellStyle name="20% - Accent5 12 3 3 3" xfId="11944" xr:uid="{00000000-0005-0000-0000-0000561D0000}"/>
    <cellStyle name="20% - Accent5 12 3 3 4" xfId="19899" xr:uid="{00000000-0005-0000-0000-0000571D0000}"/>
    <cellStyle name="20% - Accent5 12 3 4" xfId="5739" xr:uid="{00000000-0005-0000-0000-0000581D0000}"/>
    <cellStyle name="20% - Accent5 12 3 4 2" xfId="13723" xr:uid="{00000000-0005-0000-0000-0000591D0000}"/>
    <cellStyle name="20% - Accent5 12 3 4 3" xfId="21671" xr:uid="{00000000-0005-0000-0000-00005A1D0000}"/>
    <cellStyle name="20% - Accent5 12 3 5" xfId="9292" xr:uid="{00000000-0005-0000-0000-00005B1D0000}"/>
    <cellStyle name="20% - Accent5 12 3 5 2" xfId="17250" xr:uid="{00000000-0005-0000-0000-00005C1D0000}"/>
    <cellStyle name="20% - Accent5 12 3 5 3" xfId="25194" xr:uid="{00000000-0005-0000-0000-00005D1D0000}"/>
    <cellStyle name="20% - Accent5 12 3 6" xfId="10188" xr:uid="{00000000-0005-0000-0000-00005E1D0000}"/>
    <cellStyle name="20% - Accent5 12 3 7" xfId="18143" xr:uid="{00000000-0005-0000-0000-00005F1D0000}"/>
    <cellStyle name="20% - Accent5 12 3_Exh G" xfId="2458" xr:uid="{00000000-0005-0000-0000-0000601D0000}"/>
    <cellStyle name="20% - Accent5 12 4" xfId="1265" xr:uid="{00000000-0005-0000-0000-0000611D0000}"/>
    <cellStyle name="20% - Accent5 12 4 2" xfId="4795" xr:uid="{00000000-0005-0000-0000-0000621D0000}"/>
    <cellStyle name="20% - Accent5 12 4 2 2" xfId="8386" xr:uid="{00000000-0005-0000-0000-0000631D0000}"/>
    <cellStyle name="20% - Accent5 12 4 2 2 2" xfId="16357" xr:uid="{00000000-0005-0000-0000-0000641D0000}"/>
    <cellStyle name="20% - Accent5 12 4 2 2 3" xfId="24303" xr:uid="{00000000-0005-0000-0000-0000651D0000}"/>
    <cellStyle name="20% - Accent5 12 4 2 3" xfId="12819" xr:uid="{00000000-0005-0000-0000-0000661D0000}"/>
    <cellStyle name="20% - Accent5 12 4 2 4" xfId="20774" xr:uid="{00000000-0005-0000-0000-0000671D0000}"/>
    <cellStyle name="20% - Accent5 12 4 3" xfId="6627" xr:uid="{00000000-0005-0000-0000-0000681D0000}"/>
    <cellStyle name="20% - Accent5 12 4 3 2" xfId="14599" xr:uid="{00000000-0005-0000-0000-0000691D0000}"/>
    <cellStyle name="20% - Accent5 12 4 3 3" xfId="22546" xr:uid="{00000000-0005-0000-0000-00006A1D0000}"/>
    <cellStyle name="20% - Accent5 12 4 4" xfId="11063" xr:uid="{00000000-0005-0000-0000-00006B1D0000}"/>
    <cellStyle name="20% - Accent5 12 4 5" xfId="19018" xr:uid="{00000000-0005-0000-0000-00006C1D0000}"/>
    <cellStyle name="20% - Accent5 12 4_Exh G" xfId="2460" xr:uid="{00000000-0005-0000-0000-00006D1D0000}"/>
    <cellStyle name="20% - Accent5 12 5" xfId="3916" xr:uid="{00000000-0005-0000-0000-00006E1D0000}"/>
    <cellStyle name="20% - Accent5 12 5 2" xfId="7508" xr:uid="{00000000-0005-0000-0000-00006F1D0000}"/>
    <cellStyle name="20% - Accent5 12 5 2 2" xfId="15479" xr:uid="{00000000-0005-0000-0000-0000701D0000}"/>
    <cellStyle name="20% - Accent5 12 5 2 3" xfId="23425" xr:uid="{00000000-0005-0000-0000-0000711D0000}"/>
    <cellStyle name="20% - Accent5 12 5 3" xfId="11941" xr:uid="{00000000-0005-0000-0000-0000721D0000}"/>
    <cellStyle name="20% - Accent5 12 5 4" xfId="19896" xr:uid="{00000000-0005-0000-0000-0000731D0000}"/>
    <cellStyle name="20% - Accent5 12 6" xfId="5736" xr:uid="{00000000-0005-0000-0000-0000741D0000}"/>
    <cellStyle name="20% - Accent5 12 6 2" xfId="13720" xr:uid="{00000000-0005-0000-0000-0000751D0000}"/>
    <cellStyle name="20% - Accent5 12 6 3" xfId="21668" xr:uid="{00000000-0005-0000-0000-0000761D0000}"/>
    <cellStyle name="20% - Accent5 12 7" xfId="9289" xr:uid="{00000000-0005-0000-0000-0000771D0000}"/>
    <cellStyle name="20% - Accent5 12 7 2" xfId="17247" xr:uid="{00000000-0005-0000-0000-0000781D0000}"/>
    <cellStyle name="20% - Accent5 12 7 3" xfId="25191" xr:uid="{00000000-0005-0000-0000-0000791D0000}"/>
    <cellStyle name="20% - Accent5 12 8" xfId="10185" xr:uid="{00000000-0005-0000-0000-00007A1D0000}"/>
    <cellStyle name="20% - Accent5 12 9" xfId="18140" xr:uid="{00000000-0005-0000-0000-00007B1D0000}"/>
    <cellStyle name="20% - Accent5 12_Exh G" xfId="2453" xr:uid="{00000000-0005-0000-0000-00007C1D0000}"/>
    <cellStyle name="20% - Accent5 13" xfId="241" xr:uid="{00000000-0005-0000-0000-00007D1D0000}"/>
    <cellStyle name="20% - Accent5 13 2" xfId="242" xr:uid="{00000000-0005-0000-0000-00007E1D0000}"/>
    <cellStyle name="20% - Accent5 13 2 2" xfId="243" xr:uid="{00000000-0005-0000-0000-00007F1D0000}"/>
    <cellStyle name="20% - Accent5 13 2 2 2" xfId="1271" xr:uid="{00000000-0005-0000-0000-0000801D0000}"/>
    <cellStyle name="20% - Accent5 13 2 2 2 2" xfId="4801" xr:uid="{00000000-0005-0000-0000-0000811D0000}"/>
    <cellStyle name="20% - Accent5 13 2 2 2 2 2" xfId="8392" xr:uid="{00000000-0005-0000-0000-0000821D0000}"/>
    <cellStyle name="20% - Accent5 13 2 2 2 2 2 2" xfId="16363" xr:uid="{00000000-0005-0000-0000-0000831D0000}"/>
    <cellStyle name="20% - Accent5 13 2 2 2 2 2 3" xfId="24309" xr:uid="{00000000-0005-0000-0000-0000841D0000}"/>
    <cellStyle name="20% - Accent5 13 2 2 2 2 3" xfId="12825" xr:uid="{00000000-0005-0000-0000-0000851D0000}"/>
    <cellStyle name="20% - Accent5 13 2 2 2 2 4" xfId="20780" xr:uid="{00000000-0005-0000-0000-0000861D0000}"/>
    <cellStyle name="20% - Accent5 13 2 2 2 3" xfId="6633" xr:uid="{00000000-0005-0000-0000-0000871D0000}"/>
    <cellStyle name="20% - Accent5 13 2 2 2 3 2" xfId="14605" xr:uid="{00000000-0005-0000-0000-0000881D0000}"/>
    <cellStyle name="20% - Accent5 13 2 2 2 3 3" xfId="22552" xr:uid="{00000000-0005-0000-0000-0000891D0000}"/>
    <cellStyle name="20% - Accent5 13 2 2 2 4" xfId="11069" xr:uid="{00000000-0005-0000-0000-00008A1D0000}"/>
    <cellStyle name="20% - Accent5 13 2 2 2 5" xfId="19024" xr:uid="{00000000-0005-0000-0000-00008B1D0000}"/>
    <cellStyle name="20% - Accent5 13 2 2 2_Exh G" xfId="2464" xr:uid="{00000000-0005-0000-0000-00008C1D0000}"/>
    <cellStyle name="20% - Accent5 13 2 2 3" xfId="3922" xr:uid="{00000000-0005-0000-0000-00008D1D0000}"/>
    <cellStyle name="20% - Accent5 13 2 2 3 2" xfId="7514" xr:uid="{00000000-0005-0000-0000-00008E1D0000}"/>
    <cellStyle name="20% - Accent5 13 2 2 3 2 2" xfId="15485" xr:uid="{00000000-0005-0000-0000-00008F1D0000}"/>
    <cellStyle name="20% - Accent5 13 2 2 3 2 3" xfId="23431" xr:uid="{00000000-0005-0000-0000-0000901D0000}"/>
    <cellStyle name="20% - Accent5 13 2 2 3 3" xfId="11947" xr:uid="{00000000-0005-0000-0000-0000911D0000}"/>
    <cellStyle name="20% - Accent5 13 2 2 3 4" xfId="19902" xr:uid="{00000000-0005-0000-0000-0000921D0000}"/>
    <cellStyle name="20% - Accent5 13 2 2 4" xfId="5742" xr:uid="{00000000-0005-0000-0000-0000931D0000}"/>
    <cellStyle name="20% - Accent5 13 2 2 4 2" xfId="13726" xr:uid="{00000000-0005-0000-0000-0000941D0000}"/>
    <cellStyle name="20% - Accent5 13 2 2 4 3" xfId="21674" xr:uid="{00000000-0005-0000-0000-0000951D0000}"/>
    <cellStyle name="20% - Accent5 13 2 2 5" xfId="9295" xr:uid="{00000000-0005-0000-0000-0000961D0000}"/>
    <cellStyle name="20% - Accent5 13 2 2 5 2" xfId="17253" xr:uid="{00000000-0005-0000-0000-0000971D0000}"/>
    <cellStyle name="20% - Accent5 13 2 2 5 3" xfId="25197" xr:uid="{00000000-0005-0000-0000-0000981D0000}"/>
    <cellStyle name="20% - Accent5 13 2 2 6" xfId="10191" xr:uid="{00000000-0005-0000-0000-0000991D0000}"/>
    <cellStyle name="20% - Accent5 13 2 2 7" xfId="18146" xr:uid="{00000000-0005-0000-0000-00009A1D0000}"/>
    <cellStyle name="20% - Accent5 13 2 2_Exh G" xfId="2463" xr:uid="{00000000-0005-0000-0000-00009B1D0000}"/>
    <cellStyle name="20% - Accent5 13 2 3" xfId="1270" xr:uid="{00000000-0005-0000-0000-00009C1D0000}"/>
    <cellStyle name="20% - Accent5 13 2 3 2" xfId="4800" xr:uid="{00000000-0005-0000-0000-00009D1D0000}"/>
    <cellStyle name="20% - Accent5 13 2 3 2 2" xfId="8391" xr:uid="{00000000-0005-0000-0000-00009E1D0000}"/>
    <cellStyle name="20% - Accent5 13 2 3 2 2 2" xfId="16362" xr:uid="{00000000-0005-0000-0000-00009F1D0000}"/>
    <cellStyle name="20% - Accent5 13 2 3 2 2 3" xfId="24308" xr:uid="{00000000-0005-0000-0000-0000A01D0000}"/>
    <cellStyle name="20% - Accent5 13 2 3 2 3" xfId="12824" xr:uid="{00000000-0005-0000-0000-0000A11D0000}"/>
    <cellStyle name="20% - Accent5 13 2 3 2 4" xfId="20779" xr:uid="{00000000-0005-0000-0000-0000A21D0000}"/>
    <cellStyle name="20% - Accent5 13 2 3 3" xfId="6632" xr:uid="{00000000-0005-0000-0000-0000A31D0000}"/>
    <cellStyle name="20% - Accent5 13 2 3 3 2" xfId="14604" xr:uid="{00000000-0005-0000-0000-0000A41D0000}"/>
    <cellStyle name="20% - Accent5 13 2 3 3 3" xfId="22551" xr:uid="{00000000-0005-0000-0000-0000A51D0000}"/>
    <cellStyle name="20% - Accent5 13 2 3 4" xfId="11068" xr:uid="{00000000-0005-0000-0000-0000A61D0000}"/>
    <cellStyle name="20% - Accent5 13 2 3 5" xfId="19023" xr:uid="{00000000-0005-0000-0000-0000A71D0000}"/>
    <cellStyle name="20% - Accent5 13 2 3_Exh G" xfId="2465" xr:uid="{00000000-0005-0000-0000-0000A81D0000}"/>
    <cellStyle name="20% - Accent5 13 2 4" xfId="3921" xr:uid="{00000000-0005-0000-0000-0000A91D0000}"/>
    <cellStyle name="20% - Accent5 13 2 4 2" xfId="7513" xr:uid="{00000000-0005-0000-0000-0000AA1D0000}"/>
    <cellStyle name="20% - Accent5 13 2 4 2 2" xfId="15484" xr:uid="{00000000-0005-0000-0000-0000AB1D0000}"/>
    <cellStyle name="20% - Accent5 13 2 4 2 3" xfId="23430" xr:uid="{00000000-0005-0000-0000-0000AC1D0000}"/>
    <cellStyle name="20% - Accent5 13 2 4 3" xfId="11946" xr:uid="{00000000-0005-0000-0000-0000AD1D0000}"/>
    <cellStyle name="20% - Accent5 13 2 4 4" xfId="19901" xr:uid="{00000000-0005-0000-0000-0000AE1D0000}"/>
    <cellStyle name="20% - Accent5 13 2 5" xfId="5741" xr:uid="{00000000-0005-0000-0000-0000AF1D0000}"/>
    <cellStyle name="20% - Accent5 13 2 5 2" xfId="13725" xr:uid="{00000000-0005-0000-0000-0000B01D0000}"/>
    <cellStyle name="20% - Accent5 13 2 5 3" xfId="21673" xr:uid="{00000000-0005-0000-0000-0000B11D0000}"/>
    <cellStyle name="20% - Accent5 13 2 6" xfId="9294" xr:uid="{00000000-0005-0000-0000-0000B21D0000}"/>
    <cellStyle name="20% - Accent5 13 2 6 2" xfId="17252" xr:uid="{00000000-0005-0000-0000-0000B31D0000}"/>
    <cellStyle name="20% - Accent5 13 2 6 3" xfId="25196" xr:uid="{00000000-0005-0000-0000-0000B41D0000}"/>
    <cellStyle name="20% - Accent5 13 2 7" xfId="10190" xr:uid="{00000000-0005-0000-0000-0000B51D0000}"/>
    <cellStyle name="20% - Accent5 13 2 8" xfId="18145" xr:uid="{00000000-0005-0000-0000-0000B61D0000}"/>
    <cellStyle name="20% - Accent5 13 2_Exh G" xfId="2462" xr:uid="{00000000-0005-0000-0000-0000B71D0000}"/>
    <cellStyle name="20% - Accent5 13 3" xfId="244" xr:uid="{00000000-0005-0000-0000-0000B81D0000}"/>
    <cellStyle name="20% - Accent5 13 3 2" xfId="1272" xr:uid="{00000000-0005-0000-0000-0000B91D0000}"/>
    <cellStyle name="20% - Accent5 13 3 2 2" xfId="4802" xr:uid="{00000000-0005-0000-0000-0000BA1D0000}"/>
    <cellStyle name="20% - Accent5 13 3 2 2 2" xfId="8393" xr:uid="{00000000-0005-0000-0000-0000BB1D0000}"/>
    <cellStyle name="20% - Accent5 13 3 2 2 2 2" xfId="16364" xr:uid="{00000000-0005-0000-0000-0000BC1D0000}"/>
    <cellStyle name="20% - Accent5 13 3 2 2 2 3" xfId="24310" xr:uid="{00000000-0005-0000-0000-0000BD1D0000}"/>
    <cellStyle name="20% - Accent5 13 3 2 2 3" xfId="12826" xr:uid="{00000000-0005-0000-0000-0000BE1D0000}"/>
    <cellStyle name="20% - Accent5 13 3 2 2 4" xfId="20781" xr:uid="{00000000-0005-0000-0000-0000BF1D0000}"/>
    <cellStyle name="20% - Accent5 13 3 2 3" xfId="6634" xr:uid="{00000000-0005-0000-0000-0000C01D0000}"/>
    <cellStyle name="20% - Accent5 13 3 2 3 2" xfId="14606" xr:uid="{00000000-0005-0000-0000-0000C11D0000}"/>
    <cellStyle name="20% - Accent5 13 3 2 3 3" xfId="22553" xr:uid="{00000000-0005-0000-0000-0000C21D0000}"/>
    <cellStyle name="20% - Accent5 13 3 2 4" xfId="11070" xr:uid="{00000000-0005-0000-0000-0000C31D0000}"/>
    <cellStyle name="20% - Accent5 13 3 2 5" xfId="19025" xr:uid="{00000000-0005-0000-0000-0000C41D0000}"/>
    <cellStyle name="20% - Accent5 13 3 2_Exh G" xfId="2467" xr:uid="{00000000-0005-0000-0000-0000C51D0000}"/>
    <cellStyle name="20% - Accent5 13 3 3" xfId="3923" xr:uid="{00000000-0005-0000-0000-0000C61D0000}"/>
    <cellStyle name="20% - Accent5 13 3 3 2" xfId="7515" xr:uid="{00000000-0005-0000-0000-0000C71D0000}"/>
    <cellStyle name="20% - Accent5 13 3 3 2 2" xfId="15486" xr:uid="{00000000-0005-0000-0000-0000C81D0000}"/>
    <cellStyle name="20% - Accent5 13 3 3 2 3" xfId="23432" xr:uid="{00000000-0005-0000-0000-0000C91D0000}"/>
    <cellStyle name="20% - Accent5 13 3 3 3" xfId="11948" xr:uid="{00000000-0005-0000-0000-0000CA1D0000}"/>
    <cellStyle name="20% - Accent5 13 3 3 4" xfId="19903" xr:uid="{00000000-0005-0000-0000-0000CB1D0000}"/>
    <cellStyle name="20% - Accent5 13 3 4" xfId="5743" xr:uid="{00000000-0005-0000-0000-0000CC1D0000}"/>
    <cellStyle name="20% - Accent5 13 3 4 2" xfId="13727" xr:uid="{00000000-0005-0000-0000-0000CD1D0000}"/>
    <cellStyle name="20% - Accent5 13 3 4 3" xfId="21675" xr:uid="{00000000-0005-0000-0000-0000CE1D0000}"/>
    <cellStyle name="20% - Accent5 13 3 5" xfId="9296" xr:uid="{00000000-0005-0000-0000-0000CF1D0000}"/>
    <cellStyle name="20% - Accent5 13 3 5 2" xfId="17254" xr:uid="{00000000-0005-0000-0000-0000D01D0000}"/>
    <cellStyle name="20% - Accent5 13 3 5 3" xfId="25198" xr:uid="{00000000-0005-0000-0000-0000D11D0000}"/>
    <cellStyle name="20% - Accent5 13 3 6" xfId="10192" xr:uid="{00000000-0005-0000-0000-0000D21D0000}"/>
    <cellStyle name="20% - Accent5 13 3 7" xfId="18147" xr:uid="{00000000-0005-0000-0000-0000D31D0000}"/>
    <cellStyle name="20% - Accent5 13 3_Exh G" xfId="2466" xr:uid="{00000000-0005-0000-0000-0000D41D0000}"/>
    <cellStyle name="20% - Accent5 13 4" xfId="1269" xr:uid="{00000000-0005-0000-0000-0000D51D0000}"/>
    <cellStyle name="20% - Accent5 13 4 2" xfId="4799" xr:uid="{00000000-0005-0000-0000-0000D61D0000}"/>
    <cellStyle name="20% - Accent5 13 4 2 2" xfId="8390" xr:uid="{00000000-0005-0000-0000-0000D71D0000}"/>
    <cellStyle name="20% - Accent5 13 4 2 2 2" xfId="16361" xr:uid="{00000000-0005-0000-0000-0000D81D0000}"/>
    <cellStyle name="20% - Accent5 13 4 2 2 3" xfId="24307" xr:uid="{00000000-0005-0000-0000-0000D91D0000}"/>
    <cellStyle name="20% - Accent5 13 4 2 3" xfId="12823" xr:uid="{00000000-0005-0000-0000-0000DA1D0000}"/>
    <cellStyle name="20% - Accent5 13 4 2 4" xfId="20778" xr:uid="{00000000-0005-0000-0000-0000DB1D0000}"/>
    <cellStyle name="20% - Accent5 13 4 3" xfId="6631" xr:uid="{00000000-0005-0000-0000-0000DC1D0000}"/>
    <cellStyle name="20% - Accent5 13 4 3 2" xfId="14603" xr:uid="{00000000-0005-0000-0000-0000DD1D0000}"/>
    <cellStyle name="20% - Accent5 13 4 3 3" xfId="22550" xr:uid="{00000000-0005-0000-0000-0000DE1D0000}"/>
    <cellStyle name="20% - Accent5 13 4 4" xfId="11067" xr:uid="{00000000-0005-0000-0000-0000DF1D0000}"/>
    <cellStyle name="20% - Accent5 13 4 5" xfId="19022" xr:uid="{00000000-0005-0000-0000-0000E01D0000}"/>
    <cellStyle name="20% - Accent5 13 4_Exh G" xfId="2468" xr:uid="{00000000-0005-0000-0000-0000E11D0000}"/>
    <cellStyle name="20% - Accent5 13 5" xfId="3920" xr:uid="{00000000-0005-0000-0000-0000E21D0000}"/>
    <cellStyle name="20% - Accent5 13 5 2" xfId="7512" xr:uid="{00000000-0005-0000-0000-0000E31D0000}"/>
    <cellStyle name="20% - Accent5 13 5 2 2" xfId="15483" xr:uid="{00000000-0005-0000-0000-0000E41D0000}"/>
    <cellStyle name="20% - Accent5 13 5 2 3" xfId="23429" xr:uid="{00000000-0005-0000-0000-0000E51D0000}"/>
    <cellStyle name="20% - Accent5 13 5 3" xfId="11945" xr:uid="{00000000-0005-0000-0000-0000E61D0000}"/>
    <cellStyle name="20% - Accent5 13 5 4" xfId="19900" xr:uid="{00000000-0005-0000-0000-0000E71D0000}"/>
    <cellStyle name="20% - Accent5 13 6" xfId="5740" xr:uid="{00000000-0005-0000-0000-0000E81D0000}"/>
    <cellStyle name="20% - Accent5 13 6 2" xfId="13724" xr:uid="{00000000-0005-0000-0000-0000E91D0000}"/>
    <cellStyle name="20% - Accent5 13 6 3" xfId="21672" xr:uid="{00000000-0005-0000-0000-0000EA1D0000}"/>
    <cellStyle name="20% - Accent5 13 7" xfId="9293" xr:uid="{00000000-0005-0000-0000-0000EB1D0000}"/>
    <cellStyle name="20% - Accent5 13 7 2" xfId="17251" xr:uid="{00000000-0005-0000-0000-0000EC1D0000}"/>
    <cellStyle name="20% - Accent5 13 7 3" xfId="25195" xr:uid="{00000000-0005-0000-0000-0000ED1D0000}"/>
    <cellStyle name="20% - Accent5 13 8" xfId="10189" xr:uid="{00000000-0005-0000-0000-0000EE1D0000}"/>
    <cellStyle name="20% - Accent5 13 9" xfId="18144" xr:uid="{00000000-0005-0000-0000-0000EF1D0000}"/>
    <cellStyle name="20% - Accent5 13_Exh G" xfId="2461" xr:uid="{00000000-0005-0000-0000-0000F01D0000}"/>
    <cellStyle name="20% - Accent5 14" xfId="245" xr:uid="{00000000-0005-0000-0000-0000F11D0000}"/>
    <cellStyle name="20% - Accent5 14 2" xfId="246" xr:uid="{00000000-0005-0000-0000-0000F21D0000}"/>
    <cellStyle name="20% - Accent5 14 2 2" xfId="1274" xr:uid="{00000000-0005-0000-0000-0000F31D0000}"/>
    <cellStyle name="20% - Accent5 14 2 2 2" xfId="4804" xr:uid="{00000000-0005-0000-0000-0000F41D0000}"/>
    <cellStyle name="20% - Accent5 14 2 2 2 2" xfId="8395" xr:uid="{00000000-0005-0000-0000-0000F51D0000}"/>
    <cellStyle name="20% - Accent5 14 2 2 2 2 2" xfId="16366" xr:uid="{00000000-0005-0000-0000-0000F61D0000}"/>
    <cellStyle name="20% - Accent5 14 2 2 2 2 3" xfId="24312" xr:uid="{00000000-0005-0000-0000-0000F71D0000}"/>
    <cellStyle name="20% - Accent5 14 2 2 2 3" xfId="12828" xr:uid="{00000000-0005-0000-0000-0000F81D0000}"/>
    <cellStyle name="20% - Accent5 14 2 2 2 4" xfId="20783" xr:uid="{00000000-0005-0000-0000-0000F91D0000}"/>
    <cellStyle name="20% - Accent5 14 2 2 3" xfId="6636" xr:uid="{00000000-0005-0000-0000-0000FA1D0000}"/>
    <cellStyle name="20% - Accent5 14 2 2 3 2" xfId="14608" xr:uid="{00000000-0005-0000-0000-0000FB1D0000}"/>
    <cellStyle name="20% - Accent5 14 2 2 3 3" xfId="22555" xr:uid="{00000000-0005-0000-0000-0000FC1D0000}"/>
    <cellStyle name="20% - Accent5 14 2 2 4" xfId="11072" xr:uid="{00000000-0005-0000-0000-0000FD1D0000}"/>
    <cellStyle name="20% - Accent5 14 2 2 5" xfId="19027" xr:uid="{00000000-0005-0000-0000-0000FE1D0000}"/>
    <cellStyle name="20% - Accent5 14 2 2_Exh G" xfId="2471" xr:uid="{00000000-0005-0000-0000-0000FF1D0000}"/>
    <cellStyle name="20% - Accent5 14 2 3" xfId="3925" xr:uid="{00000000-0005-0000-0000-0000001E0000}"/>
    <cellStyle name="20% - Accent5 14 2 3 2" xfId="7517" xr:uid="{00000000-0005-0000-0000-0000011E0000}"/>
    <cellStyle name="20% - Accent5 14 2 3 2 2" xfId="15488" xr:uid="{00000000-0005-0000-0000-0000021E0000}"/>
    <cellStyle name="20% - Accent5 14 2 3 2 3" xfId="23434" xr:uid="{00000000-0005-0000-0000-0000031E0000}"/>
    <cellStyle name="20% - Accent5 14 2 3 3" xfId="11950" xr:uid="{00000000-0005-0000-0000-0000041E0000}"/>
    <cellStyle name="20% - Accent5 14 2 3 4" xfId="19905" xr:uid="{00000000-0005-0000-0000-0000051E0000}"/>
    <cellStyle name="20% - Accent5 14 2 4" xfId="5745" xr:uid="{00000000-0005-0000-0000-0000061E0000}"/>
    <cellStyle name="20% - Accent5 14 2 4 2" xfId="13729" xr:uid="{00000000-0005-0000-0000-0000071E0000}"/>
    <cellStyle name="20% - Accent5 14 2 4 3" xfId="21677" xr:uid="{00000000-0005-0000-0000-0000081E0000}"/>
    <cellStyle name="20% - Accent5 14 2 5" xfId="9298" xr:uid="{00000000-0005-0000-0000-0000091E0000}"/>
    <cellStyle name="20% - Accent5 14 2 5 2" xfId="17256" xr:uid="{00000000-0005-0000-0000-00000A1E0000}"/>
    <cellStyle name="20% - Accent5 14 2 5 3" xfId="25200" xr:uid="{00000000-0005-0000-0000-00000B1E0000}"/>
    <cellStyle name="20% - Accent5 14 2 6" xfId="10194" xr:uid="{00000000-0005-0000-0000-00000C1E0000}"/>
    <cellStyle name="20% - Accent5 14 2 7" xfId="18149" xr:uid="{00000000-0005-0000-0000-00000D1E0000}"/>
    <cellStyle name="20% - Accent5 14 2_Exh G" xfId="2470" xr:uid="{00000000-0005-0000-0000-00000E1E0000}"/>
    <cellStyle name="20% - Accent5 14 3" xfId="1273" xr:uid="{00000000-0005-0000-0000-00000F1E0000}"/>
    <cellStyle name="20% - Accent5 14 3 2" xfId="4803" xr:uid="{00000000-0005-0000-0000-0000101E0000}"/>
    <cellStyle name="20% - Accent5 14 3 2 2" xfId="8394" xr:uid="{00000000-0005-0000-0000-0000111E0000}"/>
    <cellStyle name="20% - Accent5 14 3 2 2 2" xfId="16365" xr:uid="{00000000-0005-0000-0000-0000121E0000}"/>
    <cellStyle name="20% - Accent5 14 3 2 2 3" xfId="24311" xr:uid="{00000000-0005-0000-0000-0000131E0000}"/>
    <cellStyle name="20% - Accent5 14 3 2 3" xfId="12827" xr:uid="{00000000-0005-0000-0000-0000141E0000}"/>
    <cellStyle name="20% - Accent5 14 3 2 4" xfId="20782" xr:uid="{00000000-0005-0000-0000-0000151E0000}"/>
    <cellStyle name="20% - Accent5 14 3 3" xfId="6635" xr:uid="{00000000-0005-0000-0000-0000161E0000}"/>
    <cellStyle name="20% - Accent5 14 3 3 2" xfId="14607" xr:uid="{00000000-0005-0000-0000-0000171E0000}"/>
    <cellStyle name="20% - Accent5 14 3 3 3" xfId="22554" xr:uid="{00000000-0005-0000-0000-0000181E0000}"/>
    <cellStyle name="20% - Accent5 14 3 4" xfId="11071" xr:uid="{00000000-0005-0000-0000-0000191E0000}"/>
    <cellStyle name="20% - Accent5 14 3 5" xfId="19026" xr:uid="{00000000-0005-0000-0000-00001A1E0000}"/>
    <cellStyle name="20% - Accent5 14 3_Exh G" xfId="2472" xr:uid="{00000000-0005-0000-0000-00001B1E0000}"/>
    <cellStyle name="20% - Accent5 14 4" xfId="3924" xr:uid="{00000000-0005-0000-0000-00001C1E0000}"/>
    <cellStyle name="20% - Accent5 14 4 2" xfId="7516" xr:uid="{00000000-0005-0000-0000-00001D1E0000}"/>
    <cellStyle name="20% - Accent5 14 4 2 2" xfId="15487" xr:uid="{00000000-0005-0000-0000-00001E1E0000}"/>
    <cellStyle name="20% - Accent5 14 4 2 3" xfId="23433" xr:uid="{00000000-0005-0000-0000-00001F1E0000}"/>
    <cellStyle name="20% - Accent5 14 4 3" xfId="11949" xr:uid="{00000000-0005-0000-0000-0000201E0000}"/>
    <cellStyle name="20% - Accent5 14 4 4" xfId="19904" xr:uid="{00000000-0005-0000-0000-0000211E0000}"/>
    <cellStyle name="20% - Accent5 14 5" xfId="5744" xr:uid="{00000000-0005-0000-0000-0000221E0000}"/>
    <cellStyle name="20% - Accent5 14 5 2" xfId="13728" xr:uid="{00000000-0005-0000-0000-0000231E0000}"/>
    <cellStyle name="20% - Accent5 14 5 3" xfId="21676" xr:uid="{00000000-0005-0000-0000-0000241E0000}"/>
    <cellStyle name="20% - Accent5 14 6" xfId="9297" xr:uid="{00000000-0005-0000-0000-0000251E0000}"/>
    <cellStyle name="20% - Accent5 14 6 2" xfId="17255" xr:uid="{00000000-0005-0000-0000-0000261E0000}"/>
    <cellStyle name="20% - Accent5 14 6 3" xfId="25199" xr:uid="{00000000-0005-0000-0000-0000271E0000}"/>
    <cellStyle name="20% - Accent5 14 7" xfId="10193" xr:uid="{00000000-0005-0000-0000-0000281E0000}"/>
    <cellStyle name="20% - Accent5 14 8" xfId="18148" xr:uid="{00000000-0005-0000-0000-0000291E0000}"/>
    <cellStyle name="20% - Accent5 14_Exh G" xfId="2469" xr:uid="{00000000-0005-0000-0000-00002A1E0000}"/>
    <cellStyle name="20% - Accent5 15" xfId="247" xr:uid="{00000000-0005-0000-0000-00002B1E0000}"/>
    <cellStyle name="20% - Accent5 15 2" xfId="1275" xr:uid="{00000000-0005-0000-0000-00002C1E0000}"/>
    <cellStyle name="20% - Accent5 15 2 2" xfId="4805" xr:uid="{00000000-0005-0000-0000-00002D1E0000}"/>
    <cellStyle name="20% - Accent5 15 2 2 2" xfId="8396" xr:uid="{00000000-0005-0000-0000-00002E1E0000}"/>
    <cellStyle name="20% - Accent5 15 2 2 2 2" xfId="16367" xr:uid="{00000000-0005-0000-0000-00002F1E0000}"/>
    <cellStyle name="20% - Accent5 15 2 2 2 3" xfId="24313" xr:uid="{00000000-0005-0000-0000-0000301E0000}"/>
    <cellStyle name="20% - Accent5 15 2 2 3" xfId="12829" xr:uid="{00000000-0005-0000-0000-0000311E0000}"/>
    <cellStyle name="20% - Accent5 15 2 2 4" xfId="20784" xr:uid="{00000000-0005-0000-0000-0000321E0000}"/>
    <cellStyle name="20% - Accent5 15 2 3" xfId="6637" xr:uid="{00000000-0005-0000-0000-0000331E0000}"/>
    <cellStyle name="20% - Accent5 15 2 3 2" xfId="14609" xr:uid="{00000000-0005-0000-0000-0000341E0000}"/>
    <cellStyle name="20% - Accent5 15 2 3 3" xfId="22556" xr:uid="{00000000-0005-0000-0000-0000351E0000}"/>
    <cellStyle name="20% - Accent5 15 2 4" xfId="11073" xr:uid="{00000000-0005-0000-0000-0000361E0000}"/>
    <cellStyle name="20% - Accent5 15 2 5" xfId="19028" xr:uid="{00000000-0005-0000-0000-0000371E0000}"/>
    <cellStyle name="20% - Accent5 15 2_Exh G" xfId="2474" xr:uid="{00000000-0005-0000-0000-0000381E0000}"/>
    <cellStyle name="20% - Accent5 15 3" xfId="3926" xr:uid="{00000000-0005-0000-0000-0000391E0000}"/>
    <cellStyle name="20% - Accent5 15 3 2" xfId="7518" xr:uid="{00000000-0005-0000-0000-00003A1E0000}"/>
    <cellStyle name="20% - Accent5 15 3 2 2" xfId="15489" xr:uid="{00000000-0005-0000-0000-00003B1E0000}"/>
    <cellStyle name="20% - Accent5 15 3 2 3" xfId="23435" xr:uid="{00000000-0005-0000-0000-00003C1E0000}"/>
    <cellStyle name="20% - Accent5 15 3 3" xfId="11951" xr:uid="{00000000-0005-0000-0000-00003D1E0000}"/>
    <cellStyle name="20% - Accent5 15 3 4" xfId="19906" xr:uid="{00000000-0005-0000-0000-00003E1E0000}"/>
    <cellStyle name="20% - Accent5 15 4" xfId="5746" xr:uid="{00000000-0005-0000-0000-00003F1E0000}"/>
    <cellStyle name="20% - Accent5 15 4 2" xfId="13730" xr:uid="{00000000-0005-0000-0000-0000401E0000}"/>
    <cellStyle name="20% - Accent5 15 4 3" xfId="21678" xr:uid="{00000000-0005-0000-0000-0000411E0000}"/>
    <cellStyle name="20% - Accent5 15 5" xfId="9299" xr:uid="{00000000-0005-0000-0000-0000421E0000}"/>
    <cellStyle name="20% - Accent5 15 5 2" xfId="17257" xr:uid="{00000000-0005-0000-0000-0000431E0000}"/>
    <cellStyle name="20% - Accent5 15 5 3" xfId="25201" xr:uid="{00000000-0005-0000-0000-0000441E0000}"/>
    <cellStyle name="20% - Accent5 15 6" xfId="10195" xr:uid="{00000000-0005-0000-0000-0000451E0000}"/>
    <cellStyle name="20% - Accent5 15 7" xfId="18150" xr:uid="{00000000-0005-0000-0000-0000461E0000}"/>
    <cellStyle name="20% - Accent5 15_Exh G" xfId="2473" xr:uid="{00000000-0005-0000-0000-0000471E0000}"/>
    <cellStyle name="20% - Accent5 16" xfId="847" xr:uid="{00000000-0005-0000-0000-0000481E0000}"/>
    <cellStyle name="20% - Accent5 16 2" xfId="1786" xr:uid="{00000000-0005-0000-0000-0000491E0000}"/>
    <cellStyle name="20% - Accent5 16 2 2" xfId="5307" xr:uid="{00000000-0005-0000-0000-00004A1E0000}"/>
    <cellStyle name="20% - Accent5 16 2 2 2" xfId="8898" xr:uid="{00000000-0005-0000-0000-00004B1E0000}"/>
    <cellStyle name="20% - Accent5 16 2 2 2 2" xfId="16869" xr:uid="{00000000-0005-0000-0000-00004C1E0000}"/>
    <cellStyle name="20% - Accent5 16 2 2 2 3" xfId="24815" xr:uid="{00000000-0005-0000-0000-00004D1E0000}"/>
    <cellStyle name="20% - Accent5 16 2 2 3" xfId="13331" xr:uid="{00000000-0005-0000-0000-00004E1E0000}"/>
    <cellStyle name="20% - Accent5 16 2 2 4" xfId="21286" xr:uid="{00000000-0005-0000-0000-00004F1E0000}"/>
    <cellStyle name="20% - Accent5 16 2 3" xfId="7139" xr:uid="{00000000-0005-0000-0000-0000501E0000}"/>
    <cellStyle name="20% - Accent5 16 2 3 2" xfId="15111" xr:uid="{00000000-0005-0000-0000-0000511E0000}"/>
    <cellStyle name="20% - Accent5 16 2 3 3" xfId="23058" xr:uid="{00000000-0005-0000-0000-0000521E0000}"/>
    <cellStyle name="20% - Accent5 16 2 4" xfId="11575" xr:uid="{00000000-0005-0000-0000-0000531E0000}"/>
    <cellStyle name="20% - Accent5 16 2 5" xfId="19530" xr:uid="{00000000-0005-0000-0000-0000541E0000}"/>
    <cellStyle name="20% - Accent5 16 2_Exh G" xfId="2476" xr:uid="{00000000-0005-0000-0000-0000551E0000}"/>
    <cellStyle name="20% - Accent5 16 3" xfId="4428" xr:uid="{00000000-0005-0000-0000-0000561E0000}"/>
    <cellStyle name="20% - Accent5 16 3 2" xfId="8020" xr:uid="{00000000-0005-0000-0000-0000571E0000}"/>
    <cellStyle name="20% - Accent5 16 3 2 2" xfId="15991" xr:uid="{00000000-0005-0000-0000-0000581E0000}"/>
    <cellStyle name="20% - Accent5 16 3 2 3" xfId="23937" xr:uid="{00000000-0005-0000-0000-0000591E0000}"/>
    <cellStyle name="20% - Accent5 16 3 3" xfId="12453" xr:uid="{00000000-0005-0000-0000-00005A1E0000}"/>
    <cellStyle name="20% - Accent5 16 3 4" xfId="20408" xr:uid="{00000000-0005-0000-0000-00005B1E0000}"/>
    <cellStyle name="20% - Accent5 16 4" xfId="6258" xr:uid="{00000000-0005-0000-0000-00005C1E0000}"/>
    <cellStyle name="20% - Accent5 16 4 2" xfId="14233" xr:uid="{00000000-0005-0000-0000-00005D1E0000}"/>
    <cellStyle name="20% - Accent5 16 4 3" xfId="22180" xr:uid="{00000000-0005-0000-0000-00005E1E0000}"/>
    <cellStyle name="20% - Accent5 16 5" xfId="9801" xr:uid="{00000000-0005-0000-0000-00005F1E0000}"/>
    <cellStyle name="20% - Accent5 16 5 2" xfId="17759" xr:uid="{00000000-0005-0000-0000-0000601E0000}"/>
    <cellStyle name="20% - Accent5 16 5 3" xfId="25703" xr:uid="{00000000-0005-0000-0000-0000611E0000}"/>
    <cellStyle name="20% - Accent5 16 6" xfId="10697" xr:uid="{00000000-0005-0000-0000-0000621E0000}"/>
    <cellStyle name="20% - Accent5 16 7" xfId="18652" xr:uid="{00000000-0005-0000-0000-0000631E0000}"/>
    <cellStyle name="20% - Accent5 16_Exh G" xfId="2475" xr:uid="{00000000-0005-0000-0000-0000641E0000}"/>
    <cellStyle name="20% - Accent5 2" xfId="248" xr:uid="{00000000-0005-0000-0000-0000651E0000}"/>
    <cellStyle name="20% - Accent5 2 10" xfId="18151" xr:uid="{00000000-0005-0000-0000-0000661E0000}"/>
    <cellStyle name="20% - Accent5 2 2" xfId="249" xr:uid="{00000000-0005-0000-0000-0000671E0000}"/>
    <cellStyle name="20% - Accent5 2 2 2" xfId="250" xr:uid="{00000000-0005-0000-0000-0000681E0000}"/>
    <cellStyle name="20% - Accent5 2 2 2 2" xfId="1278" xr:uid="{00000000-0005-0000-0000-0000691E0000}"/>
    <cellStyle name="20% - Accent5 2 2 2 2 2" xfId="4808" xr:uid="{00000000-0005-0000-0000-00006A1E0000}"/>
    <cellStyle name="20% - Accent5 2 2 2 2 2 2" xfId="8399" xr:uid="{00000000-0005-0000-0000-00006B1E0000}"/>
    <cellStyle name="20% - Accent5 2 2 2 2 2 2 2" xfId="16370" xr:uid="{00000000-0005-0000-0000-00006C1E0000}"/>
    <cellStyle name="20% - Accent5 2 2 2 2 2 2 3" xfId="24316" xr:uid="{00000000-0005-0000-0000-00006D1E0000}"/>
    <cellStyle name="20% - Accent5 2 2 2 2 2 3" xfId="12832" xr:uid="{00000000-0005-0000-0000-00006E1E0000}"/>
    <cellStyle name="20% - Accent5 2 2 2 2 2 4" xfId="20787" xr:uid="{00000000-0005-0000-0000-00006F1E0000}"/>
    <cellStyle name="20% - Accent5 2 2 2 2 3" xfId="6640" xr:uid="{00000000-0005-0000-0000-0000701E0000}"/>
    <cellStyle name="20% - Accent5 2 2 2 2 3 2" xfId="14612" xr:uid="{00000000-0005-0000-0000-0000711E0000}"/>
    <cellStyle name="20% - Accent5 2 2 2 2 3 3" xfId="22559" xr:uid="{00000000-0005-0000-0000-0000721E0000}"/>
    <cellStyle name="20% - Accent5 2 2 2 2 4" xfId="11076" xr:uid="{00000000-0005-0000-0000-0000731E0000}"/>
    <cellStyle name="20% - Accent5 2 2 2 2 5" xfId="19031" xr:uid="{00000000-0005-0000-0000-0000741E0000}"/>
    <cellStyle name="20% - Accent5 2 2 2 2_Exh G" xfId="2480" xr:uid="{00000000-0005-0000-0000-0000751E0000}"/>
    <cellStyle name="20% - Accent5 2 2 2 3" xfId="3929" xr:uid="{00000000-0005-0000-0000-0000761E0000}"/>
    <cellStyle name="20% - Accent5 2 2 2 3 2" xfId="7521" xr:uid="{00000000-0005-0000-0000-0000771E0000}"/>
    <cellStyle name="20% - Accent5 2 2 2 3 2 2" xfId="15492" xr:uid="{00000000-0005-0000-0000-0000781E0000}"/>
    <cellStyle name="20% - Accent5 2 2 2 3 2 3" xfId="23438" xr:uid="{00000000-0005-0000-0000-0000791E0000}"/>
    <cellStyle name="20% - Accent5 2 2 2 3 3" xfId="11954" xr:uid="{00000000-0005-0000-0000-00007A1E0000}"/>
    <cellStyle name="20% - Accent5 2 2 2 3 4" xfId="19909" xr:uid="{00000000-0005-0000-0000-00007B1E0000}"/>
    <cellStyle name="20% - Accent5 2 2 2 4" xfId="5749" xr:uid="{00000000-0005-0000-0000-00007C1E0000}"/>
    <cellStyle name="20% - Accent5 2 2 2 4 2" xfId="13733" xr:uid="{00000000-0005-0000-0000-00007D1E0000}"/>
    <cellStyle name="20% - Accent5 2 2 2 4 3" xfId="21681" xr:uid="{00000000-0005-0000-0000-00007E1E0000}"/>
    <cellStyle name="20% - Accent5 2 2 2 5" xfId="9302" xr:uid="{00000000-0005-0000-0000-00007F1E0000}"/>
    <cellStyle name="20% - Accent5 2 2 2 5 2" xfId="17260" xr:uid="{00000000-0005-0000-0000-0000801E0000}"/>
    <cellStyle name="20% - Accent5 2 2 2 5 3" xfId="25204" xr:uid="{00000000-0005-0000-0000-0000811E0000}"/>
    <cellStyle name="20% - Accent5 2 2 2 6" xfId="10198" xr:uid="{00000000-0005-0000-0000-0000821E0000}"/>
    <cellStyle name="20% - Accent5 2 2 2 7" xfId="18153" xr:uid="{00000000-0005-0000-0000-0000831E0000}"/>
    <cellStyle name="20% - Accent5 2 2 2_Exh G" xfId="2479" xr:uid="{00000000-0005-0000-0000-0000841E0000}"/>
    <cellStyle name="20% - Accent5 2 2 3" xfId="912" xr:uid="{00000000-0005-0000-0000-0000851E0000}"/>
    <cellStyle name="20% - Accent5 2 2 3 2" xfId="1840" xr:uid="{00000000-0005-0000-0000-0000861E0000}"/>
    <cellStyle name="20% - Accent5 2 2 3 2 2" xfId="5358" xr:uid="{00000000-0005-0000-0000-0000871E0000}"/>
    <cellStyle name="20% - Accent5 2 2 3 2 2 2" xfId="8949" xr:uid="{00000000-0005-0000-0000-0000881E0000}"/>
    <cellStyle name="20% - Accent5 2 2 3 2 2 2 2" xfId="16920" xr:uid="{00000000-0005-0000-0000-0000891E0000}"/>
    <cellStyle name="20% - Accent5 2 2 3 2 2 2 3" xfId="24866" xr:uid="{00000000-0005-0000-0000-00008A1E0000}"/>
    <cellStyle name="20% - Accent5 2 2 3 2 2 3" xfId="13382" xr:uid="{00000000-0005-0000-0000-00008B1E0000}"/>
    <cellStyle name="20% - Accent5 2 2 3 2 2 4" xfId="21337" xr:uid="{00000000-0005-0000-0000-00008C1E0000}"/>
    <cellStyle name="20% - Accent5 2 2 3 2 3" xfId="7190" xr:uid="{00000000-0005-0000-0000-00008D1E0000}"/>
    <cellStyle name="20% - Accent5 2 2 3 2 3 2" xfId="15162" xr:uid="{00000000-0005-0000-0000-00008E1E0000}"/>
    <cellStyle name="20% - Accent5 2 2 3 2 3 3" xfId="23109" xr:uid="{00000000-0005-0000-0000-00008F1E0000}"/>
    <cellStyle name="20% - Accent5 2 2 3 2 4" xfId="11626" xr:uid="{00000000-0005-0000-0000-0000901E0000}"/>
    <cellStyle name="20% - Accent5 2 2 3 2 5" xfId="19581" xr:uid="{00000000-0005-0000-0000-0000911E0000}"/>
    <cellStyle name="20% - Accent5 2 2 3 2_Exh G" xfId="2482" xr:uid="{00000000-0005-0000-0000-0000921E0000}"/>
    <cellStyle name="20% - Accent5 2 2 3 3" xfId="4479" xr:uid="{00000000-0005-0000-0000-0000931E0000}"/>
    <cellStyle name="20% - Accent5 2 2 3 3 2" xfId="8071" xr:uid="{00000000-0005-0000-0000-0000941E0000}"/>
    <cellStyle name="20% - Accent5 2 2 3 3 2 2" xfId="16042" xr:uid="{00000000-0005-0000-0000-0000951E0000}"/>
    <cellStyle name="20% - Accent5 2 2 3 3 2 3" xfId="23988" xr:uid="{00000000-0005-0000-0000-0000961E0000}"/>
    <cellStyle name="20% - Accent5 2 2 3 3 3" xfId="12504" xr:uid="{00000000-0005-0000-0000-0000971E0000}"/>
    <cellStyle name="20% - Accent5 2 2 3 3 4" xfId="20459" xr:uid="{00000000-0005-0000-0000-0000981E0000}"/>
    <cellStyle name="20% - Accent5 2 2 3 4" xfId="6309" xr:uid="{00000000-0005-0000-0000-0000991E0000}"/>
    <cellStyle name="20% - Accent5 2 2 3 4 2" xfId="14284" xr:uid="{00000000-0005-0000-0000-00009A1E0000}"/>
    <cellStyle name="20% - Accent5 2 2 3 4 3" xfId="22231" xr:uid="{00000000-0005-0000-0000-00009B1E0000}"/>
    <cellStyle name="20% - Accent5 2 2 3 5" xfId="9852" xr:uid="{00000000-0005-0000-0000-00009C1E0000}"/>
    <cellStyle name="20% - Accent5 2 2 3 5 2" xfId="17810" xr:uid="{00000000-0005-0000-0000-00009D1E0000}"/>
    <cellStyle name="20% - Accent5 2 2 3 5 3" xfId="25754" xr:uid="{00000000-0005-0000-0000-00009E1E0000}"/>
    <cellStyle name="20% - Accent5 2 2 3 6" xfId="10748" xr:uid="{00000000-0005-0000-0000-00009F1E0000}"/>
    <cellStyle name="20% - Accent5 2 2 3 7" xfId="18703" xr:uid="{00000000-0005-0000-0000-0000A01E0000}"/>
    <cellStyle name="20% - Accent5 2 2 3_Exh G" xfId="2481" xr:uid="{00000000-0005-0000-0000-0000A11E0000}"/>
    <cellStyle name="20% - Accent5 2 2 4" xfId="1277" xr:uid="{00000000-0005-0000-0000-0000A21E0000}"/>
    <cellStyle name="20% - Accent5 2 2 4 2" xfId="4807" xr:uid="{00000000-0005-0000-0000-0000A31E0000}"/>
    <cellStyle name="20% - Accent5 2 2 4 2 2" xfId="8398" xr:uid="{00000000-0005-0000-0000-0000A41E0000}"/>
    <cellStyle name="20% - Accent5 2 2 4 2 2 2" xfId="16369" xr:uid="{00000000-0005-0000-0000-0000A51E0000}"/>
    <cellStyle name="20% - Accent5 2 2 4 2 2 3" xfId="24315" xr:uid="{00000000-0005-0000-0000-0000A61E0000}"/>
    <cellStyle name="20% - Accent5 2 2 4 2 3" xfId="12831" xr:uid="{00000000-0005-0000-0000-0000A71E0000}"/>
    <cellStyle name="20% - Accent5 2 2 4 2 4" xfId="20786" xr:uid="{00000000-0005-0000-0000-0000A81E0000}"/>
    <cellStyle name="20% - Accent5 2 2 4 3" xfId="6639" xr:uid="{00000000-0005-0000-0000-0000A91E0000}"/>
    <cellStyle name="20% - Accent5 2 2 4 3 2" xfId="14611" xr:uid="{00000000-0005-0000-0000-0000AA1E0000}"/>
    <cellStyle name="20% - Accent5 2 2 4 3 3" xfId="22558" xr:uid="{00000000-0005-0000-0000-0000AB1E0000}"/>
    <cellStyle name="20% - Accent5 2 2 4 4" xfId="11075" xr:uid="{00000000-0005-0000-0000-0000AC1E0000}"/>
    <cellStyle name="20% - Accent5 2 2 4 5" xfId="19030" xr:uid="{00000000-0005-0000-0000-0000AD1E0000}"/>
    <cellStyle name="20% - Accent5 2 2 4_Exh G" xfId="2483" xr:uid="{00000000-0005-0000-0000-0000AE1E0000}"/>
    <cellStyle name="20% - Accent5 2 2 5" xfId="3928" xr:uid="{00000000-0005-0000-0000-0000AF1E0000}"/>
    <cellStyle name="20% - Accent5 2 2 5 2" xfId="7520" xr:uid="{00000000-0005-0000-0000-0000B01E0000}"/>
    <cellStyle name="20% - Accent5 2 2 5 2 2" xfId="15491" xr:uid="{00000000-0005-0000-0000-0000B11E0000}"/>
    <cellStyle name="20% - Accent5 2 2 5 2 3" xfId="23437" xr:uid="{00000000-0005-0000-0000-0000B21E0000}"/>
    <cellStyle name="20% - Accent5 2 2 5 3" xfId="11953" xr:uid="{00000000-0005-0000-0000-0000B31E0000}"/>
    <cellStyle name="20% - Accent5 2 2 5 4" xfId="19908" xr:uid="{00000000-0005-0000-0000-0000B41E0000}"/>
    <cellStyle name="20% - Accent5 2 2 6" xfId="5748" xr:uid="{00000000-0005-0000-0000-0000B51E0000}"/>
    <cellStyle name="20% - Accent5 2 2 6 2" xfId="13732" xr:uid="{00000000-0005-0000-0000-0000B61E0000}"/>
    <cellStyle name="20% - Accent5 2 2 6 3" xfId="21680" xr:uid="{00000000-0005-0000-0000-0000B71E0000}"/>
    <cellStyle name="20% - Accent5 2 2 7" xfId="9301" xr:uid="{00000000-0005-0000-0000-0000B81E0000}"/>
    <cellStyle name="20% - Accent5 2 2 7 2" xfId="17259" xr:uid="{00000000-0005-0000-0000-0000B91E0000}"/>
    <cellStyle name="20% - Accent5 2 2 7 3" xfId="25203" xr:uid="{00000000-0005-0000-0000-0000BA1E0000}"/>
    <cellStyle name="20% - Accent5 2 2 8" xfId="10197" xr:uid="{00000000-0005-0000-0000-0000BB1E0000}"/>
    <cellStyle name="20% - Accent5 2 2 9" xfId="18152" xr:uid="{00000000-0005-0000-0000-0000BC1E0000}"/>
    <cellStyle name="20% - Accent5 2 2_Exh G" xfId="2478" xr:uid="{00000000-0005-0000-0000-0000BD1E0000}"/>
    <cellStyle name="20% - Accent5 2 3" xfId="251" xr:uid="{00000000-0005-0000-0000-0000BE1E0000}"/>
    <cellStyle name="20% - Accent5 2 3 2" xfId="1279" xr:uid="{00000000-0005-0000-0000-0000BF1E0000}"/>
    <cellStyle name="20% - Accent5 2 3 2 2" xfId="4809" xr:uid="{00000000-0005-0000-0000-0000C01E0000}"/>
    <cellStyle name="20% - Accent5 2 3 2 2 2" xfId="8400" xr:uid="{00000000-0005-0000-0000-0000C11E0000}"/>
    <cellStyle name="20% - Accent5 2 3 2 2 2 2" xfId="16371" xr:uid="{00000000-0005-0000-0000-0000C21E0000}"/>
    <cellStyle name="20% - Accent5 2 3 2 2 2 3" xfId="24317" xr:uid="{00000000-0005-0000-0000-0000C31E0000}"/>
    <cellStyle name="20% - Accent5 2 3 2 2 3" xfId="12833" xr:uid="{00000000-0005-0000-0000-0000C41E0000}"/>
    <cellStyle name="20% - Accent5 2 3 2 2 4" xfId="20788" xr:uid="{00000000-0005-0000-0000-0000C51E0000}"/>
    <cellStyle name="20% - Accent5 2 3 2 3" xfId="6641" xr:uid="{00000000-0005-0000-0000-0000C61E0000}"/>
    <cellStyle name="20% - Accent5 2 3 2 3 2" xfId="14613" xr:uid="{00000000-0005-0000-0000-0000C71E0000}"/>
    <cellStyle name="20% - Accent5 2 3 2 3 3" xfId="22560" xr:uid="{00000000-0005-0000-0000-0000C81E0000}"/>
    <cellStyle name="20% - Accent5 2 3 2 4" xfId="11077" xr:uid="{00000000-0005-0000-0000-0000C91E0000}"/>
    <cellStyle name="20% - Accent5 2 3 2 5" xfId="19032" xr:uid="{00000000-0005-0000-0000-0000CA1E0000}"/>
    <cellStyle name="20% - Accent5 2 3 2_Exh G" xfId="2485" xr:uid="{00000000-0005-0000-0000-0000CB1E0000}"/>
    <cellStyle name="20% - Accent5 2 3 3" xfId="3930" xr:uid="{00000000-0005-0000-0000-0000CC1E0000}"/>
    <cellStyle name="20% - Accent5 2 3 3 2" xfId="7522" xr:uid="{00000000-0005-0000-0000-0000CD1E0000}"/>
    <cellStyle name="20% - Accent5 2 3 3 2 2" xfId="15493" xr:uid="{00000000-0005-0000-0000-0000CE1E0000}"/>
    <cellStyle name="20% - Accent5 2 3 3 2 3" xfId="23439" xr:uid="{00000000-0005-0000-0000-0000CF1E0000}"/>
    <cellStyle name="20% - Accent5 2 3 3 3" xfId="11955" xr:uid="{00000000-0005-0000-0000-0000D01E0000}"/>
    <cellStyle name="20% - Accent5 2 3 3 4" xfId="19910" xr:uid="{00000000-0005-0000-0000-0000D11E0000}"/>
    <cellStyle name="20% - Accent5 2 3 4" xfId="5750" xr:uid="{00000000-0005-0000-0000-0000D21E0000}"/>
    <cellStyle name="20% - Accent5 2 3 4 2" xfId="13734" xr:uid="{00000000-0005-0000-0000-0000D31E0000}"/>
    <cellStyle name="20% - Accent5 2 3 4 3" xfId="21682" xr:uid="{00000000-0005-0000-0000-0000D41E0000}"/>
    <cellStyle name="20% - Accent5 2 3 5" xfId="9303" xr:uid="{00000000-0005-0000-0000-0000D51E0000}"/>
    <cellStyle name="20% - Accent5 2 3 5 2" xfId="17261" xr:uid="{00000000-0005-0000-0000-0000D61E0000}"/>
    <cellStyle name="20% - Accent5 2 3 5 3" xfId="25205" xr:uid="{00000000-0005-0000-0000-0000D71E0000}"/>
    <cellStyle name="20% - Accent5 2 3 6" xfId="10199" xr:uid="{00000000-0005-0000-0000-0000D81E0000}"/>
    <cellStyle name="20% - Accent5 2 3 7" xfId="18154" xr:uid="{00000000-0005-0000-0000-0000D91E0000}"/>
    <cellStyle name="20% - Accent5 2 3_Exh G" xfId="2484" xr:uid="{00000000-0005-0000-0000-0000DA1E0000}"/>
    <cellStyle name="20% - Accent5 2 4" xfId="911" xr:uid="{00000000-0005-0000-0000-0000DB1E0000}"/>
    <cellStyle name="20% - Accent5 2 4 2" xfId="1839" xr:uid="{00000000-0005-0000-0000-0000DC1E0000}"/>
    <cellStyle name="20% - Accent5 2 4 2 2" xfId="5357" xr:uid="{00000000-0005-0000-0000-0000DD1E0000}"/>
    <cellStyle name="20% - Accent5 2 4 2 2 2" xfId="8948" xr:uid="{00000000-0005-0000-0000-0000DE1E0000}"/>
    <cellStyle name="20% - Accent5 2 4 2 2 2 2" xfId="16919" xr:uid="{00000000-0005-0000-0000-0000DF1E0000}"/>
    <cellStyle name="20% - Accent5 2 4 2 2 2 3" xfId="24865" xr:uid="{00000000-0005-0000-0000-0000E01E0000}"/>
    <cellStyle name="20% - Accent5 2 4 2 2 3" xfId="13381" xr:uid="{00000000-0005-0000-0000-0000E11E0000}"/>
    <cellStyle name="20% - Accent5 2 4 2 2 4" xfId="21336" xr:uid="{00000000-0005-0000-0000-0000E21E0000}"/>
    <cellStyle name="20% - Accent5 2 4 2 3" xfId="7189" xr:uid="{00000000-0005-0000-0000-0000E31E0000}"/>
    <cellStyle name="20% - Accent5 2 4 2 3 2" xfId="15161" xr:uid="{00000000-0005-0000-0000-0000E41E0000}"/>
    <cellStyle name="20% - Accent5 2 4 2 3 3" xfId="23108" xr:uid="{00000000-0005-0000-0000-0000E51E0000}"/>
    <cellStyle name="20% - Accent5 2 4 2 4" xfId="11625" xr:uid="{00000000-0005-0000-0000-0000E61E0000}"/>
    <cellStyle name="20% - Accent5 2 4 2 5" xfId="19580" xr:uid="{00000000-0005-0000-0000-0000E71E0000}"/>
    <cellStyle name="20% - Accent5 2 4 2_Exh G" xfId="2487" xr:uid="{00000000-0005-0000-0000-0000E81E0000}"/>
    <cellStyle name="20% - Accent5 2 4 3" xfId="4478" xr:uid="{00000000-0005-0000-0000-0000E91E0000}"/>
    <cellStyle name="20% - Accent5 2 4 3 2" xfId="8070" xr:uid="{00000000-0005-0000-0000-0000EA1E0000}"/>
    <cellStyle name="20% - Accent5 2 4 3 2 2" xfId="16041" xr:uid="{00000000-0005-0000-0000-0000EB1E0000}"/>
    <cellStyle name="20% - Accent5 2 4 3 2 3" xfId="23987" xr:uid="{00000000-0005-0000-0000-0000EC1E0000}"/>
    <cellStyle name="20% - Accent5 2 4 3 3" xfId="12503" xr:uid="{00000000-0005-0000-0000-0000ED1E0000}"/>
    <cellStyle name="20% - Accent5 2 4 3 4" xfId="20458" xr:uid="{00000000-0005-0000-0000-0000EE1E0000}"/>
    <cellStyle name="20% - Accent5 2 4 4" xfId="6308" xr:uid="{00000000-0005-0000-0000-0000EF1E0000}"/>
    <cellStyle name="20% - Accent5 2 4 4 2" xfId="14283" xr:uid="{00000000-0005-0000-0000-0000F01E0000}"/>
    <cellStyle name="20% - Accent5 2 4 4 3" xfId="22230" xr:uid="{00000000-0005-0000-0000-0000F11E0000}"/>
    <cellStyle name="20% - Accent5 2 4 5" xfId="9851" xr:uid="{00000000-0005-0000-0000-0000F21E0000}"/>
    <cellStyle name="20% - Accent5 2 4 5 2" xfId="17809" xr:uid="{00000000-0005-0000-0000-0000F31E0000}"/>
    <cellStyle name="20% - Accent5 2 4 5 3" xfId="25753" xr:uid="{00000000-0005-0000-0000-0000F41E0000}"/>
    <cellStyle name="20% - Accent5 2 4 6" xfId="10747" xr:uid="{00000000-0005-0000-0000-0000F51E0000}"/>
    <cellStyle name="20% - Accent5 2 4 7" xfId="18702" xr:uid="{00000000-0005-0000-0000-0000F61E0000}"/>
    <cellStyle name="20% - Accent5 2 4_Exh G" xfId="2486" xr:uid="{00000000-0005-0000-0000-0000F71E0000}"/>
    <cellStyle name="20% - Accent5 2 5" xfId="1276" xr:uid="{00000000-0005-0000-0000-0000F81E0000}"/>
    <cellStyle name="20% - Accent5 2 5 2" xfId="4806" xr:uid="{00000000-0005-0000-0000-0000F91E0000}"/>
    <cellStyle name="20% - Accent5 2 5 2 2" xfId="8397" xr:uid="{00000000-0005-0000-0000-0000FA1E0000}"/>
    <cellStyle name="20% - Accent5 2 5 2 2 2" xfId="16368" xr:uid="{00000000-0005-0000-0000-0000FB1E0000}"/>
    <cellStyle name="20% - Accent5 2 5 2 2 3" xfId="24314" xr:uid="{00000000-0005-0000-0000-0000FC1E0000}"/>
    <cellStyle name="20% - Accent5 2 5 2 3" xfId="12830" xr:uid="{00000000-0005-0000-0000-0000FD1E0000}"/>
    <cellStyle name="20% - Accent5 2 5 2 4" xfId="20785" xr:uid="{00000000-0005-0000-0000-0000FE1E0000}"/>
    <cellStyle name="20% - Accent5 2 5 3" xfId="6638" xr:uid="{00000000-0005-0000-0000-0000FF1E0000}"/>
    <cellStyle name="20% - Accent5 2 5 3 2" xfId="14610" xr:uid="{00000000-0005-0000-0000-0000001F0000}"/>
    <cellStyle name="20% - Accent5 2 5 3 3" xfId="22557" xr:uid="{00000000-0005-0000-0000-0000011F0000}"/>
    <cellStyle name="20% - Accent5 2 5 4" xfId="11074" xr:uid="{00000000-0005-0000-0000-0000021F0000}"/>
    <cellStyle name="20% - Accent5 2 5 5" xfId="19029" xr:uid="{00000000-0005-0000-0000-0000031F0000}"/>
    <cellStyle name="20% - Accent5 2 5_Exh G" xfId="2488" xr:uid="{00000000-0005-0000-0000-0000041F0000}"/>
    <cellStyle name="20% - Accent5 2 6" xfId="3927" xr:uid="{00000000-0005-0000-0000-0000051F0000}"/>
    <cellStyle name="20% - Accent5 2 6 2" xfId="7519" xr:uid="{00000000-0005-0000-0000-0000061F0000}"/>
    <cellStyle name="20% - Accent5 2 6 2 2" xfId="15490" xr:uid="{00000000-0005-0000-0000-0000071F0000}"/>
    <cellStyle name="20% - Accent5 2 6 2 3" xfId="23436" xr:uid="{00000000-0005-0000-0000-0000081F0000}"/>
    <cellStyle name="20% - Accent5 2 6 3" xfId="11952" xr:uid="{00000000-0005-0000-0000-0000091F0000}"/>
    <cellStyle name="20% - Accent5 2 6 4" xfId="19907" xr:uid="{00000000-0005-0000-0000-00000A1F0000}"/>
    <cellStyle name="20% - Accent5 2 7" xfId="5747" xr:uid="{00000000-0005-0000-0000-00000B1F0000}"/>
    <cellStyle name="20% - Accent5 2 7 2" xfId="13731" xr:uid="{00000000-0005-0000-0000-00000C1F0000}"/>
    <cellStyle name="20% - Accent5 2 7 3" xfId="21679" xr:uid="{00000000-0005-0000-0000-00000D1F0000}"/>
    <cellStyle name="20% - Accent5 2 8" xfId="9300" xr:uid="{00000000-0005-0000-0000-00000E1F0000}"/>
    <cellStyle name="20% - Accent5 2 8 2" xfId="17258" xr:uid="{00000000-0005-0000-0000-00000F1F0000}"/>
    <cellStyle name="20% - Accent5 2 8 3" xfId="25202" xr:uid="{00000000-0005-0000-0000-0000101F0000}"/>
    <cellStyle name="20% - Accent5 2 9" xfId="10196" xr:uid="{00000000-0005-0000-0000-0000111F0000}"/>
    <cellStyle name="20% - Accent5 2_Exh G" xfId="2477" xr:uid="{00000000-0005-0000-0000-0000121F0000}"/>
    <cellStyle name="20% - Accent5 3" xfId="252" xr:uid="{00000000-0005-0000-0000-0000131F0000}"/>
    <cellStyle name="20% - Accent5 3 10" xfId="18155" xr:uid="{00000000-0005-0000-0000-0000141F0000}"/>
    <cellStyle name="20% - Accent5 3 2" xfId="253" xr:uid="{00000000-0005-0000-0000-0000151F0000}"/>
    <cellStyle name="20% - Accent5 3 2 2" xfId="254" xr:uid="{00000000-0005-0000-0000-0000161F0000}"/>
    <cellStyle name="20% - Accent5 3 2 2 2" xfId="1282" xr:uid="{00000000-0005-0000-0000-0000171F0000}"/>
    <cellStyle name="20% - Accent5 3 2 2 2 2" xfId="4812" xr:uid="{00000000-0005-0000-0000-0000181F0000}"/>
    <cellStyle name="20% - Accent5 3 2 2 2 2 2" xfId="8403" xr:uid="{00000000-0005-0000-0000-0000191F0000}"/>
    <cellStyle name="20% - Accent5 3 2 2 2 2 2 2" xfId="16374" xr:uid="{00000000-0005-0000-0000-00001A1F0000}"/>
    <cellStyle name="20% - Accent5 3 2 2 2 2 2 3" xfId="24320" xr:uid="{00000000-0005-0000-0000-00001B1F0000}"/>
    <cellStyle name="20% - Accent5 3 2 2 2 2 3" xfId="12836" xr:uid="{00000000-0005-0000-0000-00001C1F0000}"/>
    <cellStyle name="20% - Accent5 3 2 2 2 2 4" xfId="20791" xr:uid="{00000000-0005-0000-0000-00001D1F0000}"/>
    <cellStyle name="20% - Accent5 3 2 2 2 3" xfId="6644" xr:uid="{00000000-0005-0000-0000-00001E1F0000}"/>
    <cellStyle name="20% - Accent5 3 2 2 2 3 2" xfId="14616" xr:uid="{00000000-0005-0000-0000-00001F1F0000}"/>
    <cellStyle name="20% - Accent5 3 2 2 2 3 3" xfId="22563" xr:uid="{00000000-0005-0000-0000-0000201F0000}"/>
    <cellStyle name="20% - Accent5 3 2 2 2 4" xfId="11080" xr:uid="{00000000-0005-0000-0000-0000211F0000}"/>
    <cellStyle name="20% - Accent5 3 2 2 2 5" xfId="19035" xr:uid="{00000000-0005-0000-0000-0000221F0000}"/>
    <cellStyle name="20% - Accent5 3 2 2 2_Exh G" xfId="2492" xr:uid="{00000000-0005-0000-0000-0000231F0000}"/>
    <cellStyle name="20% - Accent5 3 2 2 3" xfId="3933" xr:uid="{00000000-0005-0000-0000-0000241F0000}"/>
    <cellStyle name="20% - Accent5 3 2 2 3 2" xfId="7525" xr:uid="{00000000-0005-0000-0000-0000251F0000}"/>
    <cellStyle name="20% - Accent5 3 2 2 3 2 2" xfId="15496" xr:uid="{00000000-0005-0000-0000-0000261F0000}"/>
    <cellStyle name="20% - Accent5 3 2 2 3 2 3" xfId="23442" xr:uid="{00000000-0005-0000-0000-0000271F0000}"/>
    <cellStyle name="20% - Accent5 3 2 2 3 3" xfId="11958" xr:uid="{00000000-0005-0000-0000-0000281F0000}"/>
    <cellStyle name="20% - Accent5 3 2 2 3 4" xfId="19913" xr:uid="{00000000-0005-0000-0000-0000291F0000}"/>
    <cellStyle name="20% - Accent5 3 2 2 4" xfId="5753" xr:uid="{00000000-0005-0000-0000-00002A1F0000}"/>
    <cellStyle name="20% - Accent5 3 2 2 4 2" xfId="13737" xr:uid="{00000000-0005-0000-0000-00002B1F0000}"/>
    <cellStyle name="20% - Accent5 3 2 2 4 3" xfId="21685" xr:uid="{00000000-0005-0000-0000-00002C1F0000}"/>
    <cellStyle name="20% - Accent5 3 2 2 5" xfId="9306" xr:uid="{00000000-0005-0000-0000-00002D1F0000}"/>
    <cellStyle name="20% - Accent5 3 2 2 5 2" xfId="17264" xr:uid="{00000000-0005-0000-0000-00002E1F0000}"/>
    <cellStyle name="20% - Accent5 3 2 2 5 3" xfId="25208" xr:uid="{00000000-0005-0000-0000-00002F1F0000}"/>
    <cellStyle name="20% - Accent5 3 2 2 6" xfId="10202" xr:uid="{00000000-0005-0000-0000-0000301F0000}"/>
    <cellStyle name="20% - Accent5 3 2 2 7" xfId="18157" xr:uid="{00000000-0005-0000-0000-0000311F0000}"/>
    <cellStyle name="20% - Accent5 3 2 2_Exh G" xfId="2491" xr:uid="{00000000-0005-0000-0000-0000321F0000}"/>
    <cellStyle name="20% - Accent5 3 2 3" xfId="914" xr:uid="{00000000-0005-0000-0000-0000331F0000}"/>
    <cellStyle name="20% - Accent5 3 2 3 2" xfId="1842" xr:uid="{00000000-0005-0000-0000-0000341F0000}"/>
    <cellStyle name="20% - Accent5 3 2 3 2 2" xfId="5360" xr:uid="{00000000-0005-0000-0000-0000351F0000}"/>
    <cellStyle name="20% - Accent5 3 2 3 2 2 2" xfId="8951" xr:uid="{00000000-0005-0000-0000-0000361F0000}"/>
    <cellStyle name="20% - Accent5 3 2 3 2 2 2 2" xfId="16922" xr:uid="{00000000-0005-0000-0000-0000371F0000}"/>
    <cellStyle name="20% - Accent5 3 2 3 2 2 2 3" xfId="24868" xr:uid="{00000000-0005-0000-0000-0000381F0000}"/>
    <cellStyle name="20% - Accent5 3 2 3 2 2 3" xfId="13384" xr:uid="{00000000-0005-0000-0000-0000391F0000}"/>
    <cellStyle name="20% - Accent5 3 2 3 2 2 4" xfId="21339" xr:uid="{00000000-0005-0000-0000-00003A1F0000}"/>
    <cellStyle name="20% - Accent5 3 2 3 2 3" xfId="7192" xr:uid="{00000000-0005-0000-0000-00003B1F0000}"/>
    <cellStyle name="20% - Accent5 3 2 3 2 3 2" xfId="15164" xr:uid="{00000000-0005-0000-0000-00003C1F0000}"/>
    <cellStyle name="20% - Accent5 3 2 3 2 3 3" xfId="23111" xr:uid="{00000000-0005-0000-0000-00003D1F0000}"/>
    <cellStyle name="20% - Accent5 3 2 3 2 4" xfId="11628" xr:uid="{00000000-0005-0000-0000-00003E1F0000}"/>
    <cellStyle name="20% - Accent5 3 2 3 2 5" xfId="19583" xr:uid="{00000000-0005-0000-0000-00003F1F0000}"/>
    <cellStyle name="20% - Accent5 3 2 3 2_Exh G" xfId="2494" xr:uid="{00000000-0005-0000-0000-0000401F0000}"/>
    <cellStyle name="20% - Accent5 3 2 3 3" xfId="4481" xr:uid="{00000000-0005-0000-0000-0000411F0000}"/>
    <cellStyle name="20% - Accent5 3 2 3 3 2" xfId="8073" xr:uid="{00000000-0005-0000-0000-0000421F0000}"/>
    <cellStyle name="20% - Accent5 3 2 3 3 2 2" xfId="16044" xr:uid="{00000000-0005-0000-0000-0000431F0000}"/>
    <cellStyle name="20% - Accent5 3 2 3 3 2 3" xfId="23990" xr:uid="{00000000-0005-0000-0000-0000441F0000}"/>
    <cellStyle name="20% - Accent5 3 2 3 3 3" xfId="12506" xr:uid="{00000000-0005-0000-0000-0000451F0000}"/>
    <cellStyle name="20% - Accent5 3 2 3 3 4" xfId="20461" xr:uid="{00000000-0005-0000-0000-0000461F0000}"/>
    <cellStyle name="20% - Accent5 3 2 3 4" xfId="6311" xr:uid="{00000000-0005-0000-0000-0000471F0000}"/>
    <cellStyle name="20% - Accent5 3 2 3 4 2" xfId="14286" xr:uid="{00000000-0005-0000-0000-0000481F0000}"/>
    <cellStyle name="20% - Accent5 3 2 3 4 3" xfId="22233" xr:uid="{00000000-0005-0000-0000-0000491F0000}"/>
    <cellStyle name="20% - Accent5 3 2 3 5" xfId="9854" xr:uid="{00000000-0005-0000-0000-00004A1F0000}"/>
    <cellStyle name="20% - Accent5 3 2 3 5 2" xfId="17812" xr:uid="{00000000-0005-0000-0000-00004B1F0000}"/>
    <cellStyle name="20% - Accent5 3 2 3 5 3" xfId="25756" xr:uid="{00000000-0005-0000-0000-00004C1F0000}"/>
    <cellStyle name="20% - Accent5 3 2 3 6" xfId="10750" xr:uid="{00000000-0005-0000-0000-00004D1F0000}"/>
    <cellStyle name="20% - Accent5 3 2 3 7" xfId="18705" xr:uid="{00000000-0005-0000-0000-00004E1F0000}"/>
    <cellStyle name="20% - Accent5 3 2 3_Exh G" xfId="2493" xr:uid="{00000000-0005-0000-0000-00004F1F0000}"/>
    <cellStyle name="20% - Accent5 3 2 4" xfId="1281" xr:uid="{00000000-0005-0000-0000-0000501F0000}"/>
    <cellStyle name="20% - Accent5 3 2 4 2" xfId="4811" xr:uid="{00000000-0005-0000-0000-0000511F0000}"/>
    <cellStyle name="20% - Accent5 3 2 4 2 2" xfId="8402" xr:uid="{00000000-0005-0000-0000-0000521F0000}"/>
    <cellStyle name="20% - Accent5 3 2 4 2 2 2" xfId="16373" xr:uid="{00000000-0005-0000-0000-0000531F0000}"/>
    <cellStyle name="20% - Accent5 3 2 4 2 2 3" xfId="24319" xr:uid="{00000000-0005-0000-0000-0000541F0000}"/>
    <cellStyle name="20% - Accent5 3 2 4 2 3" xfId="12835" xr:uid="{00000000-0005-0000-0000-0000551F0000}"/>
    <cellStyle name="20% - Accent5 3 2 4 2 4" xfId="20790" xr:uid="{00000000-0005-0000-0000-0000561F0000}"/>
    <cellStyle name="20% - Accent5 3 2 4 3" xfId="6643" xr:uid="{00000000-0005-0000-0000-0000571F0000}"/>
    <cellStyle name="20% - Accent5 3 2 4 3 2" xfId="14615" xr:uid="{00000000-0005-0000-0000-0000581F0000}"/>
    <cellStyle name="20% - Accent5 3 2 4 3 3" xfId="22562" xr:uid="{00000000-0005-0000-0000-0000591F0000}"/>
    <cellStyle name="20% - Accent5 3 2 4 4" xfId="11079" xr:uid="{00000000-0005-0000-0000-00005A1F0000}"/>
    <cellStyle name="20% - Accent5 3 2 4 5" xfId="19034" xr:uid="{00000000-0005-0000-0000-00005B1F0000}"/>
    <cellStyle name="20% - Accent5 3 2 4_Exh G" xfId="2495" xr:uid="{00000000-0005-0000-0000-00005C1F0000}"/>
    <cellStyle name="20% - Accent5 3 2 5" xfId="3932" xr:uid="{00000000-0005-0000-0000-00005D1F0000}"/>
    <cellStyle name="20% - Accent5 3 2 5 2" xfId="7524" xr:uid="{00000000-0005-0000-0000-00005E1F0000}"/>
    <cellStyle name="20% - Accent5 3 2 5 2 2" xfId="15495" xr:uid="{00000000-0005-0000-0000-00005F1F0000}"/>
    <cellStyle name="20% - Accent5 3 2 5 2 3" xfId="23441" xr:uid="{00000000-0005-0000-0000-0000601F0000}"/>
    <cellStyle name="20% - Accent5 3 2 5 3" xfId="11957" xr:uid="{00000000-0005-0000-0000-0000611F0000}"/>
    <cellStyle name="20% - Accent5 3 2 5 4" xfId="19912" xr:uid="{00000000-0005-0000-0000-0000621F0000}"/>
    <cellStyle name="20% - Accent5 3 2 6" xfId="5752" xr:uid="{00000000-0005-0000-0000-0000631F0000}"/>
    <cellStyle name="20% - Accent5 3 2 6 2" xfId="13736" xr:uid="{00000000-0005-0000-0000-0000641F0000}"/>
    <cellStyle name="20% - Accent5 3 2 6 3" xfId="21684" xr:uid="{00000000-0005-0000-0000-0000651F0000}"/>
    <cellStyle name="20% - Accent5 3 2 7" xfId="9305" xr:uid="{00000000-0005-0000-0000-0000661F0000}"/>
    <cellStyle name="20% - Accent5 3 2 7 2" xfId="17263" xr:uid="{00000000-0005-0000-0000-0000671F0000}"/>
    <cellStyle name="20% - Accent5 3 2 7 3" xfId="25207" xr:uid="{00000000-0005-0000-0000-0000681F0000}"/>
    <cellStyle name="20% - Accent5 3 2 8" xfId="10201" xr:uid="{00000000-0005-0000-0000-0000691F0000}"/>
    <cellStyle name="20% - Accent5 3 2 9" xfId="18156" xr:uid="{00000000-0005-0000-0000-00006A1F0000}"/>
    <cellStyle name="20% - Accent5 3 2_Exh G" xfId="2490" xr:uid="{00000000-0005-0000-0000-00006B1F0000}"/>
    <cellStyle name="20% - Accent5 3 3" xfId="255" xr:uid="{00000000-0005-0000-0000-00006C1F0000}"/>
    <cellStyle name="20% - Accent5 3 3 2" xfId="1283" xr:uid="{00000000-0005-0000-0000-00006D1F0000}"/>
    <cellStyle name="20% - Accent5 3 3 2 2" xfId="4813" xr:uid="{00000000-0005-0000-0000-00006E1F0000}"/>
    <cellStyle name="20% - Accent5 3 3 2 2 2" xfId="8404" xr:uid="{00000000-0005-0000-0000-00006F1F0000}"/>
    <cellStyle name="20% - Accent5 3 3 2 2 2 2" xfId="16375" xr:uid="{00000000-0005-0000-0000-0000701F0000}"/>
    <cellStyle name="20% - Accent5 3 3 2 2 2 3" xfId="24321" xr:uid="{00000000-0005-0000-0000-0000711F0000}"/>
    <cellStyle name="20% - Accent5 3 3 2 2 3" xfId="12837" xr:uid="{00000000-0005-0000-0000-0000721F0000}"/>
    <cellStyle name="20% - Accent5 3 3 2 2 4" xfId="20792" xr:uid="{00000000-0005-0000-0000-0000731F0000}"/>
    <cellStyle name="20% - Accent5 3 3 2 3" xfId="6645" xr:uid="{00000000-0005-0000-0000-0000741F0000}"/>
    <cellStyle name="20% - Accent5 3 3 2 3 2" xfId="14617" xr:uid="{00000000-0005-0000-0000-0000751F0000}"/>
    <cellStyle name="20% - Accent5 3 3 2 3 3" xfId="22564" xr:uid="{00000000-0005-0000-0000-0000761F0000}"/>
    <cellStyle name="20% - Accent5 3 3 2 4" xfId="11081" xr:uid="{00000000-0005-0000-0000-0000771F0000}"/>
    <cellStyle name="20% - Accent5 3 3 2 5" xfId="19036" xr:uid="{00000000-0005-0000-0000-0000781F0000}"/>
    <cellStyle name="20% - Accent5 3 3 2_Exh G" xfId="2497" xr:uid="{00000000-0005-0000-0000-0000791F0000}"/>
    <cellStyle name="20% - Accent5 3 3 3" xfId="3934" xr:uid="{00000000-0005-0000-0000-00007A1F0000}"/>
    <cellStyle name="20% - Accent5 3 3 3 2" xfId="7526" xr:uid="{00000000-0005-0000-0000-00007B1F0000}"/>
    <cellStyle name="20% - Accent5 3 3 3 2 2" xfId="15497" xr:uid="{00000000-0005-0000-0000-00007C1F0000}"/>
    <cellStyle name="20% - Accent5 3 3 3 2 3" xfId="23443" xr:uid="{00000000-0005-0000-0000-00007D1F0000}"/>
    <cellStyle name="20% - Accent5 3 3 3 3" xfId="11959" xr:uid="{00000000-0005-0000-0000-00007E1F0000}"/>
    <cellStyle name="20% - Accent5 3 3 3 4" xfId="19914" xr:uid="{00000000-0005-0000-0000-00007F1F0000}"/>
    <cellStyle name="20% - Accent5 3 3 4" xfId="5754" xr:uid="{00000000-0005-0000-0000-0000801F0000}"/>
    <cellStyle name="20% - Accent5 3 3 4 2" xfId="13738" xr:uid="{00000000-0005-0000-0000-0000811F0000}"/>
    <cellStyle name="20% - Accent5 3 3 4 3" xfId="21686" xr:uid="{00000000-0005-0000-0000-0000821F0000}"/>
    <cellStyle name="20% - Accent5 3 3 5" xfId="9307" xr:uid="{00000000-0005-0000-0000-0000831F0000}"/>
    <cellStyle name="20% - Accent5 3 3 5 2" xfId="17265" xr:uid="{00000000-0005-0000-0000-0000841F0000}"/>
    <cellStyle name="20% - Accent5 3 3 5 3" xfId="25209" xr:uid="{00000000-0005-0000-0000-0000851F0000}"/>
    <cellStyle name="20% - Accent5 3 3 6" xfId="10203" xr:uid="{00000000-0005-0000-0000-0000861F0000}"/>
    <cellStyle name="20% - Accent5 3 3 7" xfId="18158" xr:uid="{00000000-0005-0000-0000-0000871F0000}"/>
    <cellStyle name="20% - Accent5 3 3_Exh G" xfId="2496" xr:uid="{00000000-0005-0000-0000-0000881F0000}"/>
    <cellStyle name="20% - Accent5 3 4" xfId="913" xr:uid="{00000000-0005-0000-0000-0000891F0000}"/>
    <cellStyle name="20% - Accent5 3 4 2" xfId="1841" xr:uid="{00000000-0005-0000-0000-00008A1F0000}"/>
    <cellStyle name="20% - Accent5 3 4 2 2" xfId="5359" xr:uid="{00000000-0005-0000-0000-00008B1F0000}"/>
    <cellStyle name="20% - Accent5 3 4 2 2 2" xfId="8950" xr:uid="{00000000-0005-0000-0000-00008C1F0000}"/>
    <cellStyle name="20% - Accent5 3 4 2 2 2 2" xfId="16921" xr:uid="{00000000-0005-0000-0000-00008D1F0000}"/>
    <cellStyle name="20% - Accent5 3 4 2 2 2 3" xfId="24867" xr:uid="{00000000-0005-0000-0000-00008E1F0000}"/>
    <cellStyle name="20% - Accent5 3 4 2 2 3" xfId="13383" xr:uid="{00000000-0005-0000-0000-00008F1F0000}"/>
    <cellStyle name="20% - Accent5 3 4 2 2 4" xfId="21338" xr:uid="{00000000-0005-0000-0000-0000901F0000}"/>
    <cellStyle name="20% - Accent5 3 4 2 3" xfId="7191" xr:uid="{00000000-0005-0000-0000-0000911F0000}"/>
    <cellStyle name="20% - Accent5 3 4 2 3 2" xfId="15163" xr:uid="{00000000-0005-0000-0000-0000921F0000}"/>
    <cellStyle name="20% - Accent5 3 4 2 3 3" xfId="23110" xr:uid="{00000000-0005-0000-0000-0000931F0000}"/>
    <cellStyle name="20% - Accent5 3 4 2 4" xfId="11627" xr:uid="{00000000-0005-0000-0000-0000941F0000}"/>
    <cellStyle name="20% - Accent5 3 4 2 5" xfId="19582" xr:uid="{00000000-0005-0000-0000-0000951F0000}"/>
    <cellStyle name="20% - Accent5 3 4 2_Exh G" xfId="2499" xr:uid="{00000000-0005-0000-0000-0000961F0000}"/>
    <cellStyle name="20% - Accent5 3 4 3" xfId="4480" xr:uid="{00000000-0005-0000-0000-0000971F0000}"/>
    <cellStyle name="20% - Accent5 3 4 3 2" xfId="8072" xr:uid="{00000000-0005-0000-0000-0000981F0000}"/>
    <cellStyle name="20% - Accent5 3 4 3 2 2" xfId="16043" xr:uid="{00000000-0005-0000-0000-0000991F0000}"/>
    <cellStyle name="20% - Accent5 3 4 3 2 3" xfId="23989" xr:uid="{00000000-0005-0000-0000-00009A1F0000}"/>
    <cellStyle name="20% - Accent5 3 4 3 3" xfId="12505" xr:uid="{00000000-0005-0000-0000-00009B1F0000}"/>
    <cellStyle name="20% - Accent5 3 4 3 4" xfId="20460" xr:uid="{00000000-0005-0000-0000-00009C1F0000}"/>
    <cellStyle name="20% - Accent5 3 4 4" xfId="6310" xr:uid="{00000000-0005-0000-0000-00009D1F0000}"/>
    <cellStyle name="20% - Accent5 3 4 4 2" xfId="14285" xr:uid="{00000000-0005-0000-0000-00009E1F0000}"/>
    <cellStyle name="20% - Accent5 3 4 4 3" xfId="22232" xr:uid="{00000000-0005-0000-0000-00009F1F0000}"/>
    <cellStyle name="20% - Accent5 3 4 5" xfId="9853" xr:uid="{00000000-0005-0000-0000-0000A01F0000}"/>
    <cellStyle name="20% - Accent5 3 4 5 2" xfId="17811" xr:uid="{00000000-0005-0000-0000-0000A11F0000}"/>
    <cellStyle name="20% - Accent5 3 4 5 3" xfId="25755" xr:uid="{00000000-0005-0000-0000-0000A21F0000}"/>
    <cellStyle name="20% - Accent5 3 4 6" xfId="10749" xr:uid="{00000000-0005-0000-0000-0000A31F0000}"/>
    <cellStyle name="20% - Accent5 3 4 7" xfId="18704" xr:uid="{00000000-0005-0000-0000-0000A41F0000}"/>
    <cellStyle name="20% - Accent5 3 4_Exh G" xfId="2498" xr:uid="{00000000-0005-0000-0000-0000A51F0000}"/>
    <cellStyle name="20% - Accent5 3 5" xfId="1280" xr:uid="{00000000-0005-0000-0000-0000A61F0000}"/>
    <cellStyle name="20% - Accent5 3 5 2" xfId="4810" xr:uid="{00000000-0005-0000-0000-0000A71F0000}"/>
    <cellStyle name="20% - Accent5 3 5 2 2" xfId="8401" xr:uid="{00000000-0005-0000-0000-0000A81F0000}"/>
    <cellStyle name="20% - Accent5 3 5 2 2 2" xfId="16372" xr:uid="{00000000-0005-0000-0000-0000A91F0000}"/>
    <cellStyle name="20% - Accent5 3 5 2 2 3" xfId="24318" xr:uid="{00000000-0005-0000-0000-0000AA1F0000}"/>
    <cellStyle name="20% - Accent5 3 5 2 3" xfId="12834" xr:uid="{00000000-0005-0000-0000-0000AB1F0000}"/>
    <cellStyle name="20% - Accent5 3 5 2 4" xfId="20789" xr:uid="{00000000-0005-0000-0000-0000AC1F0000}"/>
    <cellStyle name="20% - Accent5 3 5 3" xfId="6642" xr:uid="{00000000-0005-0000-0000-0000AD1F0000}"/>
    <cellStyle name="20% - Accent5 3 5 3 2" xfId="14614" xr:uid="{00000000-0005-0000-0000-0000AE1F0000}"/>
    <cellStyle name="20% - Accent5 3 5 3 3" xfId="22561" xr:uid="{00000000-0005-0000-0000-0000AF1F0000}"/>
    <cellStyle name="20% - Accent5 3 5 4" xfId="11078" xr:uid="{00000000-0005-0000-0000-0000B01F0000}"/>
    <cellStyle name="20% - Accent5 3 5 5" xfId="19033" xr:uid="{00000000-0005-0000-0000-0000B11F0000}"/>
    <cellStyle name="20% - Accent5 3 5_Exh G" xfId="2500" xr:uid="{00000000-0005-0000-0000-0000B21F0000}"/>
    <cellStyle name="20% - Accent5 3 6" xfId="3931" xr:uid="{00000000-0005-0000-0000-0000B31F0000}"/>
    <cellStyle name="20% - Accent5 3 6 2" xfId="7523" xr:uid="{00000000-0005-0000-0000-0000B41F0000}"/>
    <cellStyle name="20% - Accent5 3 6 2 2" xfId="15494" xr:uid="{00000000-0005-0000-0000-0000B51F0000}"/>
    <cellStyle name="20% - Accent5 3 6 2 3" xfId="23440" xr:uid="{00000000-0005-0000-0000-0000B61F0000}"/>
    <cellStyle name="20% - Accent5 3 6 3" xfId="11956" xr:uid="{00000000-0005-0000-0000-0000B71F0000}"/>
    <cellStyle name="20% - Accent5 3 6 4" xfId="19911" xr:uid="{00000000-0005-0000-0000-0000B81F0000}"/>
    <cellStyle name="20% - Accent5 3 7" xfId="5751" xr:uid="{00000000-0005-0000-0000-0000B91F0000}"/>
    <cellStyle name="20% - Accent5 3 7 2" xfId="13735" xr:uid="{00000000-0005-0000-0000-0000BA1F0000}"/>
    <cellStyle name="20% - Accent5 3 7 3" xfId="21683" xr:uid="{00000000-0005-0000-0000-0000BB1F0000}"/>
    <cellStyle name="20% - Accent5 3 8" xfId="9304" xr:uid="{00000000-0005-0000-0000-0000BC1F0000}"/>
    <cellStyle name="20% - Accent5 3 8 2" xfId="17262" xr:uid="{00000000-0005-0000-0000-0000BD1F0000}"/>
    <cellStyle name="20% - Accent5 3 8 3" xfId="25206" xr:uid="{00000000-0005-0000-0000-0000BE1F0000}"/>
    <cellStyle name="20% - Accent5 3 9" xfId="10200" xr:uid="{00000000-0005-0000-0000-0000BF1F0000}"/>
    <cellStyle name="20% - Accent5 3_Exh G" xfId="2489" xr:uid="{00000000-0005-0000-0000-0000C01F0000}"/>
    <cellStyle name="20% - Accent5 4" xfId="256" xr:uid="{00000000-0005-0000-0000-0000C11F0000}"/>
    <cellStyle name="20% - Accent5 4 10" xfId="18159" xr:uid="{00000000-0005-0000-0000-0000C21F0000}"/>
    <cellStyle name="20% - Accent5 4 2" xfId="257" xr:uid="{00000000-0005-0000-0000-0000C31F0000}"/>
    <cellStyle name="20% - Accent5 4 2 2" xfId="258" xr:uid="{00000000-0005-0000-0000-0000C41F0000}"/>
    <cellStyle name="20% - Accent5 4 2 2 2" xfId="1286" xr:uid="{00000000-0005-0000-0000-0000C51F0000}"/>
    <cellStyle name="20% - Accent5 4 2 2 2 2" xfId="4816" xr:uid="{00000000-0005-0000-0000-0000C61F0000}"/>
    <cellStyle name="20% - Accent5 4 2 2 2 2 2" xfId="8407" xr:uid="{00000000-0005-0000-0000-0000C71F0000}"/>
    <cellStyle name="20% - Accent5 4 2 2 2 2 2 2" xfId="16378" xr:uid="{00000000-0005-0000-0000-0000C81F0000}"/>
    <cellStyle name="20% - Accent5 4 2 2 2 2 2 3" xfId="24324" xr:uid="{00000000-0005-0000-0000-0000C91F0000}"/>
    <cellStyle name="20% - Accent5 4 2 2 2 2 3" xfId="12840" xr:uid="{00000000-0005-0000-0000-0000CA1F0000}"/>
    <cellStyle name="20% - Accent5 4 2 2 2 2 4" xfId="20795" xr:uid="{00000000-0005-0000-0000-0000CB1F0000}"/>
    <cellStyle name="20% - Accent5 4 2 2 2 3" xfId="6648" xr:uid="{00000000-0005-0000-0000-0000CC1F0000}"/>
    <cellStyle name="20% - Accent5 4 2 2 2 3 2" xfId="14620" xr:uid="{00000000-0005-0000-0000-0000CD1F0000}"/>
    <cellStyle name="20% - Accent5 4 2 2 2 3 3" xfId="22567" xr:uid="{00000000-0005-0000-0000-0000CE1F0000}"/>
    <cellStyle name="20% - Accent5 4 2 2 2 4" xfId="11084" xr:uid="{00000000-0005-0000-0000-0000CF1F0000}"/>
    <cellStyle name="20% - Accent5 4 2 2 2 5" xfId="19039" xr:uid="{00000000-0005-0000-0000-0000D01F0000}"/>
    <cellStyle name="20% - Accent5 4 2 2 2_Exh G" xfId="2504" xr:uid="{00000000-0005-0000-0000-0000D11F0000}"/>
    <cellStyle name="20% - Accent5 4 2 2 3" xfId="3937" xr:uid="{00000000-0005-0000-0000-0000D21F0000}"/>
    <cellStyle name="20% - Accent5 4 2 2 3 2" xfId="7529" xr:uid="{00000000-0005-0000-0000-0000D31F0000}"/>
    <cellStyle name="20% - Accent5 4 2 2 3 2 2" xfId="15500" xr:uid="{00000000-0005-0000-0000-0000D41F0000}"/>
    <cellStyle name="20% - Accent5 4 2 2 3 2 3" xfId="23446" xr:uid="{00000000-0005-0000-0000-0000D51F0000}"/>
    <cellStyle name="20% - Accent5 4 2 2 3 3" xfId="11962" xr:uid="{00000000-0005-0000-0000-0000D61F0000}"/>
    <cellStyle name="20% - Accent5 4 2 2 3 4" xfId="19917" xr:uid="{00000000-0005-0000-0000-0000D71F0000}"/>
    <cellStyle name="20% - Accent5 4 2 2 4" xfId="5757" xr:uid="{00000000-0005-0000-0000-0000D81F0000}"/>
    <cellStyle name="20% - Accent5 4 2 2 4 2" xfId="13741" xr:uid="{00000000-0005-0000-0000-0000D91F0000}"/>
    <cellStyle name="20% - Accent5 4 2 2 4 3" xfId="21689" xr:uid="{00000000-0005-0000-0000-0000DA1F0000}"/>
    <cellStyle name="20% - Accent5 4 2 2 5" xfId="9310" xr:uid="{00000000-0005-0000-0000-0000DB1F0000}"/>
    <cellStyle name="20% - Accent5 4 2 2 5 2" xfId="17268" xr:uid="{00000000-0005-0000-0000-0000DC1F0000}"/>
    <cellStyle name="20% - Accent5 4 2 2 5 3" xfId="25212" xr:uid="{00000000-0005-0000-0000-0000DD1F0000}"/>
    <cellStyle name="20% - Accent5 4 2 2 6" xfId="10206" xr:uid="{00000000-0005-0000-0000-0000DE1F0000}"/>
    <cellStyle name="20% - Accent5 4 2 2 7" xfId="18161" xr:uid="{00000000-0005-0000-0000-0000DF1F0000}"/>
    <cellStyle name="20% - Accent5 4 2 2_Exh G" xfId="2503" xr:uid="{00000000-0005-0000-0000-0000E01F0000}"/>
    <cellStyle name="20% - Accent5 4 2 3" xfId="916" xr:uid="{00000000-0005-0000-0000-0000E11F0000}"/>
    <cellStyle name="20% - Accent5 4 2 3 2" xfId="1844" xr:uid="{00000000-0005-0000-0000-0000E21F0000}"/>
    <cellStyle name="20% - Accent5 4 2 3 2 2" xfId="5362" xr:uid="{00000000-0005-0000-0000-0000E31F0000}"/>
    <cellStyle name="20% - Accent5 4 2 3 2 2 2" xfId="8953" xr:uid="{00000000-0005-0000-0000-0000E41F0000}"/>
    <cellStyle name="20% - Accent5 4 2 3 2 2 2 2" xfId="16924" xr:uid="{00000000-0005-0000-0000-0000E51F0000}"/>
    <cellStyle name="20% - Accent5 4 2 3 2 2 2 3" xfId="24870" xr:uid="{00000000-0005-0000-0000-0000E61F0000}"/>
    <cellStyle name="20% - Accent5 4 2 3 2 2 3" xfId="13386" xr:uid="{00000000-0005-0000-0000-0000E71F0000}"/>
    <cellStyle name="20% - Accent5 4 2 3 2 2 4" xfId="21341" xr:uid="{00000000-0005-0000-0000-0000E81F0000}"/>
    <cellStyle name="20% - Accent5 4 2 3 2 3" xfId="7194" xr:uid="{00000000-0005-0000-0000-0000E91F0000}"/>
    <cellStyle name="20% - Accent5 4 2 3 2 3 2" xfId="15166" xr:uid="{00000000-0005-0000-0000-0000EA1F0000}"/>
    <cellStyle name="20% - Accent5 4 2 3 2 3 3" xfId="23113" xr:uid="{00000000-0005-0000-0000-0000EB1F0000}"/>
    <cellStyle name="20% - Accent5 4 2 3 2 4" xfId="11630" xr:uid="{00000000-0005-0000-0000-0000EC1F0000}"/>
    <cellStyle name="20% - Accent5 4 2 3 2 5" xfId="19585" xr:uid="{00000000-0005-0000-0000-0000ED1F0000}"/>
    <cellStyle name="20% - Accent5 4 2 3 2_Exh G" xfId="2506" xr:uid="{00000000-0005-0000-0000-0000EE1F0000}"/>
    <cellStyle name="20% - Accent5 4 2 3 3" xfId="4483" xr:uid="{00000000-0005-0000-0000-0000EF1F0000}"/>
    <cellStyle name="20% - Accent5 4 2 3 3 2" xfId="8075" xr:uid="{00000000-0005-0000-0000-0000F01F0000}"/>
    <cellStyle name="20% - Accent5 4 2 3 3 2 2" xfId="16046" xr:uid="{00000000-0005-0000-0000-0000F11F0000}"/>
    <cellStyle name="20% - Accent5 4 2 3 3 2 3" xfId="23992" xr:uid="{00000000-0005-0000-0000-0000F21F0000}"/>
    <cellStyle name="20% - Accent5 4 2 3 3 3" xfId="12508" xr:uid="{00000000-0005-0000-0000-0000F31F0000}"/>
    <cellStyle name="20% - Accent5 4 2 3 3 4" xfId="20463" xr:uid="{00000000-0005-0000-0000-0000F41F0000}"/>
    <cellStyle name="20% - Accent5 4 2 3 4" xfId="6313" xr:uid="{00000000-0005-0000-0000-0000F51F0000}"/>
    <cellStyle name="20% - Accent5 4 2 3 4 2" xfId="14288" xr:uid="{00000000-0005-0000-0000-0000F61F0000}"/>
    <cellStyle name="20% - Accent5 4 2 3 4 3" xfId="22235" xr:uid="{00000000-0005-0000-0000-0000F71F0000}"/>
    <cellStyle name="20% - Accent5 4 2 3 5" xfId="9856" xr:uid="{00000000-0005-0000-0000-0000F81F0000}"/>
    <cellStyle name="20% - Accent5 4 2 3 5 2" xfId="17814" xr:uid="{00000000-0005-0000-0000-0000F91F0000}"/>
    <cellStyle name="20% - Accent5 4 2 3 5 3" xfId="25758" xr:uid="{00000000-0005-0000-0000-0000FA1F0000}"/>
    <cellStyle name="20% - Accent5 4 2 3 6" xfId="10752" xr:uid="{00000000-0005-0000-0000-0000FB1F0000}"/>
    <cellStyle name="20% - Accent5 4 2 3 7" xfId="18707" xr:uid="{00000000-0005-0000-0000-0000FC1F0000}"/>
    <cellStyle name="20% - Accent5 4 2 3_Exh G" xfId="2505" xr:uid="{00000000-0005-0000-0000-0000FD1F0000}"/>
    <cellStyle name="20% - Accent5 4 2 4" xfId="1285" xr:uid="{00000000-0005-0000-0000-0000FE1F0000}"/>
    <cellStyle name="20% - Accent5 4 2 4 2" xfId="4815" xr:uid="{00000000-0005-0000-0000-0000FF1F0000}"/>
    <cellStyle name="20% - Accent5 4 2 4 2 2" xfId="8406" xr:uid="{00000000-0005-0000-0000-000000200000}"/>
    <cellStyle name="20% - Accent5 4 2 4 2 2 2" xfId="16377" xr:uid="{00000000-0005-0000-0000-000001200000}"/>
    <cellStyle name="20% - Accent5 4 2 4 2 2 3" xfId="24323" xr:uid="{00000000-0005-0000-0000-000002200000}"/>
    <cellStyle name="20% - Accent5 4 2 4 2 3" xfId="12839" xr:uid="{00000000-0005-0000-0000-000003200000}"/>
    <cellStyle name="20% - Accent5 4 2 4 2 4" xfId="20794" xr:uid="{00000000-0005-0000-0000-000004200000}"/>
    <cellStyle name="20% - Accent5 4 2 4 3" xfId="6647" xr:uid="{00000000-0005-0000-0000-000005200000}"/>
    <cellStyle name="20% - Accent5 4 2 4 3 2" xfId="14619" xr:uid="{00000000-0005-0000-0000-000006200000}"/>
    <cellStyle name="20% - Accent5 4 2 4 3 3" xfId="22566" xr:uid="{00000000-0005-0000-0000-000007200000}"/>
    <cellStyle name="20% - Accent5 4 2 4 4" xfId="11083" xr:uid="{00000000-0005-0000-0000-000008200000}"/>
    <cellStyle name="20% - Accent5 4 2 4 5" xfId="19038" xr:uid="{00000000-0005-0000-0000-000009200000}"/>
    <cellStyle name="20% - Accent5 4 2 4_Exh G" xfId="2507" xr:uid="{00000000-0005-0000-0000-00000A200000}"/>
    <cellStyle name="20% - Accent5 4 2 5" xfId="3936" xr:uid="{00000000-0005-0000-0000-00000B200000}"/>
    <cellStyle name="20% - Accent5 4 2 5 2" xfId="7528" xr:uid="{00000000-0005-0000-0000-00000C200000}"/>
    <cellStyle name="20% - Accent5 4 2 5 2 2" xfId="15499" xr:uid="{00000000-0005-0000-0000-00000D200000}"/>
    <cellStyle name="20% - Accent5 4 2 5 2 3" xfId="23445" xr:uid="{00000000-0005-0000-0000-00000E200000}"/>
    <cellStyle name="20% - Accent5 4 2 5 3" xfId="11961" xr:uid="{00000000-0005-0000-0000-00000F200000}"/>
    <cellStyle name="20% - Accent5 4 2 5 4" xfId="19916" xr:uid="{00000000-0005-0000-0000-000010200000}"/>
    <cellStyle name="20% - Accent5 4 2 6" xfId="5756" xr:uid="{00000000-0005-0000-0000-000011200000}"/>
    <cellStyle name="20% - Accent5 4 2 6 2" xfId="13740" xr:uid="{00000000-0005-0000-0000-000012200000}"/>
    <cellStyle name="20% - Accent5 4 2 6 3" xfId="21688" xr:uid="{00000000-0005-0000-0000-000013200000}"/>
    <cellStyle name="20% - Accent5 4 2 7" xfId="9309" xr:uid="{00000000-0005-0000-0000-000014200000}"/>
    <cellStyle name="20% - Accent5 4 2 7 2" xfId="17267" xr:uid="{00000000-0005-0000-0000-000015200000}"/>
    <cellStyle name="20% - Accent5 4 2 7 3" xfId="25211" xr:uid="{00000000-0005-0000-0000-000016200000}"/>
    <cellStyle name="20% - Accent5 4 2 8" xfId="10205" xr:uid="{00000000-0005-0000-0000-000017200000}"/>
    <cellStyle name="20% - Accent5 4 2 9" xfId="18160" xr:uid="{00000000-0005-0000-0000-000018200000}"/>
    <cellStyle name="20% - Accent5 4 2_Exh G" xfId="2502" xr:uid="{00000000-0005-0000-0000-000019200000}"/>
    <cellStyle name="20% - Accent5 4 3" xfId="259" xr:uid="{00000000-0005-0000-0000-00001A200000}"/>
    <cellStyle name="20% - Accent5 4 3 2" xfId="1287" xr:uid="{00000000-0005-0000-0000-00001B200000}"/>
    <cellStyle name="20% - Accent5 4 3 2 2" xfId="4817" xr:uid="{00000000-0005-0000-0000-00001C200000}"/>
    <cellStyle name="20% - Accent5 4 3 2 2 2" xfId="8408" xr:uid="{00000000-0005-0000-0000-00001D200000}"/>
    <cellStyle name="20% - Accent5 4 3 2 2 2 2" xfId="16379" xr:uid="{00000000-0005-0000-0000-00001E200000}"/>
    <cellStyle name="20% - Accent5 4 3 2 2 2 3" xfId="24325" xr:uid="{00000000-0005-0000-0000-00001F200000}"/>
    <cellStyle name="20% - Accent5 4 3 2 2 3" xfId="12841" xr:uid="{00000000-0005-0000-0000-000020200000}"/>
    <cellStyle name="20% - Accent5 4 3 2 2 4" xfId="20796" xr:uid="{00000000-0005-0000-0000-000021200000}"/>
    <cellStyle name="20% - Accent5 4 3 2 3" xfId="6649" xr:uid="{00000000-0005-0000-0000-000022200000}"/>
    <cellStyle name="20% - Accent5 4 3 2 3 2" xfId="14621" xr:uid="{00000000-0005-0000-0000-000023200000}"/>
    <cellStyle name="20% - Accent5 4 3 2 3 3" xfId="22568" xr:uid="{00000000-0005-0000-0000-000024200000}"/>
    <cellStyle name="20% - Accent5 4 3 2 4" xfId="11085" xr:uid="{00000000-0005-0000-0000-000025200000}"/>
    <cellStyle name="20% - Accent5 4 3 2 5" xfId="19040" xr:uid="{00000000-0005-0000-0000-000026200000}"/>
    <cellStyle name="20% - Accent5 4 3 2_Exh G" xfId="2509" xr:uid="{00000000-0005-0000-0000-000027200000}"/>
    <cellStyle name="20% - Accent5 4 3 3" xfId="3938" xr:uid="{00000000-0005-0000-0000-000028200000}"/>
    <cellStyle name="20% - Accent5 4 3 3 2" xfId="7530" xr:uid="{00000000-0005-0000-0000-000029200000}"/>
    <cellStyle name="20% - Accent5 4 3 3 2 2" xfId="15501" xr:uid="{00000000-0005-0000-0000-00002A200000}"/>
    <cellStyle name="20% - Accent5 4 3 3 2 3" xfId="23447" xr:uid="{00000000-0005-0000-0000-00002B200000}"/>
    <cellStyle name="20% - Accent5 4 3 3 3" xfId="11963" xr:uid="{00000000-0005-0000-0000-00002C200000}"/>
    <cellStyle name="20% - Accent5 4 3 3 4" xfId="19918" xr:uid="{00000000-0005-0000-0000-00002D200000}"/>
    <cellStyle name="20% - Accent5 4 3 4" xfId="5758" xr:uid="{00000000-0005-0000-0000-00002E200000}"/>
    <cellStyle name="20% - Accent5 4 3 4 2" xfId="13742" xr:uid="{00000000-0005-0000-0000-00002F200000}"/>
    <cellStyle name="20% - Accent5 4 3 4 3" xfId="21690" xr:uid="{00000000-0005-0000-0000-000030200000}"/>
    <cellStyle name="20% - Accent5 4 3 5" xfId="9311" xr:uid="{00000000-0005-0000-0000-000031200000}"/>
    <cellStyle name="20% - Accent5 4 3 5 2" xfId="17269" xr:uid="{00000000-0005-0000-0000-000032200000}"/>
    <cellStyle name="20% - Accent5 4 3 5 3" xfId="25213" xr:uid="{00000000-0005-0000-0000-000033200000}"/>
    <cellStyle name="20% - Accent5 4 3 6" xfId="10207" xr:uid="{00000000-0005-0000-0000-000034200000}"/>
    <cellStyle name="20% - Accent5 4 3 7" xfId="18162" xr:uid="{00000000-0005-0000-0000-000035200000}"/>
    <cellStyle name="20% - Accent5 4 3_Exh G" xfId="2508" xr:uid="{00000000-0005-0000-0000-000036200000}"/>
    <cellStyle name="20% - Accent5 4 4" xfId="915" xr:uid="{00000000-0005-0000-0000-000037200000}"/>
    <cellStyle name="20% - Accent5 4 4 2" xfId="1843" xr:uid="{00000000-0005-0000-0000-000038200000}"/>
    <cellStyle name="20% - Accent5 4 4 2 2" xfId="5361" xr:uid="{00000000-0005-0000-0000-000039200000}"/>
    <cellStyle name="20% - Accent5 4 4 2 2 2" xfId="8952" xr:uid="{00000000-0005-0000-0000-00003A200000}"/>
    <cellStyle name="20% - Accent5 4 4 2 2 2 2" xfId="16923" xr:uid="{00000000-0005-0000-0000-00003B200000}"/>
    <cellStyle name="20% - Accent5 4 4 2 2 2 3" xfId="24869" xr:uid="{00000000-0005-0000-0000-00003C200000}"/>
    <cellStyle name="20% - Accent5 4 4 2 2 3" xfId="13385" xr:uid="{00000000-0005-0000-0000-00003D200000}"/>
    <cellStyle name="20% - Accent5 4 4 2 2 4" xfId="21340" xr:uid="{00000000-0005-0000-0000-00003E200000}"/>
    <cellStyle name="20% - Accent5 4 4 2 3" xfId="7193" xr:uid="{00000000-0005-0000-0000-00003F200000}"/>
    <cellStyle name="20% - Accent5 4 4 2 3 2" xfId="15165" xr:uid="{00000000-0005-0000-0000-000040200000}"/>
    <cellStyle name="20% - Accent5 4 4 2 3 3" xfId="23112" xr:uid="{00000000-0005-0000-0000-000041200000}"/>
    <cellStyle name="20% - Accent5 4 4 2 4" xfId="11629" xr:uid="{00000000-0005-0000-0000-000042200000}"/>
    <cellStyle name="20% - Accent5 4 4 2 5" xfId="19584" xr:uid="{00000000-0005-0000-0000-000043200000}"/>
    <cellStyle name="20% - Accent5 4 4 2_Exh G" xfId="2511" xr:uid="{00000000-0005-0000-0000-000044200000}"/>
    <cellStyle name="20% - Accent5 4 4 3" xfId="4482" xr:uid="{00000000-0005-0000-0000-000045200000}"/>
    <cellStyle name="20% - Accent5 4 4 3 2" xfId="8074" xr:uid="{00000000-0005-0000-0000-000046200000}"/>
    <cellStyle name="20% - Accent5 4 4 3 2 2" xfId="16045" xr:uid="{00000000-0005-0000-0000-000047200000}"/>
    <cellStyle name="20% - Accent5 4 4 3 2 3" xfId="23991" xr:uid="{00000000-0005-0000-0000-000048200000}"/>
    <cellStyle name="20% - Accent5 4 4 3 3" xfId="12507" xr:uid="{00000000-0005-0000-0000-000049200000}"/>
    <cellStyle name="20% - Accent5 4 4 3 4" xfId="20462" xr:uid="{00000000-0005-0000-0000-00004A200000}"/>
    <cellStyle name="20% - Accent5 4 4 4" xfId="6312" xr:uid="{00000000-0005-0000-0000-00004B200000}"/>
    <cellStyle name="20% - Accent5 4 4 4 2" xfId="14287" xr:uid="{00000000-0005-0000-0000-00004C200000}"/>
    <cellStyle name="20% - Accent5 4 4 4 3" xfId="22234" xr:uid="{00000000-0005-0000-0000-00004D200000}"/>
    <cellStyle name="20% - Accent5 4 4 5" xfId="9855" xr:uid="{00000000-0005-0000-0000-00004E200000}"/>
    <cellStyle name="20% - Accent5 4 4 5 2" xfId="17813" xr:uid="{00000000-0005-0000-0000-00004F200000}"/>
    <cellStyle name="20% - Accent5 4 4 5 3" xfId="25757" xr:uid="{00000000-0005-0000-0000-000050200000}"/>
    <cellStyle name="20% - Accent5 4 4 6" xfId="10751" xr:uid="{00000000-0005-0000-0000-000051200000}"/>
    <cellStyle name="20% - Accent5 4 4 7" xfId="18706" xr:uid="{00000000-0005-0000-0000-000052200000}"/>
    <cellStyle name="20% - Accent5 4 4_Exh G" xfId="2510" xr:uid="{00000000-0005-0000-0000-000053200000}"/>
    <cellStyle name="20% - Accent5 4 5" xfId="1284" xr:uid="{00000000-0005-0000-0000-000054200000}"/>
    <cellStyle name="20% - Accent5 4 5 2" xfId="4814" xr:uid="{00000000-0005-0000-0000-000055200000}"/>
    <cellStyle name="20% - Accent5 4 5 2 2" xfId="8405" xr:uid="{00000000-0005-0000-0000-000056200000}"/>
    <cellStyle name="20% - Accent5 4 5 2 2 2" xfId="16376" xr:uid="{00000000-0005-0000-0000-000057200000}"/>
    <cellStyle name="20% - Accent5 4 5 2 2 3" xfId="24322" xr:uid="{00000000-0005-0000-0000-000058200000}"/>
    <cellStyle name="20% - Accent5 4 5 2 3" xfId="12838" xr:uid="{00000000-0005-0000-0000-000059200000}"/>
    <cellStyle name="20% - Accent5 4 5 2 4" xfId="20793" xr:uid="{00000000-0005-0000-0000-00005A200000}"/>
    <cellStyle name="20% - Accent5 4 5 3" xfId="6646" xr:uid="{00000000-0005-0000-0000-00005B200000}"/>
    <cellStyle name="20% - Accent5 4 5 3 2" xfId="14618" xr:uid="{00000000-0005-0000-0000-00005C200000}"/>
    <cellStyle name="20% - Accent5 4 5 3 3" xfId="22565" xr:uid="{00000000-0005-0000-0000-00005D200000}"/>
    <cellStyle name="20% - Accent5 4 5 4" xfId="11082" xr:uid="{00000000-0005-0000-0000-00005E200000}"/>
    <cellStyle name="20% - Accent5 4 5 5" xfId="19037" xr:uid="{00000000-0005-0000-0000-00005F200000}"/>
    <cellStyle name="20% - Accent5 4 5_Exh G" xfId="2512" xr:uid="{00000000-0005-0000-0000-000060200000}"/>
    <cellStyle name="20% - Accent5 4 6" xfId="3935" xr:uid="{00000000-0005-0000-0000-000061200000}"/>
    <cellStyle name="20% - Accent5 4 6 2" xfId="7527" xr:uid="{00000000-0005-0000-0000-000062200000}"/>
    <cellStyle name="20% - Accent5 4 6 2 2" xfId="15498" xr:uid="{00000000-0005-0000-0000-000063200000}"/>
    <cellStyle name="20% - Accent5 4 6 2 3" xfId="23444" xr:uid="{00000000-0005-0000-0000-000064200000}"/>
    <cellStyle name="20% - Accent5 4 6 3" xfId="11960" xr:uid="{00000000-0005-0000-0000-000065200000}"/>
    <cellStyle name="20% - Accent5 4 6 4" xfId="19915" xr:uid="{00000000-0005-0000-0000-000066200000}"/>
    <cellStyle name="20% - Accent5 4 7" xfId="5755" xr:uid="{00000000-0005-0000-0000-000067200000}"/>
    <cellStyle name="20% - Accent5 4 7 2" xfId="13739" xr:uid="{00000000-0005-0000-0000-000068200000}"/>
    <cellStyle name="20% - Accent5 4 7 3" xfId="21687" xr:uid="{00000000-0005-0000-0000-000069200000}"/>
    <cellStyle name="20% - Accent5 4 8" xfId="9308" xr:uid="{00000000-0005-0000-0000-00006A200000}"/>
    <cellStyle name="20% - Accent5 4 8 2" xfId="17266" xr:uid="{00000000-0005-0000-0000-00006B200000}"/>
    <cellStyle name="20% - Accent5 4 8 3" xfId="25210" xr:uid="{00000000-0005-0000-0000-00006C200000}"/>
    <cellStyle name="20% - Accent5 4 9" xfId="10204" xr:uid="{00000000-0005-0000-0000-00006D200000}"/>
    <cellStyle name="20% - Accent5 4_Exh G" xfId="2501" xr:uid="{00000000-0005-0000-0000-00006E200000}"/>
    <cellStyle name="20% - Accent5 5" xfId="260" xr:uid="{00000000-0005-0000-0000-00006F200000}"/>
    <cellStyle name="20% - Accent5 5 10" xfId="18163" xr:uid="{00000000-0005-0000-0000-000070200000}"/>
    <cellStyle name="20% - Accent5 5 2" xfId="261" xr:uid="{00000000-0005-0000-0000-000071200000}"/>
    <cellStyle name="20% - Accent5 5 2 2" xfId="262" xr:uid="{00000000-0005-0000-0000-000072200000}"/>
    <cellStyle name="20% - Accent5 5 2 2 2" xfId="1290" xr:uid="{00000000-0005-0000-0000-000073200000}"/>
    <cellStyle name="20% - Accent5 5 2 2 2 2" xfId="4820" xr:uid="{00000000-0005-0000-0000-000074200000}"/>
    <cellStyle name="20% - Accent5 5 2 2 2 2 2" xfId="8411" xr:uid="{00000000-0005-0000-0000-000075200000}"/>
    <cellStyle name="20% - Accent5 5 2 2 2 2 2 2" xfId="16382" xr:uid="{00000000-0005-0000-0000-000076200000}"/>
    <cellStyle name="20% - Accent5 5 2 2 2 2 2 3" xfId="24328" xr:uid="{00000000-0005-0000-0000-000077200000}"/>
    <cellStyle name="20% - Accent5 5 2 2 2 2 3" xfId="12844" xr:uid="{00000000-0005-0000-0000-000078200000}"/>
    <cellStyle name="20% - Accent5 5 2 2 2 2 4" xfId="20799" xr:uid="{00000000-0005-0000-0000-000079200000}"/>
    <cellStyle name="20% - Accent5 5 2 2 2 3" xfId="6652" xr:uid="{00000000-0005-0000-0000-00007A200000}"/>
    <cellStyle name="20% - Accent5 5 2 2 2 3 2" xfId="14624" xr:uid="{00000000-0005-0000-0000-00007B200000}"/>
    <cellStyle name="20% - Accent5 5 2 2 2 3 3" xfId="22571" xr:uid="{00000000-0005-0000-0000-00007C200000}"/>
    <cellStyle name="20% - Accent5 5 2 2 2 4" xfId="11088" xr:uid="{00000000-0005-0000-0000-00007D200000}"/>
    <cellStyle name="20% - Accent5 5 2 2 2 5" xfId="19043" xr:uid="{00000000-0005-0000-0000-00007E200000}"/>
    <cellStyle name="20% - Accent5 5 2 2 2_Exh G" xfId="2516" xr:uid="{00000000-0005-0000-0000-00007F200000}"/>
    <cellStyle name="20% - Accent5 5 2 2 3" xfId="3941" xr:uid="{00000000-0005-0000-0000-000080200000}"/>
    <cellStyle name="20% - Accent5 5 2 2 3 2" xfId="7533" xr:uid="{00000000-0005-0000-0000-000081200000}"/>
    <cellStyle name="20% - Accent5 5 2 2 3 2 2" xfId="15504" xr:uid="{00000000-0005-0000-0000-000082200000}"/>
    <cellStyle name="20% - Accent5 5 2 2 3 2 3" xfId="23450" xr:uid="{00000000-0005-0000-0000-000083200000}"/>
    <cellStyle name="20% - Accent5 5 2 2 3 3" xfId="11966" xr:uid="{00000000-0005-0000-0000-000084200000}"/>
    <cellStyle name="20% - Accent5 5 2 2 3 4" xfId="19921" xr:uid="{00000000-0005-0000-0000-000085200000}"/>
    <cellStyle name="20% - Accent5 5 2 2 4" xfId="5761" xr:uid="{00000000-0005-0000-0000-000086200000}"/>
    <cellStyle name="20% - Accent5 5 2 2 4 2" xfId="13745" xr:uid="{00000000-0005-0000-0000-000087200000}"/>
    <cellStyle name="20% - Accent5 5 2 2 4 3" xfId="21693" xr:uid="{00000000-0005-0000-0000-000088200000}"/>
    <cellStyle name="20% - Accent5 5 2 2 5" xfId="9314" xr:uid="{00000000-0005-0000-0000-000089200000}"/>
    <cellStyle name="20% - Accent5 5 2 2 5 2" xfId="17272" xr:uid="{00000000-0005-0000-0000-00008A200000}"/>
    <cellStyle name="20% - Accent5 5 2 2 5 3" xfId="25216" xr:uid="{00000000-0005-0000-0000-00008B200000}"/>
    <cellStyle name="20% - Accent5 5 2 2 6" xfId="10210" xr:uid="{00000000-0005-0000-0000-00008C200000}"/>
    <cellStyle name="20% - Accent5 5 2 2 7" xfId="18165" xr:uid="{00000000-0005-0000-0000-00008D200000}"/>
    <cellStyle name="20% - Accent5 5 2 2_Exh G" xfId="2515" xr:uid="{00000000-0005-0000-0000-00008E200000}"/>
    <cellStyle name="20% - Accent5 5 2 3" xfId="1289" xr:uid="{00000000-0005-0000-0000-00008F200000}"/>
    <cellStyle name="20% - Accent5 5 2 3 2" xfId="4819" xr:uid="{00000000-0005-0000-0000-000090200000}"/>
    <cellStyle name="20% - Accent5 5 2 3 2 2" xfId="8410" xr:uid="{00000000-0005-0000-0000-000091200000}"/>
    <cellStyle name="20% - Accent5 5 2 3 2 2 2" xfId="16381" xr:uid="{00000000-0005-0000-0000-000092200000}"/>
    <cellStyle name="20% - Accent5 5 2 3 2 2 3" xfId="24327" xr:uid="{00000000-0005-0000-0000-000093200000}"/>
    <cellStyle name="20% - Accent5 5 2 3 2 3" xfId="12843" xr:uid="{00000000-0005-0000-0000-000094200000}"/>
    <cellStyle name="20% - Accent5 5 2 3 2 4" xfId="20798" xr:uid="{00000000-0005-0000-0000-000095200000}"/>
    <cellStyle name="20% - Accent5 5 2 3 3" xfId="6651" xr:uid="{00000000-0005-0000-0000-000096200000}"/>
    <cellStyle name="20% - Accent5 5 2 3 3 2" xfId="14623" xr:uid="{00000000-0005-0000-0000-000097200000}"/>
    <cellStyle name="20% - Accent5 5 2 3 3 3" xfId="22570" xr:uid="{00000000-0005-0000-0000-000098200000}"/>
    <cellStyle name="20% - Accent5 5 2 3 4" xfId="11087" xr:uid="{00000000-0005-0000-0000-000099200000}"/>
    <cellStyle name="20% - Accent5 5 2 3 5" xfId="19042" xr:uid="{00000000-0005-0000-0000-00009A200000}"/>
    <cellStyle name="20% - Accent5 5 2 3_Exh G" xfId="2517" xr:uid="{00000000-0005-0000-0000-00009B200000}"/>
    <cellStyle name="20% - Accent5 5 2 4" xfId="3940" xr:uid="{00000000-0005-0000-0000-00009C200000}"/>
    <cellStyle name="20% - Accent5 5 2 4 2" xfId="7532" xr:uid="{00000000-0005-0000-0000-00009D200000}"/>
    <cellStyle name="20% - Accent5 5 2 4 2 2" xfId="15503" xr:uid="{00000000-0005-0000-0000-00009E200000}"/>
    <cellStyle name="20% - Accent5 5 2 4 2 3" xfId="23449" xr:uid="{00000000-0005-0000-0000-00009F200000}"/>
    <cellStyle name="20% - Accent5 5 2 4 3" xfId="11965" xr:uid="{00000000-0005-0000-0000-0000A0200000}"/>
    <cellStyle name="20% - Accent5 5 2 4 4" xfId="19920" xr:uid="{00000000-0005-0000-0000-0000A1200000}"/>
    <cellStyle name="20% - Accent5 5 2 5" xfId="5760" xr:uid="{00000000-0005-0000-0000-0000A2200000}"/>
    <cellStyle name="20% - Accent5 5 2 5 2" xfId="13744" xr:uid="{00000000-0005-0000-0000-0000A3200000}"/>
    <cellStyle name="20% - Accent5 5 2 5 3" xfId="21692" xr:uid="{00000000-0005-0000-0000-0000A4200000}"/>
    <cellStyle name="20% - Accent5 5 2 6" xfId="9313" xr:uid="{00000000-0005-0000-0000-0000A5200000}"/>
    <cellStyle name="20% - Accent5 5 2 6 2" xfId="17271" xr:uid="{00000000-0005-0000-0000-0000A6200000}"/>
    <cellStyle name="20% - Accent5 5 2 6 3" xfId="25215" xr:uid="{00000000-0005-0000-0000-0000A7200000}"/>
    <cellStyle name="20% - Accent5 5 2 7" xfId="10209" xr:uid="{00000000-0005-0000-0000-0000A8200000}"/>
    <cellStyle name="20% - Accent5 5 2 8" xfId="18164" xr:uid="{00000000-0005-0000-0000-0000A9200000}"/>
    <cellStyle name="20% - Accent5 5 2_Exh G" xfId="2514" xr:uid="{00000000-0005-0000-0000-0000AA200000}"/>
    <cellStyle name="20% - Accent5 5 3" xfId="263" xr:uid="{00000000-0005-0000-0000-0000AB200000}"/>
    <cellStyle name="20% - Accent5 5 3 2" xfId="1291" xr:uid="{00000000-0005-0000-0000-0000AC200000}"/>
    <cellStyle name="20% - Accent5 5 3 2 2" xfId="4821" xr:uid="{00000000-0005-0000-0000-0000AD200000}"/>
    <cellStyle name="20% - Accent5 5 3 2 2 2" xfId="8412" xr:uid="{00000000-0005-0000-0000-0000AE200000}"/>
    <cellStyle name="20% - Accent5 5 3 2 2 2 2" xfId="16383" xr:uid="{00000000-0005-0000-0000-0000AF200000}"/>
    <cellStyle name="20% - Accent5 5 3 2 2 2 3" xfId="24329" xr:uid="{00000000-0005-0000-0000-0000B0200000}"/>
    <cellStyle name="20% - Accent5 5 3 2 2 3" xfId="12845" xr:uid="{00000000-0005-0000-0000-0000B1200000}"/>
    <cellStyle name="20% - Accent5 5 3 2 2 4" xfId="20800" xr:uid="{00000000-0005-0000-0000-0000B2200000}"/>
    <cellStyle name="20% - Accent5 5 3 2 3" xfId="6653" xr:uid="{00000000-0005-0000-0000-0000B3200000}"/>
    <cellStyle name="20% - Accent5 5 3 2 3 2" xfId="14625" xr:uid="{00000000-0005-0000-0000-0000B4200000}"/>
    <cellStyle name="20% - Accent5 5 3 2 3 3" xfId="22572" xr:uid="{00000000-0005-0000-0000-0000B5200000}"/>
    <cellStyle name="20% - Accent5 5 3 2 4" xfId="11089" xr:uid="{00000000-0005-0000-0000-0000B6200000}"/>
    <cellStyle name="20% - Accent5 5 3 2 5" xfId="19044" xr:uid="{00000000-0005-0000-0000-0000B7200000}"/>
    <cellStyle name="20% - Accent5 5 3 2_Exh G" xfId="2519" xr:uid="{00000000-0005-0000-0000-0000B8200000}"/>
    <cellStyle name="20% - Accent5 5 3 3" xfId="3942" xr:uid="{00000000-0005-0000-0000-0000B9200000}"/>
    <cellStyle name="20% - Accent5 5 3 3 2" xfId="7534" xr:uid="{00000000-0005-0000-0000-0000BA200000}"/>
    <cellStyle name="20% - Accent5 5 3 3 2 2" xfId="15505" xr:uid="{00000000-0005-0000-0000-0000BB200000}"/>
    <cellStyle name="20% - Accent5 5 3 3 2 3" xfId="23451" xr:uid="{00000000-0005-0000-0000-0000BC200000}"/>
    <cellStyle name="20% - Accent5 5 3 3 3" xfId="11967" xr:uid="{00000000-0005-0000-0000-0000BD200000}"/>
    <cellStyle name="20% - Accent5 5 3 3 4" xfId="19922" xr:uid="{00000000-0005-0000-0000-0000BE200000}"/>
    <cellStyle name="20% - Accent5 5 3 4" xfId="5762" xr:uid="{00000000-0005-0000-0000-0000BF200000}"/>
    <cellStyle name="20% - Accent5 5 3 4 2" xfId="13746" xr:uid="{00000000-0005-0000-0000-0000C0200000}"/>
    <cellStyle name="20% - Accent5 5 3 4 3" xfId="21694" xr:uid="{00000000-0005-0000-0000-0000C1200000}"/>
    <cellStyle name="20% - Accent5 5 3 5" xfId="9315" xr:uid="{00000000-0005-0000-0000-0000C2200000}"/>
    <cellStyle name="20% - Accent5 5 3 5 2" xfId="17273" xr:uid="{00000000-0005-0000-0000-0000C3200000}"/>
    <cellStyle name="20% - Accent5 5 3 5 3" xfId="25217" xr:uid="{00000000-0005-0000-0000-0000C4200000}"/>
    <cellStyle name="20% - Accent5 5 3 6" xfId="10211" xr:uid="{00000000-0005-0000-0000-0000C5200000}"/>
    <cellStyle name="20% - Accent5 5 3 7" xfId="18166" xr:uid="{00000000-0005-0000-0000-0000C6200000}"/>
    <cellStyle name="20% - Accent5 5 3_Exh G" xfId="2518" xr:uid="{00000000-0005-0000-0000-0000C7200000}"/>
    <cellStyle name="20% - Accent5 5 4" xfId="917" xr:uid="{00000000-0005-0000-0000-0000C8200000}"/>
    <cellStyle name="20% - Accent5 5 5" xfId="1288" xr:uid="{00000000-0005-0000-0000-0000C9200000}"/>
    <cellStyle name="20% - Accent5 5 5 2" xfId="4818" xr:uid="{00000000-0005-0000-0000-0000CA200000}"/>
    <cellStyle name="20% - Accent5 5 5 2 2" xfId="8409" xr:uid="{00000000-0005-0000-0000-0000CB200000}"/>
    <cellStyle name="20% - Accent5 5 5 2 2 2" xfId="16380" xr:uid="{00000000-0005-0000-0000-0000CC200000}"/>
    <cellStyle name="20% - Accent5 5 5 2 2 3" xfId="24326" xr:uid="{00000000-0005-0000-0000-0000CD200000}"/>
    <cellStyle name="20% - Accent5 5 5 2 3" xfId="12842" xr:uid="{00000000-0005-0000-0000-0000CE200000}"/>
    <cellStyle name="20% - Accent5 5 5 2 4" xfId="20797" xr:uid="{00000000-0005-0000-0000-0000CF200000}"/>
    <cellStyle name="20% - Accent5 5 5 3" xfId="6650" xr:uid="{00000000-0005-0000-0000-0000D0200000}"/>
    <cellStyle name="20% - Accent5 5 5 3 2" xfId="14622" xr:uid="{00000000-0005-0000-0000-0000D1200000}"/>
    <cellStyle name="20% - Accent5 5 5 3 3" xfId="22569" xr:uid="{00000000-0005-0000-0000-0000D2200000}"/>
    <cellStyle name="20% - Accent5 5 5 4" xfId="11086" xr:uid="{00000000-0005-0000-0000-0000D3200000}"/>
    <cellStyle name="20% - Accent5 5 5 5" xfId="19041" xr:uid="{00000000-0005-0000-0000-0000D4200000}"/>
    <cellStyle name="20% - Accent5 5 5_Exh G" xfId="2520" xr:uid="{00000000-0005-0000-0000-0000D5200000}"/>
    <cellStyle name="20% - Accent5 5 6" xfId="3939" xr:uid="{00000000-0005-0000-0000-0000D6200000}"/>
    <cellStyle name="20% - Accent5 5 6 2" xfId="7531" xr:uid="{00000000-0005-0000-0000-0000D7200000}"/>
    <cellStyle name="20% - Accent5 5 6 2 2" xfId="15502" xr:uid="{00000000-0005-0000-0000-0000D8200000}"/>
    <cellStyle name="20% - Accent5 5 6 2 3" xfId="23448" xr:uid="{00000000-0005-0000-0000-0000D9200000}"/>
    <cellStyle name="20% - Accent5 5 6 3" xfId="11964" xr:uid="{00000000-0005-0000-0000-0000DA200000}"/>
    <cellStyle name="20% - Accent5 5 6 4" xfId="19919" xr:uid="{00000000-0005-0000-0000-0000DB200000}"/>
    <cellStyle name="20% - Accent5 5 7" xfId="5759" xr:uid="{00000000-0005-0000-0000-0000DC200000}"/>
    <cellStyle name="20% - Accent5 5 7 2" xfId="13743" xr:uid="{00000000-0005-0000-0000-0000DD200000}"/>
    <cellStyle name="20% - Accent5 5 7 3" xfId="21691" xr:uid="{00000000-0005-0000-0000-0000DE200000}"/>
    <cellStyle name="20% - Accent5 5 8" xfId="9312" xr:uid="{00000000-0005-0000-0000-0000DF200000}"/>
    <cellStyle name="20% - Accent5 5 8 2" xfId="17270" xr:uid="{00000000-0005-0000-0000-0000E0200000}"/>
    <cellStyle name="20% - Accent5 5 8 3" xfId="25214" xr:uid="{00000000-0005-0000-0000-0000E1200000}"/>
    <cellStyle name="20% - Accent5 5 9" xfId="10208" xr:uid="{00000000-0005-0000-0000-0000E2200000}"/>
    <cellStyle name="20% - Accent5 5_Exh G" xfId="2513" xr:uid="{00000000-0005-0000-0000-0000E3200000}"/>
    <cellStyle name="20% - Accent5 6" xfId="264" xr:uid="{00000000-0005-0000-0000-0000E4200000}"/>
    <cellStyle name="20% - Accent5 6 10" xfId="18167" xr:uid="{00000000-0005-0000-0000-0000E5200000}"/>
    <cellStyle name="20% - Accent5 6 2" xfId="265" xr:uid="{00000000-0005-0000-0000-0000E6200000}"/>
    <cellStyle name="20% - Accent5 6 2 2" xfId="266" xr:uid="{00000000-0005-0000-0000-0000E7200000}"/>
    <cellStyle name="20% - Accent5 6 2 2 2" xfId="1294" xr:uid="{00000000-0005-0000-0000-0000E8200000}"/>
    <cellStyle name="20% - Accent5 6 2 2 2 2" xfId="4824" xr:uid="{00000000-0005-0000-0000-0000E9200000}"/>
    <cellStyle name="20% - Accent5 6 2 2 2 2 2" xfId="8415" xr:uid="{00000000-0005-0000-0000-0000EA200000}"/>
    <cellStyle name="20% - Accent5 6 2 2 2 2 2 2" xfId="16386" xr:uid="{00000000-0005-0000-0000-0000EB200000}"/>
    <cellStyle name="20% - Accent5 6 2 2 2 2 2 3" xfId="24332" xr:uid="{00000000-0005-0000-0000-0000EC200000}"/>
    <cellStyle name="20% - Accent5 6 2 2 2 2 3" xfId="12848" xr:uid="{00000000-0005-0000-0000-0000ED200000}"/>
    <cellStyle name="20% - Accent5 6 2 2 2 2 4" xfId="20803" xr:uid="{00000000-0005-0000-0000-0000EE200000}"/>
    <cellStyle name="20% - Accent5 6 2 2 2 3" xfId="6656" xr:uid="{00000000-0005-0000-0000-0000EF200000}"/>
    <cellStyle name="20% - Accent5 6 2 2 2 3 2" xfId="14628" xr:uid="{00000000-0005-0000-0000-0000F0200000}"/>
    <cellStyle name="20% - Accent5 6 2 2 2 3 3" xfId="22575" xr:uid="{00000000-0005-0000-0000-0000F1200000}"/>
    <cellStyle name="20% - Accent5 6 2 2 2 4" xfId="11092" xr:uid="{00000000-0005-0000-0000-0000F2200000}"/>
    <cellStyle name="20% - Accent5 6 2 2 2 5" xfId="19047" xr:uid="{00000000-0005-0000-0000-0000F3200000}"/>
    <cellStyle name="20% - Accent5 6 2 2 2_Exh G" xfId="2524" xr:uid="{00000000-0005-0000-0000-0000F4200000}"/>
    <cellStyle name="20% - Accent5 6 2 2 3" xfId="3945" xr:uid="{00000000-0005-0000-0000-0000F5200000}"/>
    <cellStyle name="20% - Accent5 6 2 2 3 2" xfId="7537" xr:uid="{00000000-0005-0000-0000-0000F6200000}"/>
    <cellStyle name="20% - Accent5 6 2 2 3 2 2" xfId="15508" xr:uid="{00000000-0005-0000-0000-0000F7200000}"/>
    <cellStyle name="20% - Accent5 6 2 2 3 2 3" xfId="23454" xr:uid="{00000000-0005-0000-0000-0000F8200000}"/>
    <cellStyle name="20% - Accent5 6 2 2 3 3" xfId="11970" xr:uid="{00000000-0005-0000-0000-0000F9200000}"/>
    <cellStyle name="20% - Accent5 6 2 2 3 4" xfId="19925" xr:uid="{00000000-0005-0000-0000-0000FA200000}"/>
    <cellStyle name="20% - Accent5 6 2 2 4" xfId="5765" xr:uid="{00000000-0005-0000-0000-0000FB200000}"/>
    <cellStyle name="20% - Accent5 6 2 2 4 2" xfId="13749" xr:uid="{00000000-0005-0000-0000-0000FC200000}"/>
    <cellStyle name="20% - Accent5 6 2 2 4 3" xfId="21697" xr:uid="{00000000-0005-0000-0000-0000FD200000}"/>
    <cellStyle name="20% - Accent5 6 2 2 5" xfId="9318" xr:uid="{00000000-0005-0000-0000-0000FE200000}"/>
    <cellStyle name="20% - Accent5 6 2 2 5 2" xfId="17276" xr:uid="{00000000-0005-0000-0000-0000FF200000}"/>
    <cellStyle name="20% - Accent5 6 2 2 5 3" xfId="25220" xr:uid="{00000000-0005-0000-0000-000000210000}"/>
    <cellStyle name="20% - Accent5 6 2 2 6" xfId="10214" xr:uid="{00000000-0005-0000-0000-000001210000}"/>
    <cellStyle name="20% - Accent5 6 2 2 7" xfId="18169" xr:uid="{00000000-0005-0000-0000-000002210000}"/>
    <cellStyle name="20% - Accent5 6 2 2_Exh G" xfId="2523" xr:uid="{00000000-0005-0000-0000-000003210000}"/>
    <cellStyle name="20% - Accent5 6 2 3" xfId="1293" xr:uid="{00000000-0005-0000-0000-000004210000}"/>
    <cellStyle name="20% - Accent5 6 2 3 2" xfId="4823" xr:uid="{00000000-0005-0000-0000-000005210000}"/>
    <cellStyle name="20% - Accent5 6 2 3 2 2" xfId="8414" xr:uid="{00000000-0005-0000-0000-000006210000}"/>
    <cellStyle name="20% - Accent5 6 2 3 2 2 2" xfId="16385" xr:uid="{00000000-0005-0000-0000-000007210000}"/>
    <cellStyle name="20% - Accent5 6 2 3 2 2 3" xfId="24331" xr:uid="{00000000-0005-0000-0000-000008210000}"/>
    <cellStyle name="20% - Accent5 6 2 3 2 3" xfId="12847" xr:uid="{00000000-0005-0000-0000-000009210000}"/>
    <cellStyle name="20% - Accent5 6 2 3 2 4" xfId="20802" xr:uid="{00000000-0005-0000-0000-00000A210000}"/>
    <cellStyle name="20% - Accent5 6 2 3 3" xfId="6655" xr:uid="{00000000-0005-0000-0000-00000B210000}"/>
    <cellStyle name="20% - Accent5 6 2 3 3 2" xfId="14627" xr:uid="{00000000-0005-0000-0000-00000C210000}"/>
    <cellStyle name="20% - Accent5 6 2 3 3 3" xfId="22574" xr:uid="{00000000-0005-0000-0000-00000D210000}"/>
    <cellStyle name="20% - Accent5 6 2 3 4" xfId="11091" xr:uid="{00000000-0005-0000-0000-00000E210000}"/>
    <cellStyle name="20% - Accent5 6 2 3 5" xfId="19046" xr:uid="{00000000-0005-0000-0000-00000F210000}"/>
    <cellStyle name="20% - Accent5 6 2 3_Exh G" xfId="2525" xr:uid="{00000000-0005-0000-0000-000010210000}"/>
    <cellStyle name="20% - Accent5 6 2 4" xfId="3944" xr:uid="{00000000-0005-0000-0000-000011210000}"/>
    <cellStyle name="20% - Accent5 6 2 4 2" xfId="7536" xr:uid="{00000000-0005-0000-0000-000012210000}"/>
    <cellStyle name="20% - Accent5 6 2 4 2 2" xfId="15507" xr:uid="{00000000-0005-0000-0000-000013210000}"/>
    <cellStyle name="20% - Accent5 6 2 4 2 3" xfId="23453" xr:uid="{00000000-0005-0000-0000-000014210000}"/>
    <cellStyle name="20% - Accent5 6 2 4 3" xfId="11969" xr:uid="{00000000-0005-0000-0000-000015210000}"/>
    <cellStyle name="20% - Accent5 6 2 4 4" xfId="19924" xr:uid="{00000000-0005-0000-0000-000016210000}"/>
    <cellStyle name="20% - Accent5 6 2 5" xfId="5764" xr:uid="{00000000-0005-0000-0000-000017210000}"/>
    <cellStyle name="20% - Accent5 6 2 5 2" xfId="13748" xr:uid="{00000000-0005-0000-0000-000018210000}"/>
    <cellStyle name="20% - Accent5 6 2 5 3" xfId="21696" xr:uid="{00000000-0005-0000-0000-000019210000}"/>
    <cellStyle name="20% - Accent5 6 2 6" xfId="9317" xr:uid="{00000000-0005-0000-0000-00001A210000}"/>
    <cellStyle name="20% - Accent5 6 2 6 2" xfId="17275" xr:uid="{00000000-0005-0000-0000-00001B210000}"/>
    <cellStyle name="20% - Accent5 6 2 6 3" xfId="25219" xr:uid="{00000000-0005-0000-0000-00001C210000}"/>
    <cellStyle name="20% - Accent5 6 2 7" xfId="10213" xr:uid="{00000000-0005-0000-0000-00001D210000}"/>
    <cellStyle name="20% - Accent5 6 2 8" xfId="18168" xr:uid="{00000000-0005-0000-0000-00001E210000}"/>
    <cellStyle name="20% - Accent5 6 2_Exh G" xfId="2522" xr:uid="{00000000-0005-0000-0000-00001F210000}"/>
    <cellStyle name="20% - Accent5 6 3" xfId="267" xr:uid="{00000000-0005-0000-0000-000020210000}"/>
    <cellStyle name="20% - Accent5 6 3 2" xfId="1295" xr:uid="{00000000-0005-0000-0000-000021210000}"/>
    <cellStyle name="20% - Accent5 6 3 2 2" xfId="4825" xr:uid="{00000000-0005-0000-0000-000022210000}"/>
    <cellStyle name="20% - Accent5 6 3 2 2 2" xfId="8416" xr:uid="{00000000-0005-0000-0000-000023210000}"/>
    <cellStyle name="20% - Accent5 6 3 2 2 2 2" xfId="16387" xr:uid="{00000000-0005-0000-0000-000024210000}"/>
    <cellStyle name="20% - Accent5 6 3 2 2 2 3" xfId="24333" xr:uid="{00000000-0005-0000-0000-000025210000}"/>
    <cellStyle name="20% - Accent5 6 3 2 2 3" xfId="12849" xr:uid="{00000000-0005-0000-0000-000026210000}"/>
    <cellStyle name="20% - Accent5 6 3 2 2 4" xfId="20804" xr:uid="{00000000-0005-0000-0000-000027210000}"/>
    <cellStyle name="20% - Accent5 6 3 2 3" xfId="6657" xr:uid="{00000000-0005-0000-0000-000028210000}"/>
    <cellStyle name="20% - Accent5 6 3 2 3 2" xfId="14629" xr:uid="{00000000-0005-0000-0000-000029210000}"/>
    <cellStyle name="20% - Accent5 6 3 2 3 3" xfId="22576" xr:uid="{00000000-0005-0000-0000-00002A210000}"/>
    <cellStyle name="20% - Accent5 6 3 2 4" xfId="11093" xr:uid="{00000000-0005-0000-0000-00002B210000}"/>
    <cellStyle name="20% - Accent5 6 3 2 5" xfId="19048" xr:uid="{00000000-0005-0000-0000-00002C210000}"/>
    <cellStyle name="20% - Accent5 6 3 2_Exh G" xfId="2527" xr:uid="{00000000-0005-0000-0000-00002D210000}"/>
    <cellStyle name="20% - Accent5 6 3 3" xfId="3946" xr:uid="{00000000-0005-0000-0000-00002E210000}"/>
    <cellStyle name="20% - Accent5 6 3 3 2" xfId="7538" xr:uid="{00000000-0005-0000-0000-00002F210000}"/>
    <cellStyle name="20% - Accent5 6 3 3 2 2" xfId="15509" xr:uid="{00000000-0005-0000-0000-000030210000}"/>
    <cellStyle name="20% - Accent5 6 3 3 2 3" xfId="23455" xr:uid="{00000000-0005-0000-0000-000031210000}"/>
    <cellStyle name="20% - Accent5 6 3 3 3" xfId="11971" xr:uid="{00000000-0005-0000-0000-000032210000}"/>
    <cellStyle name="20% - Accent5 6 3 3 4" xfId="19926" xr:uid="{00000000-0005-0000-0000-000033210000}"/>
    <cellStyle name="20% - Accent5 6 3 4" xfId="5766" xr:uid="{00000000-0005-0000-0000-000034210000}"/>
    <cellStyle name="20% - Accent5 6 3 4 2" xfId="13750" xr:uid="{00000000-0005-0000-0000-000035210000}"/>
    <cellStyle name="20% - Accent5 6 3 4 3" xfId="21698" xr:uid="{00000000-0005-0000-0000-000036210000}"/>
    <cellStyle name="20% - Accent5 6 3 5" xfId="9319" xr:uid="{00000000-0005-0000-0000-000037210000}"/>
    <cellStyle name="20% - Accent5 6 3 5 2" xfId="17277" xr:uid="{00000000-0005-0000-0000-000038210000}"/>
    <cellStyle name="20% - Accent5 6 3 5 3" xfId="25221" xr:uid="{00000000-0005-0000-0000-000039210000}"/>
    <cellStyle name="20% - Accent5 6 3 6" xfId="10215" xr:uid="{00000000-0005-0000-0000-00003A210000}"/>
    <cellStyle name="20% - Accent5 6 3 7" xfId="18170" xr:uid="{00000000-0005-0000-0000-00003B210000}"/>
    <cellStyle name="20% - Accent5 6 3_Exh G" xfId="2526" xr:uid="{00000000-0005-0000-0000-00003C210000}"/>
    <cellStyle name="20% - Accent5 6 4" xfId="918" xr:uid="{00000000-0005-0000-0000-00003D210000}"/>
    <cellStyle name="20% - Accent5 6 4 2" xfId="1845" xr:uid="{00000000-0005-0000-0000-00003E210000}"/>
    <cellStyle name="20% - Accent5 6 4 2 2" xfId="5363" xr:uid="{00000000-0005-0000-0000-00003F210000}"/>
    <cellStyle name="20% - Accent5 6 4 2 2 2" xfId="8954" xr:uid="{00000000-0005-0000-0000-000040210000}"/>
    <cellStyle name="20% - Accent5 6 4 2 2 2 2" xfId="16925" xr:uid="{00000000-0005-0000-0000-000041210000}"/>
    <cellStyle name="20% - Accent5 6 4 2 2 2 3" xfId="24871" xr:uid="{00000000-0005-0000-0000-000042210000}"/>
    <cellStyle name="20% - Accent5 6 4 2 2 3" xfId="13387" xr:uid="{00000000-0005-0000-0000-000043210000}"/>
    <cellStyle name="20% - Accent5 6 4 2 2 4" xfId="21342" xr:uid="{00000000-0005-0000-0000-000044210000}"/>
    <cellStyle name="20% - Accent5 6 4 2 3" xfId="7195" xr:uid="{00000000-0005-0000-0000-000045210000}"/>
    <cellStyle name="20% - Accent5 6 4 2 3 2" xfId="15167" xr:uid="{00000000-0005-0000-0000-000046210000}"/>
    <cellStyle name="20% - Accent5 6 4 2 3 3" xfId="23114" xr:uid="{00000000-0005-0000-0000-000047210000}"/>
    <cellStyle name="20% - Accent5 6 4 2 4" xfId="11631" xr:uid="{00000000-0005-0000-0000-000048210000}"/>
    <cellStyle name="20% - Accent5 6 4 2 5" xfId="19586" xr:uid="{00000000-0005-0000-0000-000049210000}"/>
    <cellStyle name="20% - Accent5 6 4 2_Exh G" xfId="2529" xr:uid="{00000000-0005-0000-0000-00004A210000}"/>
    <cellStyle name="20% - Accent5 6 4 3" xfId="4484" xr:uid="{00000000-0005-0000-0000-00004B210000}"/>
    <cellStyle name="20% - Accent5 6 4 3 2" xfId="8076" xr:uid="{00000000-0005-0000-0000-00004C210000}"/>
    <cellStyle name="20% - Accent5 6 4 3 2 2" xfId="16047" xr:uid="{00000000-0005-0000-0000-00004D210000}"/>
    <cellStyle name="20% - Accent5 6 4 3 2 3" xfId="23993" xr:uid="{00000000-0005-0000-0000-00004E210000}"/>
    <cellStyle name="20% - Accent5 6 4 3 3" xfId="12509" xr:uid="{00000000-0005-0000-0000-00004F210000}"/>
    <cellStyle name="20% - Accent5 6 4 3 4" xfId="20464" xr:uid="{00000000-0005-0000-0000-000050210000}"/>
    <cellStyle name="20% - Accent5 6 4 4" xfId="6314" xr:uid="{00000000-0005-0000-0000-000051210000}"/>
    <cellStyle name="20% - Accent5 6 4 4 2" xfId="14289" xr:uid="{00000000-0005-0000-0000-000052210000}"/>
    <cellStyle name="20% - Accent5 6 4 4 3" xfId="22236" xr:uid="{00000000-0005-0000-0000-000053210000}"/>
    <cellStyle name="20% - Accent5 6 4 5" xfId="9857" xr:uid="{00000000-0005-0000-0000-000054210000}"/>
    <cellStyle name="20% - Accent5 6 4 5 2" xfId="17815" xr:uid="{00000000-0005-0000-0000-000055210000}"/>
    <cellStyle name="20% - Accent5 6 4 5 3" xfId="25759" xr:uid="{00000000-0005-0000-0000-000056210000}"/>
    <cellStyle name="20% - Accent5 6 4 6" xfId="10753" xr:uid="{00000000-0005-0000-0000-000057210000}"/>
    <cellStyle name="20% - Accent5 6 4 7" xfId="18708" xr:uid="{00000000-0005-0000-0000-000058210000}"/>
    <cellStyle name="20% - Accent5 6 4_Exh G" xfId="2528" xr:uid="{00000000-0005-0000-0000-000059210000}"/>
    <cellStyle name="20% - Accent5 6 5" xfId="1292" xr:uid="{00000000-0005-0000-0000-00005A210000}"/>
    <cellStyle name="20% - Accent5 6 5 2" xfId="4822" xr:uid="{00000000-0005-0000-0000-00005B210000}"/>
    <cellStyle name="20% - Accent5 6 5 2 2" xfId="8413" xr:uid="{00000000-0005-0000-0000-00005C210000}"/>
    <cellStyle name="20% - Accent5 6 5 2 2 2" xfId="16384" xr:uid="{00000000-0005-0000-0000-00005D210000}"/>
    <cellStyle name="20% - Accent5 6 5 2 2 3" xfId="24330" xr:uid="{00000000-0005-0000-0000-00005E210000}"/>
    <cellStyle name="20% - Accent5 6 5 2 3" xfId="12846" xr:uid="{00000000-0005-0000-0000-00005F210000}"/>
    <cellStyle name="20% - Accent5 6 5 2 4" xfId="20801" xr:uid="{00000000-0005-0000-0000-000060210000}"/>
    <cellStyle name="20% - Accent5 6 5 3" xfId="6654" xr:uid="{00000000-0005-0000-0000-000061210000}"/>
    <cellStyle name="20% - Accent5 6 5 3 2" xfId="14626" xr:uid="{00000000-0005-0000-0000-000062210000}"/>
    <cellStyle name="20% - Accent5 6 5 3 3" xfId="22573" xr:uid="{00000000-0005-0000-0000-000063210000}"/>
    <cellStyle name="20% - Accent5 6 5 4" xfId="11090" xr:uid="{00000000-0005-0000-0000-000064210000}"/>
    <cellStyle name="20% - Accent5 6 5 5" xfId="19045" xr:uid="{00000000-0005-0000-0000-000065210000}"/>
    <cellStyle name="20% - Accent5 6 5_Exh G" xfId="2530" xr:uid="{00000000-0005-0000-0000-000066210000}"/>
    <cellStyle name="20% - Accent5 6 6" xfId="3943" xr:uid="{00000000-0005-0000-0000-000067210000}"/>
    <cellStyle name="20% - Accent5 6 6 2" xfId="7535" xr:uid="{00000000-0005-0000-0000-000068210000}"/>
    <cellStyle name="20% - Accent5 6 6 2 2" xfId="15506" xr:uid="{00000000-0005-0000-0000-000069210000}"/>
    <cellStyle name="20% - Accent5 6 6 2 3" xfId="23452" xr:uid="{00000000-0005-0000-0000-00006A210000}"/>
    <cellStyle name="20% - Accent5 6 6 3" xfId="11968" xr:uid="{00000000-0005-0000-0000-00006B210000}"/>
    <cellStyle name="20% - Accent5 6 6 4" xfId="19923" xr:uid="{00000000-0005-0000-0000-00006C210000}"/>
    <cellStyle name="20% - Accent5 6 7" xfId="5763" xr:uid="{00000000-0005-0000-0000-00006D210000}"/>
    <cellStyle name="20% - Accent5 6 7 2" xfId="13747" xr:uid="{00000000-0005-0000-0000-00006E210000}"/>
    <cellStyle name="20% - Accent5 6 7 3" xfId="21695" xr:uid="{00000000-0005-0000-0000-00006F210000}"/>
    <cellStyle name="20% - Accent5 6 8" xfId="9316" xr:uid="{00000000-0005-0000-0000-000070210000}"/>
    <cellStyle name="20% - Accent5 6 8 2" xfId="17274" xr:uid="{00000000-0005-0000-0000-000071210000}"/>
    <cellStyle name="20% - Accent5 6 8 3" xfId="25218" xr:uid="{00000000-0005-0000-0000-000072210000}"/>
    <cellStyle name="20% - Accent5 6 9" xfId="10212" xr:uid="{00000000-0005-0000-0000-000073210000}"/>
    <cellStyle name="20% - Accent5 6_Exh G" xfId="2521" xr:uid="{00000000-0005-0000-0000-000074210000}"/>
    <cellStyle name="20% - Accent5 7" xfId="268" xr:uid="{00000000-0005-0000-0000-000075210000}"/>
    <cellStyle name="20% - Accent5 7 10" xfId="18171" xr:uid="{00000000-0005-0000-0000-000076210000}"/>
    <cellStyle name="20% - Accent5 7 2" xfId="269" xr:uid="{00000000-0005-0000-0000-000077210000}"/>
    <cellStyle name="20% - Accent5 7 2 2" xfId="270" xr:uid="{00000000-0005-0000-0000-000078210000}"/>
    <cellStyle name="20% - Accent5 7 2 2 2" xfId="1298" xr:uid="{00000000-0005-0000-0000-000079210000}"/>
    <cellStyle name="20% - Accent5 7 2 2 2 2" xfId="4828" xr:uid="{00000000-0005-0000-0000-00007A210000}"/>
    <cellStyle name="20% - Accent5 7 2 2 2 2 2" xfId="8419" xr:uid="{00000000-0005-0000-0000-00007B210000}"/>
    <cellStyle name="20% - Accent5 7 2 2 2 2 2 2" xfId="16390" xr:uid="{00000000-0005-0000-0000-00007C210000}"/>
    <cellStyle name="20% - Accent5 7 2 2 2 2 2 3" xfId="24336" xr:uid="{00000000-0005-0000-0000-00007D210000}"/>
    <cellStyle name="20% - Accent5 7 2 2 2 2 3" xfId="12852" xr:uid="{00000000-0005-0000-0000-00007E210000}"/>
    <cellStyle name="20% - Accent5 7 2 2 2 2 4" xfId="20807" xr:uid="{00000000-0005-0000-0000-00007F210000}"/>
    <cellStyle name="20% - Accent5 7 2 2 2 3" xfId="6660" xr:uid="{00000000-0005-0000-0000-000080210000}"/>
    <cellStyle name="20% - Accent5 7 2 2 2 3 2" xfId="14632" xr:uid="{00000000-0005-0000-0000-000081210000}"/>
    <cellStyle name="20% - Accent5 7 2 2 2 3 3" xfId="22579" xr:uid="{00000000-0005-0000-0000-000082210000}"/>
    <cellStyle name="20% - Accent5 7 2 2 2 4" xfId="11096" xr:uid="{00000000-0005-0000-0000-000083210000}"/>
    <cellStyle name="20% - Accent5 7 2 2 2 5" xfId="19051" xr:uid="{00000000-0005-0000-0000-000084210000}"/>
    <cellStyle name="20% - Accent5 7 2 2 2_Exh G" xfId="2534" xr:uid="{00000000-0005-0000-0000-000085210000}"/>
    <cellStyle name="20% - Accent5 7 2 2 3" xfId="3949" xr:uid="{00000000-0005-0000-0000-000086210000}"/>
    <cellStyle name="20% - Accent5 7 2 2 3 2" xfId="7541" xr:uid="{00000000-0005-0000-0000-000087210000}"/>
    <cellStyle name="20% - Accent5 7 2 2 3 2 2" xfId="15512" xr:uid="{00000000-0005-0000-0000-000088210000}"/>
    <cellStyle name="20% - Accent5 7 2 2 3 2 3" xfId="23458" xr:uid="{00000000-0005-0000-0000-000089210000}"/>
    <cellStyle name="20% - Accent5 7 2 2 3 3" xfId="11974" xr:uid="{00000000-0005-0000-0000-00008A210000}"/>
    <cellStyle name="20% - Accent5 7 2 2 3 4" xfId="19929" xr:uid="{00000000-0005-0000-0000-00008B210000}"/>
    <cellStyle name="20% - Accent5 7 2 2 4" xfId="5769" xr:uid="{00000000-0005-0000-0000-00008C210000}"/>
    <cellStyle name="20% - Accent5 7 2 2 4 2" xfId="13753" xr:uid="{00000000-0005-0000-0000-00008D210000}"/>
    <cellStyle name="20% - Accent5 7 2 2 4 3" xfId="21701" xr:uid="{00000000-0005-0000-0000-00008E210000}"/>
    <cellStyle name="20% - Accent5 7 2 2 5" xfId="9322" xr:uid="{00000000-0005-0000-0000-00008F210000}"/>
    <cellStyle name="20% - Accent5 7 2 2 5 2" xfId="17280" xr:uid="{00000000-0005-0000-0000-000090210000}"/>
    <cellStyle name="20% - Accent5 7 2 2 5 3" xfId="25224" xr:uid="{00000000-0005-0000-0000-000091210000}"/>
    <cellStyle name="20% - Accent5 7 2 2 6" xfId="10218" xr:uid="{00000000-0005-0000-0000-000092210000}"/>
    <cellStyle name="20% - Accent5 7 2 2 7" xfId="18173" xr:uid="{00000000-0005-0000-0000-000093210000}"/>
    <cellStyle name="20% - Accent5 7 2 2_Exh G" xfId="2533" xr:uid="{00000000-0005-0000-0000-000094210000}"/>
    <cellStyle name="20% - Accent5 7 2 3" xfId="1297" xr:uid="{00000000-0005-0000-0000-000095210000}"/>
    <cellStyle name="20% - Accent5 7 2 3 2" xfId="4827" xr:uid="{00000000-0005-0000-0000-000096210000}"/>
    <cellStyle name="20% - Accent5 7 2 3 2 2" xfId="8418" xr:uid="{00000000-0005-0000-0000-000097210000}"/>
    <cellStyle name="20% - Accent5 7 2 3 2 2 2" xfId="16389" xr:uid="{00000000-0005-0000-0000-000098210000}"/>
    <cellStyle name="20% - Accent5 7 2 3 2 2 3" xfId="24335" xr:uid="{00000000-0005-0000-0000-000099210000}"/>
    <cellStyle name="20% - Accent5 7 2 3 2 3" xfId="12851" xr:uid="{00000000-0005-0000-0000-00009A210000}"/>
    <cellStyle name="20% - Accent5 7 2 3 2 4" xfId="20806" xr:uid="{00000000-0005-0000-0000-00009B210000}"/>
    <cellStyle name="20% - Accent5 7 2 3 3" xfId="6659" xr:uid="{00000000-0005-0000-0000-00009C210000}"/>
    <cellStyle name="20% - Accent5 7 2 3 3 2" xfId="14631" xr:uid="{00000000-0005-0000-0000-00009D210000}"/>
    <cellStyle name="20% - Accent5 7 2 3 3 3" xfId="22578" xr:uid="{00000000-0005-0000-0000-00009E210000}"/>
    <cellStyle name="20% - Accent5 7 2 3 4" xfId="11095" xr:uid="{00000000-0005-0000-0000-00009F210000}"/>
    <cellStyle name="20% - Accent5 7 2 3 5" xfId="19050" xr:uid="{00000000-0005-0000-0000-0000A0210000}"/>
    <cellStyle name="20% - Accent5 7 2 3_Exh G" xfId="2535" xr:uid="{00000000-0005-0000-0000-0000A1210000}"/>
    <cellStyle name="20% - Accent5 7 2 4" xfId="3948" xr:uid="{00000000-0005-0000-0000-0000A2210000}"/>
    <cellStyle name="20% - Accent5 7 2 4 2" xfId="7540" xr:uid="{00000000-0005-0000-0000-0000A3210000}"/>
    <cellStyle name="20% - Accent5 7 2 4 2 2" xfId="15511" xr:uid="{00000000-0005-0000-0000-0000A4210000}"/>
    <cellStyle name="20% - Accent5 7 2 4 2 3" xfId="23457" xr:uid="{00000000-0005-0000-0000-0000A5210000}"/>
    <cellStyle name="20% - Accent5 7 2 4 3" xfId="11973" xr:uid="{00000000-0005-0000-0000-0000A6210000}"/>
    <cellStyle name="20% - Accent5 7 2 4 4" xfId="19928" xr:uid="{00000000-0005-0000-0000-0000A7210000}"/>
    <cellStyle name="20% - Accent5 7 2 5" xfId="5768" xr:uid="{00000000-0005-0000-0000-0000A8210000}"/>
    <cellStyle name="20% - Accent5 7 2 5 2" xfId="13752" xr:uid="{00000000-0005-0000-0000-0000A9210000}"/>
    <cellStyle name="20% - Accent5 7 2 5 3" xfId="21700" xr:uid="{00000000-0005-0000-0000-0000AA210000}"/>
    <cellStyle name="20% - Accent5 7 2 6" xfId="9321" xr:uid="{00000000-0005-0000-0000-0000AB210000}"/>
    <cellStyle name="20% - Accent5 7 2 6 2" xfId="17279" xr:uid="{00000000-0005-0000-0000-0000AC210000}"/>
    <cellStyle name="20% - Accent5 7 2 6 3" xfId="25223" xr:uid="{00000000-0005-0000-0000-0000AD210000}"/>
    <cellStyle name="20% - Accent5 7 2 7" xfId="10217" xr:uid="{00000000-0005-0000-0000-0000AE210000}"/>
    <cellStyle name="20% - Accent5 7 2 8" xfId="18172" xr:uid="{00000000-0005-0000-0000-0000AF210000}"/>
    <cellStyle name="20% - Accent5 7 2_Exh G" xfId="2532" xr:uid="{00000000-0005-0000-0000-0000B0210000}"/>
    <cellStyle name="20% - Accent5 7 3" xfId="271" xr:uid="{00000000-0005-0000-0000-0000B1210000}"/>
    <cellStyle name="20% - Accent5 7 3 2" xfId="1299" xr:uid="{00000000-0005-0000-0000-0000B2210000}"/>
    <cellStyle name="20% - Accent5 7 3 2 2" xfId="4829" xr:uid="{00000000-0005-0000-0000-0000B3210000}"/>
    <cellStyle name="20% - Accent5 7 3 2 2 2" xfId="8420" xr:uid="{00000000-0005-0000-0000-0000B4210000}"/>
    <cellStyle name="20% - Accent5 7 3 2 2 2 2" xfId="16391" xr:uid="{00000000-0005-0000-0000-0000B5210000}"/>
    <cellStyle name="20% - Accent5 7 3 2 2 2 3" xfId="24337" xr:uid="{00000000-0005-0000-0000-0000B6210000}"/>
    <cellStyle name="20% - Accent5 7 3 2 2 3" xfId="12853" xr:uid="{00000000-0005-0000-0000-0000B7210000}"/>
    <cellStyle name="20% - Accent5 7 3 2 2 4" xfId="20808" xr:uid="{00000000-0005-0000-0000-0000B8210000}"/>
    <cellStyle name="20% - Accent5 7 3 2 3" xfId="6661" xr:uid="{00000000-0005-0000-0000-0000B9210000}"/>
    <cellStyle name="20% - Accent5 7 3 2 3 2" xfId="14633" xr:uid="{00000000-0005-0000-0000-0000BA210000}"/>
    <cellStyle name="20% - Accent5 7 3 2 3 3" xfId="22580" xr:uid="{00000000-0005-0000-0000-0000BB210000}"/>
    <cellStyle name="20% - Accent5 7 3 2 4" xfId="11097" xr:uid="{00000000-0005-0000-0000-0000BC210000}"/>
    <cellStyle name="20% - Accent5 7 3 2 5" xfId="19052" xr:uid="{00000000-0005-0000-0000-0000BD210000}"/>
    <cellStyle name="20% - Accent5 7 3 2_Exh G" xfId="2537" xr:uid="{00000000-0005-0000-0000-0000BE210000}"/>
    <cellStyle name="20% - Accent5 7 3 3" xfId="3950" xr:uid="{00000000-0005-0000-0000-0000BF210000}"/>
    <cellStyle name="20% - Accent5 7 3 3 2" xfId="7542" xr:uid="{00000000-0005-0000-0000-0000C0210000}"/>
    <cellStyle name="20% - Accent5 7 3 3 2 2" xfId="15513" xr:uid="{00000000-0005-0000-0000-0000C1210000}"/>
    <cellStyle name="20% - Accent5 7 3 3 2 3" xfId="23459" xr:uid="{00000000-0005-0000-0000-0000C2210000}"/>
    <cellStyle name="20% - Accent5 7 3 3 3" xfId="11975" xr:uid="{00000000-0005-0000-0000-0000C3210000}"/>
    <cellStyle name="20% - Accent5 7 3 3 4" xfId="19930" xr:uid="{00000000-0005-0000-0000-0000C4210000}"/>
    <cellStyle name="20% - Accent5 7 3 4" xfId="5770" xr:uid="{00000000-0005-0000-0000-0000C5210000}"/>
    <cellStyle name="20% - Accent5 7 3 4 2" xfId="13754" xr:uid="{00000000-0005-0000-0000-0000C6210000}"/>
    <cellStyle name="20% - Accent5 7 3 4 3" xfId="21702" xr:uid="{00000000-0005-0000-0000-0000C7210000}"/>
    <cellStyle name="20% - Accent5 7 3 5" xfId="9323" xr:uid="{00000000-0005-0000-0000-0000C8210000}"/>
    <cellStyle name="20% - Accent5 7 3 5 2" xfId="17281" xr:uid="{00000000-0005-0000-0000-0000C9210000}"/>
    <cellStyle name="20% - Accent5 7 3 5 3" xfId="25225" xr:uid="{00000000-0005-0000-0000-0000CA210000}"/>
    <cellStyle name="20% - Accent5 7 3 6" xfId="10219" xr:uid="{00000000-0005-0000-0000-0000CB210000}"/>
    <cellStyle name="20% - Accent5 7 3 7" xfId="18174" xr:uid="{00000000-0005-0000-0000-0000CC210000}"/>
    <cellStyle name="20% - Accent5 7 3_Exh G" xfId="2536" xr:uid="{00000000-0005-0000-0000-0000CD210000}"/>
    <cellStyle name="20% - Accent5 7 4" xfId="919" xr:uid="{00000000-0005-0000-0000-0000CE210000}"/>
    <cellStyle name="20% - Accent5 7 4 2" xfId="1846" xr:uid="{00000000-0005-0000-0000-0000CF210000}"/>
    <cellStyle name="20% - Accent5 7 4 2 2" xfId="5364" xr:uid="{00000000-0005-0000-0000-0000D0210000}"/>
    <cellStyle name="20% - Accent5 7 4 2 2 2" xfId="8955" xr:uid="{00000000-0005-0000-0000-0000D1210000}"/>
    <cellStyle name="20% - Accent5 7 4 2 2 2 2" xfId="16926" xr:uid="{00000000-0005-0000-0000-0000D2210000}"/>
    <cellStyle name="20% - Accent5 7 4 2 2 2 3" xfId="24872" xr:uid="{00000000-0005-0000-0000-0000D3210000}"/>
    <cellStyle name="20% - Accent5 7 4 2 2 3" xfId="13388" xr:uid="{00000000-0005-0000-0000-0000D4210000}"/>
    <cellStyle name="20% - Accent5 7 4 2 2 4" xfId="21343" xr:uid="{00000000-0005-0000-0000-0000D5210000}"/>
    <cellStyle name="20% - Accent5 7 4 2 3" xfId="7196" xr:uid="{00000000-0005-0000-0000-0000D6210000}"/>
    <cellStyle name="20% - Accent5 7 4 2 3 2" xfId="15168" xr:uid="{00000000-0005-0000-0000-0000D7210000}"/>
    <cellStyle name="20% - Accent5 7 4 2 3 3" xfId="23115" xr:uid="{00000000-0005-0000-0000-0000D8210000}"/>
    <cellStyle name="20% - Accent5 7 4 2 4" xfId="11632" xr:uid="{00000000-0005-0000-0000-0000D9210000}"/>
    <cellStyle name="20% - Accent5 7 4 2 5" xfId="19587" xr:uid="{00000000-0005-0000-0000-0000DA210000}"/>
    <cellStyle name="20% - Accent5 7 4 2_Exh G" xfId="2539" xr:uid="{00000000-0005-0000-0000-0000DB210000}"/>
    <cellStyle name="20% - Accent5 7 4 3" xfId="4485" xr:uid="{00000000-0005-0000-0000-0000DC210000}"/>
    <cellStyle name="20% - Accent5 7 4 3 2" xfId="8077" xr:uid="{00000000-0005-0000-0000-0000DD210000}"/>
    <cellStyle name="20% - Accent5 7 4 3 2 2" xfId="16048" xr:uid="{00000000-0005-0000-0000-0000DE210000}"/>
    <cellStyle name="20% - Accent5 7 4 3 2 3" xfId="23994" xr:uid="{00000000-0005-0000-0000-0000DF210000}"/>
    <cellStyle name="20% - Accent5 7 4 3 3" xfId="12510" xr:uid="{00000000-0005-0000-0000-0000E0210000}"/>
    <cellStyle name="20% - Accent5 7 4 3 4" xfId="20465" xr:uid="{00000000-0005-0000-0000-0000E1210000}"/>
    <cellStyle name="20% - Accent5 7 4 4" xfId="6315" xr:uid="{00000000-0005-0000-0000-0000E2210000}"/>
    <cellStyle name="20% - Accent5 7 4 4 2" xfId="14290" xr:uid="{00000000-0005-0000-0000-0000E3210000}"/>
    <cellStyle name="20% - Accent5 7 4 4 3" xfId="22237" xr:uid="{00000000-0005-0000-0000-0000E4210000}"/>
    <cellStyle name="20% - Accent5 7 4 5" xfId="9858" xr:uid="{00000000-0005-0000-0000-0000E5210000}"/>
    <cellStyle name="20% - Accent5 7 4 5 2" xfId="17816" xr:uid="{00000000-0005-0000-0000-0000E6210000}"/>
    <cellStyle name="20% - Accent5 7 4 5 3" xfId="25760" xr:uid="{00000000-0005-0000-0000-0000E7210000}"/>
    <cellStyle name="20% - Accent5 7 4 6" xfId="10754" xr:uid="{00000000-0005-0000-0000-0000E8210000}"/>
    <cellStyle name="20% - Accent5 7 4 7" xfId="18709" xr:uid="{00000000-0005-0000-0000-0000E9210000}"/>
    <cellStyle name="20% - Accent5 7 4_Exh G" xfId="2538" xr:uid="{00000000-0005-0000-0000-0000EA210000}"/>
    <cellStyle name="20% - Accent5 7 5" xfId="1296" xr:uid="{00000000-0005-0000-0000-0000EB210000}"/>
    <cellStyle name="20% - Accent5 7 5 2" xfId="4826" xr:uid="{00000000-0005-0000-0000-0000EC210000}"/>
    <cellStyle name="20% - Accent5 7 5 2 2" xfId="8417" xr:uid="{00000000-0005-0000-0000-0000ED210000}"/>
    <cellStyle name="20% - Accent5 7 5 2 2 2" xfId="16388" xr:uid="{00000000-0005-0000-0000-0000EE210000}"/>
    <cellStyle name="20% - Accent5 7 5 2 2 3" xfId="24334" xr:uid="{00000000-0005-0000-0000-0000EF210000}"/>
    <cellStyle name="20% - Accent5 7 5 2 3" xfId="12850" xr:uid="{00000000-0005-0000-0000-0000F0210000}"/>
    <cellStyle name="20% - Accent5 7 5 2 4" xfId="20805" xr:uid="{00000000-0005-0000-0000-0000F1210000}"/>
    <cellStyle name="20% - Accent5 7 5 3" xfId="6658" xr:uid="{00000000-0005-0000-0000-0000F2210000}"/>
    <cellStyle name="20% - Accent5 7 5 3 2" xfId="14630" xr:uid="{00000000-0005-0000-0000-0000F3210000}"/>
    <cellStyle name="20% - Accent5 7 5 3 3" xfId="22577" xr:uid="{00000000-0005-0000-0000-0000F4210000}"/>
    <cellStyle name="20% - Accent5 7 5 4" xfId="11094" xr:uid="{00000000-0005-0000-0000-0000F5210000}"/>
    <cellStyle name="20% - Accent5 7 5 5" xfId="19049" xr:uid="{00000000-0005-0000-0000-0000F6210000}"/>
    <cellStyle name="20% - Accent5 7 5_Exh G" xfId="2540" xr:uid="{00000000-0005-0000-0000-0000F7210000}"/>
    <cellStyle name="20% - Accent5 7 6" xfId="3947" xr:uid="{00000000-0005-0000-0000-0000F8210000}"/>
    <cellStyle name="20% - Accent5 7 6 2" xfId="7539" xr:uid="{00000000-0005-0000-0000-0000F9210000}"/>
    <cellStyle name="20% - Accent5 7 6 2 2" xfId="15510" xr:uid="{00000000-0005-0000-0000-0000FA210000}"/>
    <cellStyle name="20% - Accent5 7 6 2 3" xfId="23456" xr:uid="{00000000-0005-0000-0000-0000FB210000}"/>
    <cellStyle name="20% - Accent5 7 6 3" xfId="11972" xr:uid="{00000000-0005-0000-0000-0000FC210000}"/>
    <cellStyle name="20% - Accent5 7 6 4" xfId="19927" xr:uid="{00000000-0005-0000-0000-0000FD210000}"/>
    <cellStyle name="20% - Accent5 7 7" xfId="5767" xr:uid="{00000000-0005-0000-0000-0000FE210000}"/>
    <cellStyle name="20% - Accent5 7 7 2" xfId="13751" xr:uid="{00000000-0005-0000-0000-0000FF210000}"/>
    <cellStyle name="20% - Accent5 7 7 3" xfId="21699" xr:uid="{00000000-0005-0000-0000-000000220000}"/>
    <cellStyle name="20% - Accent5 7 8" xfId="9320" xr:uid="{00000000-0005-0000-0000-000001220000}"/>
    <cellStyle name="20% - Accent5 7 8 2" xfId="17278" xr:uid="{00000000-0005-0000-0000-000002220000}"/>
    <cellStyle name="20% - Accent5 7 8 3" xfId="25222" xr:uid="{00000000-0005-0000-0000-000003220000}"/>
    <cellStyle name="20% - Accent5 7 9" xfId="10216" xr:uid="{00000000-0005-0000-0000-000004220000}"/>
    <cellStyle name="20% - Accent5 7_Exh G" xfId="2531" xr:uid="{00000000-0005-0000-0000-000005220000}"/>
    <cellStyle name="20% - Accent5 8" xfId="272" xr:uid="{00000000-0005-0000-0000-000006220000}"/>
    <cellStyle name="20% - Accent5 8 10" xfId="18175" xr:uid="{00000000-0005-0000-0000-000007220000}"/>
    <cellStyle name="20% - Accent5 8 2" xfId="273" xr:uid="{00000000-0005-0000-0000-000008220000}"/>
    <cellStyle name="20% - Accent5 8 2 2" xfId="274" xr:uid="{00000000-0005-0000-0000-000009220000}"/>
    <cellStyle name="20% - Accent5 8 2 2 2" xfId="1302" xr:uid="{00000000-0005-0000-0000-00000A220000}"/>
    <cellStyle name="20% - Accent5 8 2 2 2 2" xfId="4832" xr:uid="{00000000-0005-0000-0000-00000B220000}"/>
    <cellStyle name="20% - Accent5 8 2 2 2 2 2" xfId="8423" xr:uid="{00000000-0005-0000-0000-00000C220000}"/>
    <cellStyle name="20% - Accent5 8 2 2 2 2 2 2" xfId="16394" xr:uid="{00000000-0005-0000-0000-00000D220000}"/>
    <cellStyle name="20% - Accent5 8 2 2 2 2 2 3" xfId="24340" xr:uid="{00000000-0005-0000-0000-00000E220000}"/>
    <cellStyle name="20% - Accent5 8 2 2 2 2 3" xfId="12856" xr:uid="{00000000-0005-0000-0000-00000F220000}"/>
    <cellStyle name="20% - Accent5 8 2 2 2 2 4" xfId="20811" xr:uid="{00000000-0005-0000-0000-000010220000}"/>
    <cellStyle name="20% - Accent5 8 2 2 2 3" xfId="6664" xr:uid="{00000000-0005-0000-0000-000011220000}"/>
    <cellStyle name="20% - Accent5 8 2 2 2 3 2" xfId="14636" xr:uid="{00000000-0005-0000-0000-000012220000}"/>
    <cellStyle name="20% - Accent5 8 2 2 2 3 3" xfId="22583" xr:uid="{00000000-0005-0000-0000-000013220000}"/>
    <cellStyle name="20% - Accent5 8 2 2 2 4" xfId="11100" xr:uid="{00000000-0005-0000-0000-000014220000}"/>
    <cellStyle name="20% - Accent5 8 2 2 2 5" xfId="19055" xr:uid="{00000000-0005-0000-0000-000015220000}"/>
    <cellStyle name="20% - Accent5 8 2 2 2_Exh G" xfId="2544" xr:uid="{00000000-0005-0000-0000-000016220000}"/>
    <cellStyle name="20% - Accent5 8 2 2 3" xfId="3953" xr:uid="{00000000-0005-0000-0000-000017220000}"/>
    <cellStyle name="20% - Accent5 8 2 2 3 2" xfId="7545" xr:uid="{00000000-0005-0000-0000-000018220000}"/>
    <cellStyle name="20% - Accent5 8 2 2 3 2 2" xfId="15516" xr:uid="{00000000-0005-0000-0000-000019220000}"/>
    <cellStyle name="20% - Accent5 8 2 2 3 2 3" xfId="23462" xr:uid="{00000000-0005-0000-0000-00001A220000}"/>
    <cellStyle name="20% - Accent5 8 2 2 3 3" xfId="11978" xr:uid="{00000000-0005-0000-0000-00001B220000}"/>
    <cellStyle name="20% - Accent5 8 2 2 3 4" xfId="19933" xr:uid="{00000000-0005-0000-0000-00001C220000}"/>
    <cellStyle name="20% - Accent5 8 2 2 4" xfId="5773" xr:uid="{00000000-0005-0000-0000-00001D220000}"/>
    <cellStyle name="20% - Accent5 8 2 2 4 2" xfId="13757" xr:uid="{00000000-0005-0000-0000-00001E220000}"/>
    <cellStyle name="20% - Accent5 8 2 2 4 3" xfId="21705" xr:uid="{00000000-0005-0000-0000-00001F220000}"/>
    <cellStyle name="20% - Accent5 8 2 2 5" xfId="9326" xr:uid="{00000000-0005-0000-0000-000020220000}"/>
    <cellStyle name="20% - Accent5 8 2 2 5 2" xfId="17284" xr:uid="{00000000-0005-0000-0000-000021220000}"/>
    <cellStyle name="20% - Accent5 8 2 2 5 3" xfId="25228" xr:uid="{00000000-0005-0000-0000-000022220000}"/>
    <cellStyle name="20% - Accent5 8 2 2 6" xfId="10222" xr:uid="{00000000-0005-0000-0000-000023220000}"/>
    <cellStyle name="20% - Accent5 8 2 2 7" xfId="18177" xr:uid="{00000000-0005-0000-0000-000024220000}"/>
    <cellStyle name="20% - Accent5 8 2 2_Exh G" xfId="2543" xr:uid="{00000000-0005-0000-0000-000025220000}"/>
    <cellStyle name="20% - Accent5 8 2 3" xfId="1301" xr:uid="{00000000-0005-0000-0000-000026220000}"/>
    <cellStyle name="20% - Accent5 8 2 3 2" xfId="4831" xr:uid="{00000000-0005-0000-0000-000027220000}"/>
    <cellStyle name="20% - Accent5 8 2 3 2 2" xfId="8422" xr:uid="{00000000-0005-0000-0000-000028220000}"/>
    <cellStyle name="20% - Accent5 8 2 3 2 2 2" xfId="16393" xr:uid="{00000000-0005-0000-0000-000029220000}"/>
    <cellStyle name="20% - Accent5 8 2 3 2 2 3" xfId="24339" xr:uid="{00000000-0005-0000-0000-00002A220000}"/>
    <cellStyle name="20% - Accent5 8 2 3 2 3" xfId="12855" xr:uid="{00000000-0005-0000-0000-00002B220000}"/>
    <cellStyle name="20% - Accent5 8 2 3 2 4" xfId="20810" xr:uid="{00000000-0005-0000-0000-00002C220000}"/>
    <cellStyle name="20% - Accent5 8 2 3 3" xfId="6663" xr:uid="{00000000-0005-0000-0000-00002D220000}"/>
    <cellStyle name="20% - Accent5 8 2 3 3 2" xfId="14635" xr:uid="{00000000-0005-0000-0000-00002E220000}"/>
    <cellStyle name="20% - Accent5 8 2 3 3 3" xfId="22582" xr:uid="{00000000-0005-0000-0000-00002F220000}"/>
    <cellStyle name="20% - Accent5 8 2 3 4" xfId="11099" xr:uid="{00000000-0005-0000-0000-000030220000}"/>
    <cellStyle name="20% - Accent5 8 2 3 5" xfId="19054" xr:uid="{00000000-0005-0000-0000-000031220000}"/>
    <cellStyle name="20% - Accent5 8 2 3_Exh G" xfId="2545" xr:uid="{00000000-0005-0000-0000-000032220000}"/>
    <cellStyle name="20% - Accent5 8 2 4" xfId="3952" xr:uid="{00000000-0005-0000-0000-000033220000}"/>
    <cellStyle name="20% - Accent5 8 2 4 2" xfId="7544" xr:uid="{00000000-0005-0000-0000-000034220000}"/>
    <cellStyle name="20% - Accent5 8 2 4 2 2" xfId="15515" xr:uid="{00000000-0005-0000-0000-000035220000}"/>
    <cellStyle name="20% - Accent5 8 2 4 2 3" xfId="23461" xr:uid="{00000000-0005-0000-0000-000036220000}"/>
    <cellStyle name="20% - Accent5 8 2 4 3" xfId="11977" xr:uid="{00000000-0005-0000-0000-000037220000}"/>
    <cellStyle name="20% - Accent5 8 2 4 4" xfId="19932" xr:uid="{00000000-0005-0000-0000-000038220000}"/>
    <cellStyle name="20% - Accent5 8 2 5" xfId="5772" xr:uid="{00000000-0005-0000-0000-000039220000}"/>
    <cellStyle name="20% - Accent5 8 2 5 2" xfId="13756" xr:uid="{00000000-0005-0000-0000-00003A220000}"/>
    <cellStyle name="20% - Accent5 8 2 5 3" xfId="21704" xr:uid="{00000000-0005-0000-0000-00003B220000}"/>
    <cellStyle name="20% - Accent5 8 2 6" xfId="9325" xr:uid="{00000000-0005-0000-0000-00003C220000}"/>
    <cellStyle name="20% - Accent5 8 2 6 2" xfId="17283" xr:uid="{00000000-0005-0000-0000-00003D220000}"/>
    <cellStyle name="20% - Accent5 8 2 6 3" xfId="25227" xr:uid="{00000000-0005-0000-0000-00003E220000}"/>
    <cellStyle name="20% - Accent5 8 2 7" xfId="10221" xr:uid="{00000000-0005-0000-0000-00003F220000}"/>
    <cellStyle name="20% - Accent5 8 2 8" xfId="18176" xr:uid="{00000000-0005-0000-0000-000040220000}"/>
    <cellStyle name="20% - Accent5 8 2_Exh G" xfId="2542" xr:uid="{00000000-0005-0000-0000-000041220000}"/>
    <cellStyle name="20% - Accent5 8 3" xfId="275" xr:uid="{00000000-0005-0000-0000-000042220000}"/>
    <cellStyle name="20% - Accent5 8 3 2" xfId="1303" xr:uid="{00000000-0005-0000-0000-000043220000}"/>
    <cellStyle name="20% - Accent5 8 3 2 2" xfId="4833" xr:uid="{00000000-0005-0000-0000-000044220000}"/>
    <cellStyle name="20% - Accent5 8 3 2 2 2" xfId="8424" xr:uid="{00000000-0005-0000-0000-000045220000}"/>
    <cellStyle name="20% - Accent5 8 3 2 2 2 2" xfId="16395" xr:uid="{00000000-0005-0000-0000-000046220000}"/>
    <cellStyle name="20% - Accent5 8 3 2 2 2 3" xfId="24341" xr:uid="{00000000-0005-0000-0000-000047220000}"/>
    <cellStyle name="20% - Accent5 8 3 2 2 3" xfId="12857" xr:uid="{00000000-0005-0000-0000-000048220000}"/>
    <cellStyle name="20% - Accent5 8 3 2 2 4" xfId="20812" xr:uid="{00000000-0005-0000-0000-000049220000}"/>
    <cellStyle name="20% - Accent5 8 3 2 3" xfId="6665" xr:uid="{00000000-0005-0000-0000-00004A220000}"/>
    <cellStyle name="20% - Accent5 8 3 2 3 2" xfId="14637" xr:uid="{00000000-0005-0000-0000-00004B220000}"/>
    <cellStyle name="20% - Accent5 8 3 2 3 3" xfId="22584" xr:uid="{00000000-0005-0000-0000-00004C220000}"/>
    <cellStyle name="20% - Accent5 8 3 2 4" xfId="11101" xr:uid="{00000000-0005-0000-0000-00004D220000}"/>
    <cellStyle name="20% - Accent5 8 3 2 5" xfId="19056" xr:uid="{00000000-0005-0000-0000-00004E220000}"/>
    <cellStyle name="20% - Accent5 8 3 2_Exh G" xfId="2547" xr:uid="{00000000-0005-0000-0000-00004F220000}"/>
    <cellStyle name="20% - Accent5 8 3 3" xfId="3954" xr:uid="{00000000-0005-0000-0000-000050220000}"/>
    <cellStyle name="20% - Accent5 8 3 3 2" xfId="7546" xr:uid="{00000000-0005-0000-0000-000051220000}"/>
    <cellStyle name="20% - Accent5 8 3 3 2 2" xfId="15517" xr:uid="{00000000-0005-0000-0000-000052220000}"/>
    <cellStyle name="20% - Accent5 8 3 3 2 3" xfId="23463" xr:uid="{00000000-0005-0000-0000-000053220000}"/>
    <cellStyle name="20% - Accent5 8 3 3 3" xfId="11979" xr:uid="{00000000-0005-0000-0000-000054220000}"/>
    <cellStyle name="20% - Accent5 8 3 3 4" xfId="19934" xr:uid="{00000000-0005-0000-0000-000055220000}"/>
    <cellStyle name="20% - Accent5 8 3 4" xfId="5774" xr:uid="{00000000-0005-0000-0000-000056220000}"/>
    <cellStyle name="20% - Accent5 8 3 4 2" xfId="13758" xr:uid="{00000000-0005-0000-0000-000057220000}"/>
    <cellStyle name="20% - Accent5 8 3 4 3" xfId="21706" xr:uid="{00000000-0005-0000-0000-000058220000}"/>
    <cellStyle name="20% - Accent5 8 3 5" xfId="9327" xr:uid="{00000000-0005-0000-0000-000059220000}"/>
    <cellStyle name="20% - Accent5 8 3 5 2" xfId="17285" xr:uid="{00000000-0005-0000-0000-00005A220000}"/>
    <cellStyle name="20% - Accent5 8 3 5 3" xfId="25229" xr:uid="{00000000-0005-0000-0000-00005B220000}"/>
    <cellStyle name="20% - Accent5 8 3 6" xfId="10223" xr:uid="{00000000-0005-0000-0000-00005C220000}"/>
    <cellStyle name="20% - Accent5 8 3 7" xfId="18178" xr:uid="{00000000-0005-0000-0000-00005D220000}"/>
    <cellStyle name="20% - Accent5 8 3_Exh G" xfId="2546" xr:uid="{00000000-0005-0000-0000-00005E220000}"/>
    <cellStyle name="20% - Accent5 8 4" xfId="920" xr:uid="{00000000-0005-0000-0000-00005F220000}"/>
    <cellStyle name="20% - Accent5 8 4 2" xfId="1847" xr:uid="{00000000-0005-0000-0000-000060220000}"/>
    <cellStyle name="20% - Accent5 8 4 2 2" xfId="5365" xr:uid="{00000000-0005-0000-0000-000061220000}"/>
    <cellStyle name="20% - Accent5 8 4 2 2 2" xfId="8956" xr:uid="{00000000-0005-0000-0000-000062220000}"/>
    <cellStyle name="20% - Accent5 8 4 2 2 2 2" xfId="16927" xr:uid="{00000000-0005-0000-0000-000063220000}"/>
    <cellStyle name="20% - Accent5 8 4 2 2 2 3" xfId="24873" xr:uid="{00000000-0005-0000-0000-000064220000}"/>
    <cellStyle name="20% - Accent5 8 4 2 2 3" xfId="13389" xr:uid="{00000000-0005-0000-0000-000065220000}"/>
    <cellStyle name="20% - Accent5 8 4 2 2 4" xfId="21344" xr:uid="{00000000-0005-0000-0000-000066220000}"/>
    <cellStyle name="20% - Accent5 8 4 2 3" xfId="7197" xr:uid="{00000000-0005-0000-0000-000067220000}"/>
    <cellStyle name="20% - Accent5 8 4 2 3 2" xfId="15169" xr:uid="{00000000-0005-0000-0000-000068220000}"/>
    <cellStyle name="20% - Accent5 8 4 2 3 3" xfId="23116" xr:uid="{00000000-0005-0000-0000-000069220000}"/>
    <cellStyle name="20% - Accent5 8 4 2 4" xfId="11633" xr:uid="{00000000-0005-0000-0000-00006A220000}"/>
    <cellStyle name="20% - Accent5 8 4 2 5" xfId="19588" xr:uid="{00000000-0005-0000-0000-00006B220000}"/>
    <cellStyle name="20% - Accent5 8 4 2_Exh G" xfId="2549" xr:uid="{00000000-0005-0000-0000-00006C220000}"/>
    <cellStyle name="20% - Accent5 8 4 3" xfId="4486" xr:uid="{00000000-0005-0000-0000-00006D220000}"/>
    <cellStyle name="20% - Accent5 8 4 3 2" xfId="8078" xr:uid="{00000000-0005-0000-0000-00006E220000}"/>
    <cellStyle name="20% - Accent5 8 4 3 2 2" xfId="16049" xr:uid="{00000000-0005-0000-0000-00006F220000}"/>
    <cellStyle name="20% - Accent5 8 4 3 2 3" xfId="23995" xr:uid="{00000000-0005-0000-0000-000070220000}"/>
    <cellStyle name="20% - Accent5 8 4 3 3" xfId="12511" xr:uid="{00000000-0005-0000-0000-000071220000}"/>
    <cellStyle name="20% - Accent5 8 4 3 4" xfId="20466" xr:uid="{00000000-0005-0000-0000-000072220000}"/>
    <cellStyle name="20% - Accent5 8 4 4" xfId="6316" xr:uid="{00000000-0005-0000-0000-000073220000}"/>
    <cellStyle name="20% - Accent5 8 4 4 2" xfId="14291" xr:uid="{00000000-0005-0000-0000-000074220000}"/>
    <cellStyle name="20% - Accent5 8 4 4 3" xfId="22238" xr:uid="{00000000-0005-0000-0000-000075220000}"/>
    <cellStyle name="20% - Accent5 8 4 5" xfId="9859" xr:uid="{00000000-0005-0000-0000-000076220000}"/>
    <cellStyle name="20% - Accent5 8 4 5 2" xfId="17817" xr:uid="{00000000-0005-0000-0000-000077220000}"/>
    <cellStyle name="20% - Accent5 8 4 5 3" xfId="25761" xr:uid="{00000000-0005-0000-0000-000078220000}"/>
    <cellStyle name="20% - Accent5 8 4 6" xfId="10755" xr:uid="{00000000-0005-0000-0000-000079220000}"/>
    <cellStyle name="20% - Accent5 8 4 7" xfId="18710" xr:uid="{00000000-0005-0000-0000-00007A220000}"/>
    <cellStyle name="20% - Accent5 8 4_Exh G" xfId="2548" xr:uid="{00000000-0005-0000-0000-00007B220000}"/>
    <cellStyle name="20% - Accent5 8 5" xfId="1300" xr:uid="{00000000-0005-0000-0000-00007C220000}"/>
    <cellStyle name="20% - Accent5 8 5 2" xfId="4830" xr:uid="{00000000-0005-0000-0000-00007D220000}"/>
    <cellStyle name="20% - Accent5 8 5 2 2" xfId="8421" xr:uid="{00000000-0005-0000-0000-00007E220000}"/>
    <cellStyle name="20% - Accent5 8 5 2 2 2" xfId="16392" xr:uid="{00000000-0005-0000-0000-00007F220000}"/>
    <cellStyle name="20% - Accent5 8 5 2 2 3" xfId="24338" xr:uid="{00000000-0005-0000-0000-000080220000}"/>
    <cellStyle name="20% - Accent5 8 5 2 3" xfId="12854" xr:uid="{00000000-0005-0000-0000-000081220000}"/>
    <cellStyle name="20% - Accent5 8 5 2 4" xfId="20809" xr:uid="{00000000-0005-0000-0000-000082220000}"/>
    <cellStyle name="20% - Accent5 8 5 3" xfId="6662" xr:uid="{00000000-0005-0000-0000-000083220000}"/>
    <cellStyle name="20% - Accent5 8 5 3 2" xfId="14634" xr:uid="{00000000-0005-0000-0000-000084220000}"/>
    <cellStyle name="20% - Accent5 8 5 3 3" xfId="22581" xr:uid="{00000000-0005-0000-0000-000085220000}"/>
    <cellStyle name="20% - Accent5 8 5 4" xfId="11098" xr:uid="{00000000-0005-0000-0000-000086220000}"/>
    <cellStyle name="20% - Accent5 8 5 5" xfId="19053" xr:uid="{00000000-0005-0000-0000-000087220000}"/>
    <cellStyle name="20% - Accent5 8 5_Exh G" xfId="2550" xr:uid="{00000000-0005-0000-0000-000088220000}"/>
    <cellStyle name="20% - Accent5 8 6" xfId="3951" xr:uid="{00000000-0005-0000-0000-000089220000}"/>
    <cellStyle name="20% - Accent5 8 6 2" xfId="7543" xr:uid="{00000000-0005-0000-0000-00008A220000}"/>
    <cellStyle name="20% - Accent5 8 6 2 2" xfId="15514" xr:uid="{00000000-0005-0000-0000-00008B220000}"/>
    <cellStyle name="20% - Accent5 8 6 2 3" xfId="23460" xr:uid="{00000000-0005-0000-0000-00008C220000}"/>
    <cellStyle name="20% - Accent5 8 6 3" xfId="11976" xr:uid="{00000000-0005-0000-0000-00008D220000}"/>
    <cellStyle name="20% - Accent5 8 6 4" xfId="19931" xr:uid="{00000000-0005-0000-0000-00008E220000}"/>
    <cellStyle name="20% - Accent5 8 7" xfId="5771" xr:uid="{00000000-0005-0000-0000-00008F220000}"/>
    <cellStyle name="20% - Accent5 8 7 2" xfId="13755" xr:uid="{00000000-0005-0000-0000-000090220000}"/>
    <cellStyle name="20% - Accent5 8 7 3" xfId="21703" xr:uid="{00000000-0005-0000-0000-000091220000}"/>
    <cellStyle name="20% - Accent5 8 8" xfId="9324" xr:uid="{00000000-0005-0000-0000-000092220000}"/>
    <cellStyle name="20% - Accent5 8 8 2" xfId="17282" xr:uid="{00000000-0005-0000-0000-000093220000}"/>
    <cellStyle name="20% - Accent5 8 8 3" xfId="25226" xr:uid="{00000000-0005-0000-0000-000094220000}"/>
    <cellStyle name="20% - Accent5 8 9" xfId="10220" xr:uid="{00000000-0005-0000-0000-000095220000}"/>
    <cellStyle name="20% - Accent5 8_Exh G" xfId="2541" xr:uid="{00000000-0005-0000-0000-000096220000}"/>
    <cellStyle name="20% - Accent5 9" xfId="276" xr:uid="{00000000-0005-0000-0000-000097220000}"/>
    <cellStyle name="20% - Accent5 9 10" xfId="18179" xr:uid="{00000000-0005-0000-0000-000098220000}"/>
    <cellStyle name="20% - Accent5 9 2" xfId="277" xr:uid="{00000000-0005-0000-0000-000099220000}"/>
    <cellStyle name="20% - Accent5 9 2 2" xfId="278" xr:uid="{00000000-0005-0000-0000-00009A220000}"/>
    <cellStyle name="20% - Accent5 9 2 2 2" xfId="1306" xr:uid="{00000000-0005-0000-0000-00009B220000}"/>
    <cellStyle name="20% - Accent5 9 2 2 2 2" xfId="4836" xr:uid="{00000000-0005-0000-0000-00009C220000}"/>
    <cellStyle name="20% - Accent5 9 2 2 2 2 2" xfId="8427" xr:uid="{00000000-0005-0000-0000-00009D220000}"/>
    <cellStyle name="20% - Accent5 9 2 2 2 2 2 2" xfId="16398" xr:uid="{00000000-0005-0000-0000-00009E220000}"/>
    <cellStyle name="20% - Accent5 9 2 2 2 2 2 3" xfId="24344" xr:uid="{00000000-0005-0000-0000-00009F220000}"/>
    <cellStyle name="20% - Accent5 9 2 2 2 2 3" xfId="12860" xr:uid="{00000000-0005-0000-0000-0000A0220000}"/>
    <cellStyle name="20% - Accent5 9 2 2 2 2 4" xfId="20815" xr:uid="{00000000-0005-0000-0000-0000A1220000}"/>
    <cellStyle name="20% - Accent5 9 2 2 2 3" xfId="6668" xr:uid="{00000000-0005-0000-0000-0000A2220000}"/>
    <cellStyle name="20% - Accent5 9 2 2 2 3 2" xfId="14640" xr:uid="{00000000-0005-0000-0000-0000A3220000}"/>
    <cellStyle name="20% - Accent5 9 2 2 2 3 3" xfId="22587" xr:uid="{00000000-0005-0000-0000-0000A4220000}"/>
    <cellStyle name="20% - Accent5 9 2 2 2 4" xfId="11104" xr:uid="{00000000-0005-0000-0000-0000A5220000}"/>
    <cellStyle name="20% - Accent5 9 2 2 2 5" xfId="19059" xr:uid="{00000000-0005-0000-0000-0000A6220000}"/>
    <cellStyle name="20% - Accent5 9 2 2 2_Exh G" xfId="2554" xr:uid="{00000000-0005-0000-0000-0000A7220000}"/>
    <cellStyle name="20% - Accent5 9 2 2 3" xfId="3957" xr:uid="{00000000-0005-0000-0000-0000A8220000}"/>
    <cellStyle name="20% - Accent5 9 2 2 3 2" xfId="7549" xr:uid="{00000000-0005-0000-0000-0000A9220000}"/>
    <cellStyle name="20% - Accent5 9 2 2 3 2 2" xfId="15520" xr:uid="{00000000-0005-0000-0000-0000AA220000}"/>
    <cellStyle name="20% - Accent5 9 2 2 3 2 3" xfId="23466" xr:uid="{00000000-0005-0000-0000-0000AB220000}"/>
    <cellStyle name="20% - Accent5 9 2 2 3 3" xfId="11982" xr:uid="{00000000-0005-0000-0000-0000AC220000}"/>
    <cellStyle name="20% - Accent5 9 2 2 3 4" xfId="19937" xr:uid="{00000000-0005-0000-0000-0000AD220000}"/>
    <cellStyle name="20% - Accent5 9 2 2 4" xfId="5777" xr:uid="{00000000-0005-0000-0000-0000AE220000}"/>
    <cellStyle name="20% - Accent5 9 2 2 4 2" xfId="13761" xr:uid="{00000000-0005-0000-0000-0000AF220000}"/>
    <cellStyle name="20% - Accent5 9 2 2 4 3" xfId="21709" xr:uid="{00000000-0005-0000-0000-0000B0220000}"/>
    <cellStyle name="20% - Accent5 9 2 2 5" xfId="9330" xr:uid="{00000000-0005-0000-0000-0000B1220000}"/>
    <cellStyle name="20% - Accent5 9 2 2 5 2" xfId="17288" xr:uid="{00000000-0005-0000-0000-0000B2220000}"/>
    <cellStyle name="20% - Accent5 9 2 2 5 3" xfId="25232" xr:uid="{00000000-0005-0000-0000-0000B3220000}"/>
    <cellStyle name="20% - Accent5 9 2 2 6" xfId="10226" xr:uid="{00000000-0005-0000-0000-0000B4220000}"/>
    <cellStyle name="20% - Accent5 9 2 2 7" xfId="18181" xr:uid="{00000000-0005-0000-0000-0000B5220000}"/>
    <cellStyle name="20% - Accent5 9 2 2_Exh G" xfId="2553" xr:uid="{00000000-0005-0000-0000-0000B6220000}"/>
    <cellStyle name="20% - Accent5 9 2 3" xfId="1305" xr:uid="{00000000-0005-0000-0000-0000B7220000}"/>
    <cellStyle name="20% - Accent5 9 2 3 2" xfId="4835" xr:uid="{00000000-0005-0000-0000-0000B8220000}"/>
    <cellStyle name="20% - Accent5 9 2 3 2 2" xfId="8426" xr:uid="{00000000-0005-0000-0000-0000B9220000}"/>
    <cellStyle name="20% - Accent5 9 2 3 2 2 2" xfId="16397" xr:uid="{00000000-0005-0000-0000-0000BA220000}"/>
    <cellStyle name="20% - Accent5 9 2 3 2 2 3" xfId="24343" xr:uid="{00000000-0005-0000-0000-0000BB220000}"/>
    <cellStyle name="20% - Accent5 9 2 3 2 3" xfId="12859" xr:uid="{00000000-0005-0000-0000-0000BC220000}"/>
    <cellStyle name="20% - Accent5 9 2 3 2 4" xfId="20814" xr:uid="{00000000-0005-0000-0000-0000BD220000}"/>
    <cellStyle name="20% - Accent5 9 2 3 3" xfId="6667" xr:uid="{00000000-0005-0000-0000-0000BE220000}"/>
    <cellStyle name="20% - Accent5 9 2 3 3 2" xfId="14639" xr:uid="{00000000-0005-0000-0000-0000BF220000}"/>
    <cellStyle name="20% - Accent5 9 2 3 3 3" xfId="22586" xr:uid="{00000000-0005-0000-0000-0000C0220000}"/>
    <cellStyle name="20% - Accent5 9 2 3 4" xfId="11103" xr:uid="{00000000-0005-0000-0000-0000C1220000}"/>
    <cellStyle name="20% - Accent5 9 2 3 5" xfId="19058" xr:uid="{00000000-0005-0000-0000-0000C2220000}"/>
    <cellStyle name="20% - Accent5 9 2 3_Exh G" xfId="2555" xr:uid="{00000000-0005-0000-0000-0000C3220000}"/>
    <cellStyle name="20% - Accent5 9 2 4" xfId="3956" xr:uid="{00000000-0005-0000-0000-0000C4220000}"/>
    <cellStyle name="20% - Accent5 9 2 4 2" xfId="7548" xr:uid="{00000000-0005-0000-0000-0000C5220000}"/>
    <cellStyle name="20% - Accent5 9 2 4 2 2" xfId="15519" xr:uid="{00000000-0005-0000-0000-0000C6220000}"/>
    <cellStyle name="20% - Accent5 9 2 4 2 3" xfId="23465" xr:uid="{00000000-0005-0000-0000-0000C7220000}"/>
    <cellStyle name="20% - Accent5 9 2 4 3" xfId="11981" xr:uid="{00000000-0005-0000-0000-0000C8220000}"/>
    <cellStyle name="20% - Accent5 9 2 4 4" xfId="19936" xr:uid="{00000000-0005-0000-0000-0000C9220000}"/>
    <cellStyle name="20% - Accent5 9 2 5" xfId="5776" xr:uid="{00000000-0005-0000-0000-0000CA220000}"/>
    <cellStyle name="20% - Accent5 9 2 5 2" xfId="13760" xr:uid="{00000000-0005-0000-0000-0000CB220000}"/>
    <cellStyle name="20% - Accent5 9 2 5 3" xfId="21708" xr:uid="{00000000-0005-0000-0000-0000CC220000}"/>
    <cellStyle name="20% - Accent5 9 2 6" xfId="9329" xr:uid="{00000000-0005-0000-0000-0000CD220000}"/>
    <cellStyle name="20% - Accent5 9 2 6 2" xfId="17287" xr:uid="{00000000-0005-0000-0000-0000CE220000}"/>
    <cellStyle name="20% - Accent5 9 2 6 3" xfId="25231" xr:uid="{00000000-0005-0000-0000-0000CF220000}"/>
    <cellStyle name="20% - Accent5 9 2 7" xfId="10225" xr:uid="{00000000-0005-0000-0000-0000D0220000}"/>
    <cellStyle name="20% - Accent5 9 2 8" xfId="18180" xr:uid="{00000000-0005-0000-0000-0000D1220000}"/>
    <cellStyle name="20% - Accent5 9 2_Exh G" xfId="2552" xr:uid="{00000000-0005-0000-0000-0000D2220000}"/>
    <cellStyle name="20% - Accent5 9 3" xfId="279" xr:uid="{00000000-0005-0000-0000-0000D3220000}"/>
    <cellStyle name="20% - Accent5 9 3 2" xfId="1307" xr:uid="{00000000-0005-0000-0000-0000D4220000}"/>
    <cellStyle name="20% - Accent5 9 3 2 2" xfId="4837" xr:uid="{00000000-0005-0000-0000-0000D5220000}"/>
    <cellStyle name="20% - Accent5 9 3 2 2 2" xfId="8428" xr:uid="{00000000-0005-0000-0000-0000D6220000}"/>
    <cellStyle name="20% - Accent5 9 3 2 2 2 2" xfId="16399" xr:uid="{00000000-0005-0000-0000-0000D7220000}"/>
    <cellStyle name="20% - Accent5 9 3 2 2 2 3" xfId="24345" xr:uid="{00000000-0005-0000-0000-0000D8220000}"/>
    <cellStyle name="20% - Accent5 9 3 2 2 3" xfId="12861" xr:uid="{00000000-0005-0000-0000-0000D9220000}"/>
    <cellStyle name="20% - Accent5 9 3 2 2 4" xfId="20816" xr:uid="{00000000-0005-0000-0000-0000DA220000}"/>
    <cellStyle name="20% - Accent5 9 3 2 3" xfId="6669" xr:uid="{00000000-0005-0000-0000-0000DB220000}"/>
    <cellStyle name="20% - Accent5 9 3 2 3 2" xfId="14641" xr:uid="{00000000-0005-0000-0000-0000DC220000}"/>
    <cellStyle name="20% - Accent5 9 3 2 3 3" xfId="22588" xr:uid="{00000000-0005-0000-0000-0000DD220000}"/>
    <cellStyle name="20% - Accent5 9 3 2 4" xfId="11105" xr:uid="{00000000-0005-0000-0000-0000DE220000}"/>
    <cellStyle name="20% - Accent5 9 3 2 5" xfId="19060" xr:uid="{00000000-0005-0000-0000-0000DF220000}"/>
    <cellStyle name="20% - Accent5 9 3 2_Exh G" xfId="2557" xr:uid="{00000000-0005-0000-0000-0000E0220000}"/>
    <cellStyle name="20% - Accent5 9 3 3" xfId="3958" xr:uid="{00000000-0005-0000-0000-0000E1220000}"/>
    <cellStyle name="20% - Accent5 9 3 3 2" xfId="7550" xr:uid="{00000000-0005-0000-0000-0000E2220000}"/>
    <cellStyle name="20% - Accent5 9 3 3 2 2" xfId="15521" xr:uid="{00000000-0005-0000-0000-0000E3220000}"/>
    <cellStyle name="20% - Accent5 9 3 3 2 3" xfId="23467" xr:uid="{00000000-0005-0000-0000-0000E4220000}"/>
    <cellStyle name="20% - Accent5 9 3 3 3" xfId="11983" xr:uid="{00000000-0005-0000-0000-0000E5220000}"/>
    <cellStyle name="20% - Accent5 9 3 3 4" xfId="19938" xr:uid="{00000000-0005-0000-0000-0000E6220000}"/>
    <cellStyle name="20% - Accent5 9 3 4" xfId="5778" xr:uid="{00000000-0005-0000-0000-0000E7220000}"/>
    <cellStyle name="20% - Accent5 9 3 4 2" xfId="13762" xr:uid="{00000000-0005-0000-0000-0000E8220000}"/>
    <cellStyle name="20% - Accent5 9 3 4 3" xfId="21710" xr:uid="{00000000-0005-0000-0000-0000E9220000}"/>
    <cellStyle name="20% - Accent5 9 3 5" xfId="9331" xr:uid="{00000000-0005-0000-0000-0000EA220000}"/>
    <cellStyle name="20% - Accent5 9 3 5 2" xfId="17289" xr:uid="{00000000-0005-0000-0000-0000EB220000}"/>
    <cellStyle name="20% - Accent5 9 3 5 3" xfId="25233" xr:uid="{00000000-0005-0000-0000-0000EC220000}"/>
    <cellStyle name="20% - Accent5 9 3 6" xfId="10227" xr:uid="{00000000-0005-0000-0000-0000ED220000}"/>
    <cellStyle name="20% - Accent5 9 3 7" xfId="18182" xr:uid="{00000000-0005-0000-0000-0000EE220000}"/>
    <cellStyle name="20% - Accent5 9 3_Exh G" xfId="2556" xr:uid="{00000000-0005-0000-0000-0000EF220000}"/>
    <cellStyle name="20% - Accent5 9 4" xfId="921" xr:uid="{00000000-0005-0000-0000-0000F0220000}"/>
    <cellStyle name="20% - Accent5 9 4 2" xfId="1848" xr:uid="{00000000-0005-0000-0000-0000F1220000}"/>
    <cellStyle name="20% - Accent5 9 4 2 2" xfId="5366" xr:uid="{00000000-0005-0000-0000-0000F2220000}"/>
    <cellStyle name="20% - Accent5 9 4 2 2 2" xfId="8957" xr:uid="{00000000-0005-0000-0000-0000F3220000}"/>
    <cellStyle name="20% - Accent5 9 4 2 2 2 2" xfId="16928" xr:uid="{00000000-0005-0000-0000-0000F4220000}"/>
    <cellStyle name="20% - Accent5 9 4 2 2 2 3" xfId="24874" xr:uid="{00000000-0005-0000-0000-0000F5220000}"/>
    <cellStyle name="20% - Accent5 9 4 2 2 3" xfId="13390" xr:uid="{00000000-0005-0000-0000-0000F6220000}"/>
    <cellStyle name="20% - Accent5 9 4 2 2 4" xfId="21345" xr:uid="{00000000-0005-0000-0000-0000F7220000}"/>
    <cellStyle name="20% - Accent5 9 4 2 3" xfId="7198" xr:uid="{00000000-0005-0000-0000-0000F8220000}"/>
    <cellStyle name="20% - Accent5 9 4 2 3 2" xfId="15170" xr:uid="{00000000-0005-0000-0000-0000F9220000}"/>
    <cellStyle name="20% - Accent5 9 4 2 3 3" xfId="23117" xr:uid="{00000000-0005-0000-0000-0000FA220000}"/>
    <cellStyle name="20% - Accent5 9 4 2 4" xfId="11634" xr:uid="{00000000-0005-0000-0000-0000FB220000}"/>
    <cellStyle name="20% - Accent5 9 4 2 5" xfId="19589" xr:uid="{00000000-0005-0000-0000-0000FC220000}"/>
    <cellStyle name="20% - Accent5 9 4 2_Exh G" xfId="2559" xr:uid="{00000000-0005-0000-0000-0000FD220000}"/>
    <cellStyle name="20% - Accent5 9 4 3" xfId="4487" xr:uid="{00000000-0005-0000-0000-0000FE220000}"/>
    <cellStyle name="20% - Accent5 9 4 3 2" xfId="8079" xr:uid="{00000000-0005-0000-0000-0000FF220000}"/>
    <cellStyle name="20% - Accent5 9 4 3 2 2" xfId="16050" xr:uid="{00000000-0005-0000-0000-000000230000}"/>
    <cellStyle name="20% - Accent5 9 4 3 2 3" xfId="23996" xr:uid="{00000000-0005-0000-0000-000001230000}"/>
    <cellStyle name="20% - Accent5 9 4 3 3" xfId="12512" xr:uid="{00000000-0005-0000-0000-000002230000}"/>
    <cellStyle name="20% - Accent5 9 4 3 4" xfId="20467" xr:uid="{00000000-0005-0000-0000-000003230000}"/>
    <cellStyle name="20% - Accent5 9 4 4" xfId="6317" xr:uid="{00000000-0005-0000-0000-000004230000}"/>
    <cellStyle name="20% - Accent5 9 4 4 2" xfId="14292" xr:uid="{00000000-0005-0000-0000-000005230000}"/>
    <cellStyle name="20% - Accent5 9 4 4 3" xfId="22239" xr:uid="{00000000-0005-0000-0000-000006230000}"/>
    <cellStyle name="20% - Accent5 9 4 5" xfId="9860" xr:uid="{00000000-0005-0000-0000-000007230000}"/>
    <cellStyle name="20% - Accent5 9 4 5 2" xfId="17818" xr:uid="{00000000-0005-0000-0000-000008230000}"/>
    <cellStyle name="20% - Accent5 9 4 5 3" xfId="25762" xr:uid="{00000000-0005-0000-0000-000009230000}"/>
    <cellStyle name="20% - Accent5 9 4 6" xfId="10756" xr:uid="{00000000-0005-0000-0000-00000A230000}"/>
    <cellStyle name="20% - Accent5 9 4 7" xfId="18711" xr:uid="{00000000-0005-0000-0000-00000B230000}"/>
    <cellStyle name="20% - Accent5 9 4_Exh G" xfId="2558" xr:uid="{00000000-0005-0000-0000-00000C230000}"/>
    <cellStyle name="20% - Accent5 9 5" xfId="1304" xr:uid="{00000000-0005-0000-0000-00000D230000}"/>
    <cellStyle name="20% - Accent5 9 5 2" xfId="4834" xr:uid="{00000000-0005-0000-0000-00000E230000}"/>
    <cellStyle name="20% - Accent5 9 5 2 2" xfId="8425" xr:uid="{00000000-0005-0000-0000-00000F230000}"/>
    <cellStyle name="20% - Accent5 9 5 2 2 2" xfId="16396" xr:uid="{00000000-0005-0000-0000-000010230000}"/>
    <cellStyle name="20% - Accent5 9 5 2 2 3" xfId="24342" xr:uid="{00000000-0005-0000-0000-000011230000}"/>
    <cellStyle name="20% - Accent5 9 5 2 3" xfId="12858" xr:uid="{00000000-0005-0000-0000-000012230000}"/>
    <cellStyle name="20% - Accent5 9 5 2 4" xfId="20813" xr:uid="{00000000-0005-0000-0000-000013230000}"/>
    <cellStyle name="20% - Accent5 9 5 3" xfId="6666" xr:uid="{00000000-0005-0000-0000-000014230000}"/>
    <cellStyle name="20% - Accent5 9 5 3 2" xfId="14638" xr:uid="{00000000-0005-0000-0000-000015230000}"/>
    <cellStyle name="20% - Accent5 9 5 3 3" xfId="22585" xr:uid="{00000000-0005-0000-0000-000016230000}"/>
    <cellStyle name="20% - Accent5 9 5 4" xfId="11102" xr:uid="{00000000-0005-0000-0000-000017230000}"/>
    <cellStyle name="20% - Accent5 9 5 5" xfId="19057" xr:uid="{00000000-0005-0000-0000-000018230000}"/>
    <cellStyle name="20% - Accent5 9 5_Exh G" xfId="2560" xr:uid="{00000000-0005-0000-0000-000019230000}"/>
    <cellStyle name="20% - Accent5 9 6" xfId="3955" xr:uid="{00000000-0005-0000-0000-00001A230000}"/>
    <cellStyle name="20% - Accent5 9 6 2" xfId="7547" xr:uid="{00000000-0005-0000-0000-00001B230000}"/>
    <cellStyle name="20% - Accent5 9 6 2 2" xfId="15518" xr:uid="{00000000-0005-0000-0000-00001C230000}"/>
    <cellStyle name="20% - Accent5 9 6 2 3" xfId="23464" xr:uid="{00000000-0005-0000-0000-00001D230000}"/>
    <cellStyle name="20% - Accent5 9 6 3" xfId="11980" xr:uid="{00000000-0005-0000-0000-00001E230000}"/>
    <cellStyle name="20% - Accent5 9 6 4" xfId="19935" xr:uid="{00000000-0005-0000-0000-00001F230000}"/>
    <cellStyle name="20% - Accent5 9 7" xfId="5775" xr:uid="{00000000-0005-0000-0000-000020230000}"/>
    <cellStyle name="20% - Accent5 9 7 2" xfId="13759" xr:uid="{00000000-0005-0000-0000-000021230000}"/>
    <cellStyle name="20% - Accent5 9 7 3" xfId="21707" xr:uid="{00000000-0005-0000-0000-000022230000}"/>
    <cellStyle name="20% - Accent5 9 8" xfId="9328" xr:uid="{00000000-0005-0000-0000-000023230000}"/>
    <cellStyle name="20% - Accent5 9 8 2" xfId="17286" xr:uid="{00000000-0005-0000-0000-000024230000}"/>
    <cellStyle name="20% - Accent5 9 8 3" xfId="25230" xr:uid="{00000000-0005-0000-0000-000025230000}"/>
    <cellStyle name="20% - Accent5 9 9" xfId="10224" xr:uid="{00000000-0005-0000-0000-000026230000}"/>
    <cellStyle name="20% - Accent5 9_Exh G" xfId="2551" xr:uid="{00000000-0005-0000-0000-000027230000}"/>
    <cellStyle name="20% - Accent6 10" xfId="280" xr:uid="{00000000-0005-0000-0000-000028230000}"/>
    <cellStyle name="20% - Accent6 10 10" xfId="18183" xr:uid="{00000000-0005-0000-0000-000029230000}"/>
    <cellStyle name="20% - Accent6 10 2" xfId="281" xr:uid="{00000000-0005-0000-0000-00002A230000}"/>
    <cellStyle name="20% - Accent6 10 2 2" xfId="282" xr:uid="{00000000-0005-0000-0000-00002B230000}"/>
    <cellStyle name="20% - Accent6 10 2 2 2" xfId="1310" xr:uid="{00000000-0005-0000-0000-00002C230000}"/>
    <cellStyle name="20% - Accent6 10 2 2 2 2" xfId="4840" xr:uid="{00000000-0005-0000-0000-00002D230000}"/>
    <cellStyle name="20% - Accent6 10 2 2 2 2 2" xfId="8431" xr:uid="{00000000-0005-0000-0000-00002E230000}"/>
    <cellStyle name="20% - Accent6 10 2 2 2 2 2 2" xfId="16402" xr:uid="{00000000-0005-0000-0000-00002F230000}"/>
    <cellStyle name="20% - Accent6 10 2 2 2 2 2 3" xfId="24348" xr:uid="{00000000-0005-0000-0000-000030230000}"/>
    <cellStyle name="20% - Accent6 10 2 2 2 2 3" xfId="12864" xr:uid="{00000000-0005-0000-0000-000031230000}"/>
    <cellStyle name="20% - Accent6 10 2 2 2 2 4" xfId="20819" xr:uid="{00000000-0005-0000-0000-000032230000}"/>
    <cellStyle name="20% - Accent6 10 2 2 2 3" xfId="6672" xr:uid="{00000000-0005-0000-0000-000033230000}"/>
    <cellStyle name="20% - Accent6 10 2 2 2 3 2" xfId="14644" xr:uid="{00000000-0005-0000-0000-000034230000}"/>
    <cellStyle name="20% - Accent6 10 2 2 2 3 3" xfId="22591" xr:uid="{00000000-0005-0000-0000-000035230000}"/>
    <cellStyle name="20% - Accent6 10 2 2 2 4" xfId="11108" xr:uid="{00000000-0005-0000-0000-000036230000}"/>
    <cellStyle name="20% - Accent6 10 2 2 2 5" xfId="19063" xr:uid="{00000000-0005-0000-0000-000037230000}"/>
    <cellStyle name="20% - Accent6 10 2 2 2_Exh G" xfId="2564" xr:uid="{00000000-0005-0000-0000-000038230000}"/>
    <cellStyle name="20% - Accent6 10 2 2 3" xfId="3961" xr:uid="{00000000-0005-0000-0000-000039230000}"/>
    <cellStyle name="20% - Accent6 10 2 2 3 2" xfId="7553" xr:uid="{00000000-0005-0000-0000-00003A230000}"/>
    <cellStyle name="20% - Accent6 10 2 2 3 2 2" xfId="15524" xr:uid="{00000000-0005-0000-0000-00003B230000}"/>
    <cellStyle name="20% - Accent6 10 2 2 3 2 3" xfId="23470" xr:uid="{00000000-0005-0000-0000-00003C230000}"/>
    <cellStyle name="20% - Accent6 10 2 2 3 3" xfId="11986" xr:uid="{00000000-0005-0000-0000-00003D230000}"/>
    <cellStyle name="20% - Accent6 10 2 2 3 4" xfId="19941" xr:uid="{00000000-0005-0000-0000-00003E230000}"/>
    <cellStyle name="20% - Accent6 10 2 2 4" xfId="5781" xr:uid="{00000000-0005-0000-0000-00003F230000}"/>
    <cellStyle name="20% - Accent6 10 2 2 4 2" xfId="13765" xr:uid="{00000000-0005-0000-0000-000040230000}"/>
    <cellStyle name="20% - Accent6 10 2 2 4 3" xfId="21713" xr:uid="{00000000-0005-0000-0000-000041230000}"/>
    <cellStyle name="20% - Accent6 10 2 2 5" xfId="9334" xr:uid="{00000000-0005-0000-0000-000042230000}"/>
    <cellStyle name="20% - Accent6 10 2 2 5 2" xfId="17292" xr:uid="{00000000-0005-0000-0000-000043230000}"/>
    <cellStyle name="20% - Accent6 10 2 2 5 3" xfId="25236" xr:uid="{00000000-0005-0000-0000-000044230000}"/>
    <cellStyle name="20% - Accent6 10 2 2 6" xfId="10230" xr:uid="{00000000-0005-0000-0000-000045230000}"/>
    <cellStyle name="20% - Accent6 10 2 2 7" xfId="18185" xr:uid="{00000000-0005-0000-0000-000046230000}"/>
    <cellStyle name="20% - Accent6 10 2 2_Exh G" xfId="2563" xr:uid="{00000000-0005-0000-0000-000047230000}"/>
    <cellStyle name="20% - Accent6 10 2 3" xfId="1309" xr:uid="{00000000-0005-0000-0000-000048230000}"/>
    <cellStyle name="20% - Accent6 10 2 3 2" xfId="4839" xr:uid="{00000000-0005-0000-0000-000049230000}"/>
    <cellStyle name="20% - Accent6 10 2 3 2 2" xfId="8430" xr:uid="{00000000-0005-0000-0000-00004A230000}"/>
    <cellStyle name="20% - Accent6 10 2 3 2 2 2" xfId="16401" xr:uid="{00000000-0005-0000-0000-00004B230000}"/>
    <cellStyle name="20% - Accent6 10 2 3 2 2 3" xfId="24347" xr:uid="{00000000-0005-0000-0000-00004C230000}"/>
    <cellStyle name="20% - Accent6 10 2 3 2 3" xfId="12863" xr:uid="{00000000-0005-0000-0000-00004D230000}"/>
    <cellStyle name="20% - Accent6 10 2 3 2 4" xfId="20818" xr:uid="{00000000-0005-0000-0000-00004E230000}"/>
    <cellStyle name="20% - Accent6 10 2 3 3" xfId="6671" xr:uid="{00000000-0005-0000-0000-00004F230000}"/>
    <cellStyle name="20% - Accent6 10 2 3 3 2" xfId="14643" xr:uid="{00000000-0005-0000-0000-000050230000}"/>
    <cellStyle name="20% - Accent6 10 2 3 3 3" xfId="22590" xr:uid="{00000000-0005-0000-0000-000051230000}"/>
    <cellStyle name="20% - Accent6 10 2 3 4" xfId="11107" xr:uid="{00000000-0005-0000-0000-000052230000}"/>
    <cellStyle name="20% - Accent6 10 2 3 5" xfId="19062" xr:uid="{00000000-0005-0000-0000-000053230000}"/>
    <cellStyle name="20% - Accent6 10 2 3_Exh G" xfId="2565" xr:uid="{00000000-0005-0000-0000-000054230000}"/>
    <cellStyle name="20% - Accent6 10 2 4" xfId="3960" xr:uid="{00000000-0005-0000-0000-000055230000}"/>
    <cellStyle name="20% - Accent6 10 2 4 2" xfId="7552" xr:uid="{00000000-0005-0000-0000-000056230000}"/>
    <cellStyle name="20% - Accent6 10 2 4 2 2" xfId="15523" xr:uid="{00000000-0005-0000-0000-000057230000}"/>
    <cellStyle name="20% - Accent6 10 2 4 2 3" xfId="23469" xr:uid="{00000000-0005-0000-0000-000058230000}"/>
    <cellStyle name="20% - Accent6 10 2 4 3" xfId="11985" xr:uid="{00000000-0005-0000-0000-000059230000}"/>
    <cellStyle name="20% - Accent6 10 2 4 4" xfId="19940" xr:uid="{00000000-0005-0000-0000-00005A230000}"/>
    <cellStyle name="20% - Accent6 10 2 5" xfId="5780" xr:uid="{00000000-0005-0000-0000-00005B230000}"/>
    <cellStyle name="20% - Accent6 10 2 5 2" xfId="13764" xr:uid="{00000000-0005-0000-0000-00005C230000}"/>
    <cellStyle name="20% - Accent6 10 2 5 3" xfId="21712" xr:uid="{00000000-0005-0000-0000-00005D230000}"/>
    <cellStyle name="20% - Accent6 10 2 6" xfId="9333" xr:uid="{00000000-0005-0000-0000-00005E230000}"/>
    <cellStyle name="20% - Accent6 10 2 6 2" xfId="17291" xr:uid="{00000000-0005-0000-0000-00005F230000}"/>
    <cellStyle name="20% - Accent6 10 2 6 3" xfId="25235" xr:uid="{00000000-0005-0000-0000-000060230000}"/>
    <cellStyle name="20% - Accent6 10 2 7" xfId="10229" xr:uid="{00000000-0005-0000-0000-000061230000}"/>
    <cellStyle name="20% - Accent6 10 2 8" xfId="18184" xr:uid="{00000000-0005-0000-0000-000062230000}"/>
    <cellStyle name="20% - Accent6 10 2_Exh G" xfId="2562" xr:uid="{00000000-0005-0000-0000-000063230000}"/>
    <cellStyle name="20% - Accent6 10 3" xfId="283" xr:uid="{00000000-0005-0000-0000-000064230000}"/>
    <cellStyle name="20% - Accent6 10 3 2" xfId="1311" xr:uid="{00000000-0005-0000-0000-000065230000}"/>
    <cellStyle name="20% - Accent6 10 3 2 2" xfId="4841" xr:uid="{00000000-0005-0000-0000-000066230000}"/>
    <cellStyle name="20% - Accent6 10 3 2 2 2" xfId="8432" xr:uid="{00000000-0005-0000-0000-000067230000}"/>
    <cellStyle name="20% - Accent6 10 3 2 2 2 2" xfId="16403" xr:uid="{00000000-0005-0000-0000-000068230000}"/>
    <cellStyle name="20% - Accent6 10 3 2 2 2 3" xfId="24349" xr:uid="{00000000-0005-0000-0000-000069230000}"/>
    <cellStyle name="20% - Accent6 10 3 2 2 3" xfId="12865" xr:uid="{00000000-0005-0000-0000-00006A230000}"/>
    <cellStyle name="20% - Accent6 10 3 2 2 4" xfId="20820" xr:uid="{00000000-0005-0000-0000-00006B230000}"/>
    <cellStyle name="20% - Accent6 10 3 2 3" xfId="6673" xr:uid="{00000000-0005-0000-0000-00006C230000}"/>
    <cellStyle name="20% - Accent6 10 3 2 3 2" xfId="14645" xr:uid="{00000000-0005-0000-0000-00006D230000}"/>
    <cellStyle name="20% - Accent6 10 3 2 3 3" xfId="22592" xr:uid="{00000000-0005-0000-0000-00006E230000}"/>
    <cellStyle name="20% - Accent6 10 3 2 4" xfId="11109" xr:uid="{00000000-0005-0000-0000-00006F230000}"/>
    <cellStyle name="20% - Accent6 10 3 2 5" xfId="19064" xr:uid="{00000000-0005-0000-0000-000070230000}"/>
    <cellStyle name="20% - Accent6 10 3 2_Exh G" xfId="2567" xr:uid="{00000000-0005-0000-0000-000071230000}"/>
    <cellStyle name="20% - Accent6 10 3 3" xfId="3962" xr:uid="{00000000-0005-0000-0000-000072230000}"/>
    <cellStyle name="20% - Accent6 10 3 3 2" xfId="7554" xr:uid="{00000000-0005-0000-0000-000073230000}"/>
    <cellStyle name="20% - Accent6 10 3 3 2 2" xfId="15525" xr:uid="{00000000-0005-0000-0000-000074230000}"/>
    <cellStyle name="20% - Accent6 10 3 3 2 3" xfId="23471" xr:uid="{00000000-0005-0000-0000-000075230000}"/>
    <cellStyle name="20% - Accent6 10 3 3 3" xfId="11987" xr:uid="{00000000-0005-0000-0000-000076230000}"/>
    <cellStyle name="20% - Accent6 10 3 3 4" xfId="19942" xr:uid="{00000000-0005-0000-0000-000077230000}"/>
    <cellStyle name="20% - Accent6 10 3 4" xfId="5782" xr:uid="{00000000-0005-0000-0000-000078230000}"/>
    <cellStyle name="20% - Accent6 10 3 4 2" xfId="13766" xr:uid="{00000000-0005-0000-0000-000079230000}"/>
    <cellStyle name="20% - Accent6 10 3 4 3" xfId="21714" xr:uid="{00000000-0005-0000-0000-00007A230000}"/>
    <cellStyle name="20% - Accent6 10 3 5" xfId="9335" xr:uid="{00000000-0005-0000-0000-00007B230000}"/>
    <cellStyle name="20% - Accent6 10 3 5 2" xfId="17293" xr:uid="{00000000-0005-0000-0000-00007C230000}"/>
    <cellStyle name="20% - Accent6 10 3 5 3" xfId="25237" xr:uid="{00000000-0005-0000-0000-00007D230000}"/>
    <cellStyle name="20% - Accent6 10 3 6" xfId="10231" xr:uid="{00000000-0005-0000-0000-00007E230000}"/>
    <cellStyle name="20% - Accent6 10 3 7" xfId="18186" xr:uid="{00000000-0005-0000-0000-00007F230000}"/>
    <cellStyle name="20% - Accent6 10 3_Exh G" xfId="2566" xr:uid="{00000000-0005-0000-0000-000080230000}"/>
    <cellStyle name="20% - Accent6 10 4" xfId="922" xr:uid="{00000000-0005-0000-0000-000081230000}"/>
    <cellStyle name="20% - Accent6 10 5" xfId="1308" xr:uid="{00000000-0005-0000-0000-000082230000}"/>
    <cellStyle name="20% - Accent6 10 5 2" xfId="4838" xr:uid="{00000000-0005-0000-0000-000083230000}"/>
    <cellStyle name="20% - Accent6 10 5 2 2" xfId="8429" xr:uid="{00000000-0005-0000-0000-000084230000}"/>
    <cellStyle name="20% - Accent6 10 5 2 2 2" xfId="16400" xr:uid="{00000000-0005-0000-0000-000085230000}"/>
    <cellStyle name="20% - Accent6 10 5 2 2 3" xfId="24346" xr:uid="{00000000-0005-0000-0000-000086230000}"/>
    <cellStyle name="20% - Accent6 10 5 2 3" xfId="12862" xr:uid="{00000000-0005-0000-0000-000087230000}"/>
    <cellStyle name="20% - Accent6 10 5 2 4" xfId="20817" xr:uid="{00000000-0005-0000-0000-000088230000}"/>
    <cellStyle name="20% - Accent6 10 5 3" xfId="6670" xr:uid="{00000000-0005-0000-0000-000089230000}"/>
    <cellStyle name="20% - Accent6 10 5 3 2" xfId="14642" xr:uid="{00000000-0005-0000-0000-00008A230000}"/>
    <cellStyle name="20% - Accent6 10 5 3 3" xfId="22589" xr:uid="{00000000-0005-0000-0000-00008B230000}"/>
    <cellStyle name="20% - Accent6 10 5 4" xfId="11106" xr:uid="{00000000-0005-0000-0000-00008C230000}"/>
    <cellStyle name="20% - Accent6 10 5 5" xfId="19061" xr:uid="{00000000-0005-0000-0000-00008D230000}"/>
    <cellStyle name="20% - Accent6 10 5_Exh G" xfId="2568" xr:uid="{00000000-0005-0000-0000-00008E230000}"/>
    <cellStyle name="20% - Accent6 10 6" xfId="3959" xr:uid="{00000000-0005-0000-0000-00008F230000}"/>
    <cellStyle name="20% - Accent6 10 6 2" xfId="7551" xr:uid="{00000000-0005-0000-0000-000090230000}"/>
    <cellStyle name="20% - Accent6 10 6 2 2" xfId="15522" xr:uid="{00000000-0005-0000-0000-000091230000}"/>
    <cellStyle name="20% - Accent6 10 6 2 3" xfId="23468" xr:uid="{00000000-0005-0000-0000-000092230000}"/>
    <cellStyle name="20% - Accent6 10 6 3" xfId="11984" xr:uid="{00000000-0005-0000-0000-000093230000}"/>
    <cellStyle name="20% - Accent6 10 6 4" xfId="19939" xr:uid="{00000000-0005-0000-0000-000094230000}"/>
    <cellStyle name="20% - Accent6 10 7" xfId="5779" xr:uid="{00000000-0005-0000-0000-000095230000}"/>
    <cellStyle name="20% - Accent6 10 7 2" xfId="13763" xr:uid="{00000000-0005-0000-0000-000096230000}"/>
    <cellStyle name="20% - Accent6 10 7 3" xfId="21711" xr:uid="{00000000-0005-0000-0000-000097230000}"/>
    <cellStyle name="20% - Accent6 10 8" xfId="9332" xr:uid="{00000000-0005-0000-0000-000098230000}"/>
    <cellStyle name="20% - Accent6 10 8 2" xfId="17290" xr:uid="{00000000-0005-0000-0000-000099230000}"/>
    <cellStyle name="20% - Accent6 10 8 3" xfId="25234" xr:uid="{00000000-0005-0000-0000-00009A230000}"/>
    <cellStyle name="20% - Accent6 10 9" xfId="10228" xr:uid="{00000000-0005-0000-0000-00009B230000}"/>
    <cellStyle name="20% - Accent6 10_Exh G" xfId="2561" xr:uid="{00000000-0005-0000-0000-00009C230000}"/>
    <cellStyle name="20% - Accent6 11" xfId="284" xr:uid="{00000000-0005-0000-0000-00009D230000}"/>
    <cellStyle name="20% - Accent6 11 2" xfId="285" xr:uid="{00000000-0005-0000-0000-00009E230000}"/>
    <cellStyle name="20% - Accent6 11 2 2" xfId="286" xr:uid="{00000000-0005-0000-0000-00009F230000}"/>
    <cellStyle name="20% - Accent6 11 2 2 2" xfId="1314" xr:uid="{00000000-0005-0000-0000-0000A0230000}"/>
    <cellStyle name="20% - Accent6 11 2 2 2 2" xfId="4844" xr:uid="{00000000-0005-0000-0000-0000A1230000}"/>
    <cellStyle name="20% - Accent6 11 2 2 2 2 2" xfId="8435" xr:uid="{00000000-0005-0000-0000-0000A2230000}"/>
    <cellStyle name="20% - Accent6 11 2 2 2 2 2 2" xfId="16406" xr:uid="{00000000-0005-0000-0000-0000A3230000}"/>
    <cellStyle name="20% - Accent6 11 2 2 2 2 2 3" xfId="24352" xr:uid="{00000000-0005-0000-0000-0000A4230000}"/>
    <cellStyle name="20% - Accent6 11 2 2 2 2 3" xfId="12868" xr:uid="{00000000-0005-0000-0000-0000A5230000}"/>
    <cellStyle name="20% - Accent6 11 2 2 2 2 4" xfId="20823" xr:uid="{00000000-0005-0000-0000-0000A6230000}"/>
    <cellStyle name="20% - Accent6 11 2 2 2 3" xfId="6676" xr:uid="{00000000-0005-0000-0000-0000A7230000}"/>
    <cellStyle name="20% - Accent6 11 2 2 2 3 2" xfId="14648" xr:uid="{00000000-0005-0000-0000-0000A8230000}"/>
    <cellStyle name="20% - Accent6 11 2 2 2 3 3" xfId="22595" xr:uid="{00000000-0005-0000-0000-0000A9230000}"/>
    <cellStyle name="20% - Accent6 11 2 2 2 4" xfId="11112" xr:uid="{00000000-0005-0000-0000-0000AA230000}"/>
    <cellStyle name="20% - Accent6 11 2 2 2 5" xfId="19067" xr:uid="{00000000-0005-0000-0000-0000AB230000}"/>
    <cellStyle name="20% - Accent6 11 2 2 2_Exh G" xfId="2572" xr:uid="{00000000-0005-0000-0000-0000AC230000}"/>
    <cellStyle name="20% - Accent6 11 2 2 3" xfId="3965" xr:uid="{00000000-0005-0000-0000-0000AD230000}"/>
    <cellStyle name="20% - Accent6 11 2 2 3 2" xfId="7557" xr:uid="{00000000-0005-0000-0000-0000AE230000}"/>
    <cellStyle name="20% - Accent6 11 2 2 3 2 2" xfId="15528" xr:uid="{00000000-0005-0000-0000-0000AF230000}"/>
    <cellStyle name="20% - Accent6 11 2 2 3 2 3" xfId="23474" xr:uid="{00000000-0005-0000-0000-0000B0230000}"/>
    <cellStyle name="20% - Accent6 11 2 2 3 3" xfId="11990" xr:uid="{00000000-0005-0000-0000-0000B1230000}"/>
    <cellStyle name="20% - Accent6 11 2 2 3 4" xfId="19945" xr:uid="{00000000-0005-0000-0000-0000B2230000}"/>
    <cellStyle name="20% - Accent6 11 2 2 4" xfId="5785" xr:uid="{00000000-0005-0000-0000-0000B3230000}"/>
    <cellStyle name="20% - Accent6 11 2 2 4 2" xfId="13769" xr:uid="{00000000-0005-0000-0000-0000B4230000}"/>
    <cellStyle name="20% - Accent6 11 2 2 4 3" xfId="21717" xr:uid="{00000000-0005-0000-0000-0000B5230000}"/>
    <cellStyle name="20% - Accent6 11 2 2 5" xfId="9338" xr:uid="{00000000-0005-0000-0000-0000B6230000}"/>
    <cellStyle name="20% - Accent6 11 2 2 5 2" xfId="17296" xr:uid="{00000000-0005-0000-0000-0000B7230000}"/>
    <cellStyle name="20% - Accent6 11 2 2 5 3" xfId="25240" xr:uid="{00000000-0005-0000-0000-0000B8230000}"/>
    <cellStyle name="20% - Accent6 11 2 2 6" xfId="10234" xr:uid="{00000000-0005-0000-0000-0000B9230000}"/>
    <cellStyle name="20% - Accent6 11 2 2 7" xfId="18189" xr:uid="{00000000-0005-0000-0000-0000BA230000}"/>
    <cellStyle name="20% - Accent6 11 2 2_Exh G" xfId="2571" xr:uid="{00000000-0005-0000-0000-0000BB230000}"/>
    <cellStyle name="20% - Accent6 11 2 3" xfId="1313" xr:uid="{00000000-0005-0000-0000-0000BC230000}"/>
    <cellStyle name="20% - Accent6 11 2 3 2" xfId="4843" xr:uid="{00000000-0005-0000-0000-0000BD230000}"/>
    <cellStyle name="20% - Accent6 11 2 3 2 2" xfId="8434" xr:uid="{00000000-0005-0000-0000-0000BE230000}"/>
    <cellStyle name="20% - Accent6 11 2 3 2 2 2" xfId="16405" xr:uid="{00000000-0005-0000-0000-0000BF230000}"/>
    <cellStyle name="20% - Accent6 11 2 3 2 2 3" xfId="24351" xr:uid="{00000000-0005-0000-0000-0000C0230000}"/>
    <cellStyle name="20% - Accent6 11 2 3 2 3" xfId="12867" xr:uid="{00000000-0005-0000-0000-0000C1230000}"/>
    <cellStyle name="20% - Accent6 11 2 3 2 4" xfId="20822" xr:uid="{00000000-0005-0000-0000-0000C2230000}"/>
    <cellStyle name="20% - Accent6 11 2 3 3" xfId="6675" xr:uid="{00000000-0005-0000-0000-0000C3230000}"/>
    <cellStyle name="20% - Accent6 11 2 3 3 2" xfId="14647" xr:uid="{00000000-0005-0000-0000-0000C4230000}"/>
    <cellStyle name="20% - Accent6 11 2 3 3 3" xfId="22594" xr:uid="{00000000-0005-0000-0000-0000C5230000}"/>
    <cellStyle name="20% - Accent6 11 2 3 4" xfId="11111" xr:uid="{00000000-0005-0000-0000-0000C6230000}"/>
    <cellStyle name="20% - Accent6 11 2 3 5" xfId="19066" xr:uid="{00000000-0005-0000-0000-0000C7230000}"/>
    <cellStyle name="20% - Accent6 11 2 3_Exh G" xfId="2573" xr:uid="{00000000-0005-0000-0000-0000C8230000}"/>
    <cellStyle name="20% - Accent6 11 2 4" xfId="3964" xr:uid="{00000000-0005-0000-0000-0000C9230000}"/>
    <cellStyle name="20% - Accent6 11 2 4 2" xfId="7556" xr:uid="{00000000-0005-0000-0000-0000CA230000}"/>
    <cellStyle name="20% - Accent6 11 2 4 2 2" xfId="15527" xr:uid="{00000000-0005-0000-0000-0000CB230000}"/>
    <cellStyle name="20% - Accent6 11 2 4 2 3" xfId="23473" xr:uid="{00000000-0005-0000-0000-0000CC230000}"/>
    <cellStyle name="20% - Accent6 11 2 4 3" xfId="11989" xr:uid="{00000000-0005-0000-0000-0000CD230000}"/>
    <cellStyle name="20% - Accent6 11 2 4 4" xfId="19944" xr:uid="{00000000-0005-0000-0000-0000CE230000}"/>
    <cellStyle name="20% - Accent6 11 2 5" xfId="5784" xr:uid="{00000000-0005-0000-0000-0000CF230000}"/>
    <cellStyle name="20% - Accent6 11 2 5 2" xfId="13768" xr:uid="{00000000-0005-0000-0000-0000D0230000}"/>
    <cellStyle name="20% - Accent6 11 2 5 3" xfId="21716" xr:uid="{00000000-0005-0000-0000-0000D1230000}"/>
    <cellStyle name="20% - Accent6 11 2 6" xfId="9337" xr:uid="{00000000-0005-0000-0000-0000D2230000}"/>
    <cellStyle name="20% - Accent6 11 2 6 2" xfId="17295" xr:uid="{00000000-0005-0000-0000-0000D3230000}"/>
    <cellStyle name="20% - Accent6 11 2 6 3" xfId="25239" xr:uid="{00000000-0005-0000-0000-0000D4230000}"/>
    <cellStyle name="20% - Accent6 11 2 7" xfId="10233" xr:uid="{00000000-0005-0000-0000-0000D5230000}"/>
    <cellStyle name="20% - Accent6 11 2 8" xfId="18188" xr:uid="{00000000-0005-0000-0000-0000D6230000}"/>
    <cellStyle name="20% - Accent6 11 2_Exh G" xfId="2570" xr:uid="{00000000-0005-0000-0000-0000D7230000}"/>
    <cellStyle name="20% - Accent6 11 3" xfId="287" xr:uid="{00000000-0005-0000-0000-0000D8230000}"/>
    <cellStyle name="20% - Accent6 11 3 2" xfId="1315" xr:uid="{00000000-0005-0000-0000-0000D9230000}"/>
    <cellStyle name="20% - Accent6 11 3 2 2" xfId="4845" xr:uid="{00000000-0005-0000-0000-0000DA230000}"/>
    <cellStyle name="20% - Accent6 11 3 2 2 2" xfId="8436" xr:uid="{00000000-0005-0000-0000-0000DB230000}"/>
    <cellStyle name="20% - Accent6 11 3 2 2 2 2" xfId="16407" xr:uid="{00000000-0005-0000-0000-0000DC230000}"/>
    <cellStyle name="20% - Accent6 11 3 2 2 2 3" xfId="24353" xr:uid="{00000000-0005-0000-0000-0000DD230000}"/>
    <cellStyle name="20% - Accent6 11 3 2 2 3" xfId="12869" xr:uid="{00000000-0005-0000-0000-0000DE230000}"/>
    <cellStyle name="20% - Accent6 11 3 2 2 4" xfId="20824" xr:uid="{00000000-0005-0000-0000-0000DF230000}"/>
    <cellStyle name="20% - Accent6 11 3 2 3" xfId="6677" xr:uid="{00000000-0005-0000-0000-0000E0230000}"/>
    <cellStyle name="20% - Accent6 11 3 2 3 2" xfId="14649" xr:uid="{00000000-0005-0000-0000-0000E1230000}"/>
    <cellStyle name="20% - Accent6 11 3 2 3 3" xfId="22596" xr:uid="{00000000-0005-0000-0000-0000E2230000}"/>
    <cellStyle name="20% - Accent6 11 3 2 4" xfId="11113" xr:uid="{00000000-0005-0000-0000-0000E3230000}"/>
    <cellStyle name="20% - Accent6 11 3 2 5" xfId="19068" xr:uid="{00000000-0005-0000-0000-0000E4230000}"/>
    <cellStyle name="20% - Accent6 11 3 2_Exh G" xfId="2575" xr:uid="{00000000-0005-0000-0000-0000E5230000}"/>
    <cellStyle name="20% - Accent6 11 3 3" xfId="3966" xr:uid="{00000000-0005-0000-0000-0000E6230000}"/>
    <cellStyle name="20% - Accent6 11 3 3 2" xfId="7558" xr:uid="{00000000-0005-0000-0000-0000E7230000}"/>
    <cellStyle name="20% - Accent6 11 3 3 2 2" xfId="15529" xr:uid="{00000000-0005-0000-0000-0000E8230000}"/>
    <cellStyle name="20% - Accent6 11 3 3 2 3" xfId="23475" xr:uid="{00000000-0005-0000-0000-0000E9230000}"/>
    <cellStyle name="20% - Accent6 11 3 3 3" xfId="11991" xr:uid="{00000000-0005-0000-0000-0000EA230000}"/>
    <cellStyle name="20% - Accent6 11 3 3 4" xfId="19946" xr:uid="{00000000-0005-0000-0000-0000EB230000}"/>
    <cellStyle name="20% - Accent6 11 3 4" xfId="5786" xr:uid="{00000000-0005-0000-0000-0000EC230000}"/>
    <cellStyle name="20% - Accent6 11 3 4 2" xfId="13770" xr:uid="{00000000-0005-0000-0000-0000ED230000}"/>
    <cellStyle name="20% - Accent6 11 3 4 3" xfId="21718" xr:uid="{00000000-0005-0000-0000-0000EE230000}"/>
    <cellStyle name="20% - Accent6 11 3 5" xfId="9339" xr:uid="{00000000-0005-0000-0000-0000EF230000}"/>
    <cellStyle name="20% - Accent6 11 3 5 2" xfId="17297" xr:uid="{00000000-0005-0000-0000-0000F0230000}"/>
    <cellStyle name="20% - Accent6 11 3 5 3" xfId="25241" xr:uid="{00000000-0005-0000-0000-0000F1230000}"/>
    <cellStyle name="20% - Accent6 11 3 6" xfId="10235" xr:uid="{00000000-0005-0000-0000-0000F2230000}"/>
    <cellStyle name="20% - Accent6 11 3 7" xfId="18190" xr:uid="{00000000-0005-0000-0000-0000F3230000}"/>
    <cellStyle name="20% - Accent6 11 3_Exh G" xfId="2574" xr:uid="{00000000-0005-0000-0000-0000F4230000}"/>
    <cellStyle name="20% - Accent6 11 4" xfId="1312" xr:uid="{00000000-0005-0000-0000-0000F5230000}"/>
    <cellStyle name="20% - Accent6 11 4 2" xfId="4842" xr:uid="{00000000-0005-0000-0000-0000F6230000}"/>
    <cellStyle name="20% - Accent6 11 4 2 2" xfId="8433" xr:uid="{00000000-0005-0000-0000-0000F7230000}"/>
    <cellStyle name="20% - Accent6 11 4 2 2 2" xfId="16404" xr:uid="{00000000-0005-0000-0000-0000F8230000}"/>
    <cellStyle name="20% - Accent6 11 4 2 2 3" xfId="24350" xr:uid="{00000000-0005-0000-0000-0000F9230000}"/>
    <cellStyle name="20% - Accent6 11 4 2 3" xfId="12866" xr:uid="{00000000-0005-0000-0000-0000FA230000}"/>
    <cellStyle name="20% - Accent6 11 4 2 4" xfId="20821" xr:uid="{00000000-0005-0000-0000-0000FB230000}"/>
    <cellStyle name="20% - Accent6 11 4 3" xfId="6674" xr:uid="{00000000-0005-0000-0000-0000FC230000}"/>
    <cellStyle name="20% - Accent6 11 4 3 2" xfId="14646" xr:uid="{00000000-0005-0000-0000-0000FD230000}"/>
    <cellStyle name="20% - Accent6 11 4 3 3" xfId="22593" xr:uid="{00000000-0005-0000-0000-0000FE230000}"/>
    <cellStyle name="20% - Accent6 11 4 4" xfId="11110" xr:uid="{00000000-0005-0000-0000-0000FF230000}"/>
    <cellStyle name="20% - Accent6 11 4 5" xfId="19065" xr:uid="{00000000-0005-0000-0000-000000240000}"/>
    <cellStyle name="20% - Accent6 11 4_Exh G" xfId="2576" xr:uid="{00000000-0005-0000-0000-000001240000}"/>
    <cellStyle name="20% - Accent6 11 5" xfId="3963" xr:uid="{00000000-0005-0000-0000-000002240000}"/>
    <cellStyle name="20% - Accent6 11 5 2" xfId="7555" xr:uid="{00000000-0005-0000-0000-000003240000}"/>
    <cellStyle name="20% - Accent6 11 5 2 2" xfId="15526" xr:uid="{00000000-0005-0000-0000-000004240000}"/>
    <cellStyle name="20% - Accent6 11 5 2 3" xfId="23472" xr:uid="{00000000-0005-0000-0000-000005240000}"/>
    <cellStyle name="20% - Accent6 11 5 3" xfId="11988" xr:uid="{00000000-0005-0000-0000-000006240000}"/>
    <cellStyle name="20% - Accent6 11 5 4" xfId="19943" xr:uid="{00000000-0005-0000-0000-000007240000}"/>
    <cellStyle name="20% - Accent6 11 6" xfId="5783" xr:uid="{00000000-0005-0000-0000-000008240000}"/>
    <cellStyle name="20% - Accent6 11 6 2" xfId="13767" xr:uid="{00000000-0005-0000-0000-000009240000}"/>
    <cellStyle name="20% - Accent6 11 6 3" xfId="21715" xr:uid="{00000000-0005-0000-0000-00000A240000}"/>
    <cellStyle name="20% - Accent6 11 7" xfId="9336" xr:uid="{00000000-0005-0000-0000-00000B240000}"/>
    <cellStyle name="20% - Accent6 11 7 2" xfId="17294" xr:uid="{00000000-0005-0000-0000-00000C240000}"/>
    <cellStyle name="20% - Accent6 11 7 3" xfId="25238" xr:uid="{00000000-0005-0000-0000-00000D240000}"/>
    <cellStyle name="20% - Accent6 11 8" xfId="10232" xr:uid="{00000000-0005-0000-0000-00000E240000}"/>
    <cellStyle name="20% - Accent6 11 9" xfId="18187" xr:uid="{00000000-0005-0000-0000-00000F240000}"/>
    <cellStyle name="20% - Accent6 11_Exh G" xfId="2569" xr:uid="{00000000-0005-0000-0000-000010240000}"/>
    <cellStyle name="20% - Accent6 12" xfId="288" xr:uid="{00000000-0005-0000-0000-000011240000}"/>
    <cellStyle name="20% - Accent6 12 2" xfId="289" xr:uid="{00000000-0005-0000-0000-000012240000}"/>
    <cellStyle name="20% - Accent6 12 2 2" xfId="290" xr:uid="{00000000-0005-0000-0000-000013240000}"/>
    <cellStyle name="20% - Accent6 12 2 2 2" xfId="1318" xr:uid="{00000000-0005-0000-0000-000014240000}"/>
    <cellStyle name="20% - Accent6 12 2 2 2 2" xfId="4848" xr:uid="{00000000-0005-0000-0000-000015240000}"/>
    <cellStyle name="20% - Accent6 12 2 2 2 2 2" xfId="8439" xr:uid="{00000000-0005-0000-0000-000016240000}"/>
    <cellStyle name="20% - Accent6 12 2 2 2 2 2 2" xfId="16410" xr:uid="{00000000-0005-0000-0000-000017240000}"/>
    <cellStyle name="20% - Accent6 12 2 2 2 2 2 3" xfId="24356" xr:uid="{00000000-0005-0000-0000-000018240000}"/>
    <cellStyle name="20% - Accent6 12 2 2 2 2 3" xfId="12872" xr:uid="{00000000-0005-0000-0000-000019240000}"/>
    <cellStyle name="20% - Accent6 12 2 2 2 2 4" xfId="20827" xr:uid="{00000000-0005-0000-0000-00001A240000}"/>
    <cellStyle name="20% - Accent6 12 2 2 2 3" xfId="6680" xr:uid="{00000000-0005-0000-0000-00001B240000}"/>
    <cellStyle name="20% - Accent6 12 2 2 2 3 2" xfId="14652" xr:uid="{00000000-0005-0000-0000-00001C240000}"/>
    <cellStyle name="20% - Accent6 12 2 2 2 3 3" xfId="22599" xr:uid="{00000000-0005-0000-0000-00001D240000}"/>
    <cellStyle name="20% - Accent6 12 2 2 2 4" xfId="11116" xr:uid="{00000000-0005-0000-0000-00001E240000}"/>
    <cellStyle name="20% - Accent6 12 2 2 2 5" xfId="19071" xr:uid="{00000000-0005-0000-0000-00001F240000}"/>
    <cellStyle name="20% - Accent6 12 2 2 2_Exh G" xfId="2580" xr:uid="{00000000-0005-0000-0000-000020240000}"/>
    <cellStyle name="20% - Accent6 12 2 2 3" xfId="3969" xr:uid="{00000000-0005-0000-0000-000021240000}"/>
    <cellStyle name="20% - Accent6 12 2 2 3 2" xfId="7561" xr:uid="{00000000-0005-0000-0000-000022240000}"/>
    <cellStyle name="20% - Accent6 12 2 2 3 2 2" xfId="15532" xr:uid="{00000000-0005-0000-0000-000023240000}"/>
    <cellStyle name="20% - Accent6 12 2 2 3 2 3" xfId="23478" xr:uid="{00000000-0005-0000-0000-000024240000}"/>
    <cellStyle name="20% - Accent6 12 2 2 3 3" xfId="11994" xr:uid="{00000000-0005-0000-0000-000025240000}"/>
    <cellStyle name="20% - Accent6 12 2 2 3 4" xfId="19949" xr:uid="{00000000-0005-0000-0000-000026240000}"/>
    <cellStyle name="20% - Accent6 12 2 2 4" xfId="5789" xr:uid="{00000000-0005-0000-0000-000027240000}"/>
    <cellStyle name="20% - Accent6 12 2 2 4 2" xfId="13773" xr:uid="{00000000-0005-0000-0000-000028240000}"/>
    <cellStyle name="20% - Accent6 12 2 2 4 3" xfId="21721" xr:uid="{00000000-0005-0000-0000-000029240000}"/>
    <cellStyle name="20% - Accent6 12 2 2 5" xfId="9342" xr:uid="{00000000-0005-0000-0000-00002A240000}"/>
    <cellStyle name="20% - Accent6 12 2 2 5 2" xfId="17300" xr:uid="{00000000-0005-0000-0000-00002B240000}"/>
    <cellStyle name="20% - Accent6 12 2 2 5 3" xfId="25244" xr:uid="{00000000-0005-0000-0000-00002C240000}"/>
    <cellStyle name="20% - Accent6 12 2 2 6" xfId="10238" xr:uid="{00000000-0005-0000-0000-00002D240000}"/>
    <cellStyle name="20% - Accent6 12 2 2 7" xfId="18193" xr:uid="{00000000-0005-0000-0000-00002E240000}"/>
    <cellStyle name="20% - Accent6 12 2 2_Exh G" xfId="2579" xr:uid="{00000000-0005-0000-0000-00002F240000}"/>
    <cellStyle name="20% - Accent6 12 2 3" xfId="1317" xr:uid="{00000000-0005-0000-0000-000030240000}"/>
    <cellStyle name="20% - Accent6 12 2 3 2" xfId="4847" xr:uid="{00000000-0005-0000-0000-000031240000}"/>
    <cellStyle name="20% - Accent6 12 2 3 2 2" xfId="8438" xr:uid="{00000000-0005-0000-0000-000032240000}"/>
    <cellStyle name="20% - Accent6 12 2 3 2 2 2" xfId="16409" xr:uid="{00000000-0005-0000-0000-000033240000}"/>
    <cellStyle name="20% - Accent6 12 2 3 2 2 3" xfId="24355" xr:uid="{00000000-0005-0000-0000-000034240000}"/>
    <cellStyle name="20% - Accent6 12 2 3 2 3" xfId="12871" xr:uid="{00000000-0005-0000-0000-000035240000}"/>
    <cellStyle name="20% - Accent6 12 2 3 2 4" xfId="20826" xr:uid="{00000000-0005-0000-0000-000036240000}"/>
    <cellStyle name="20% - Accent6 12 2 3 3" xfId="6679" xr:uid="{00000000-0005-0000-0000-000037240000}"/>
    <cellStyle name="20% - Accent6 12 2 3 3 2" xfId="14651" xr:uid="{00000000-0005-0000-0000-000038240000}"/>
    <cellStyle name="20% - Accent6 12 2 3 3 3" xfId="22598" xr:uid="{00000000-0005-0000-0000-000039240000}"/>
    <cellStyle name="20% - Accent6 12 2 3 4" xfId="11115" xr:uid="{00000000-0005-0000-0000-00003A240000}"/>
    <cellStyle name="20% - Accent6 12 2 3 5" xfId="19070" xr:uid="{00000000-0005-0000-0000-00003B240000}"/>
    <cellStyle name="20% - Accent6 12 2 3_Exh G" xfId="2581" xr:uid="{00000000-0005-0000-0000-00003C240000}"/>
    <cellStyle name="20% - Accent6 12 2 4" xfId="3968" xr:uid="{00000000-0005-0000-0000-00003D240000}"/>
    <cellStyle name="20% - Accent6 12 2 4 2" xfId="7560" xr:uid="{00000000-0005-0000-0000-00003E240000}"/>
    <cellStyle name="20% - Accent6 12 2 4 2 2" xfId="15531" xr:uid="{00000000-0005-0000-0000-00003F240000}"/>
    <cellStyle name="20% - Accent6 12 2 4 2 3" xfId="23477" xr:uid="{00000000-0005-0000-0000-000040240000}"/>
    <cellStyle name="20% - Accent6 12 2 4 3" xfId="11993" xr:uid="{00000000-0005-0000-0000-000041240000}"/>
    <cellStyle name="20% - Accent6 12 2 4 4" xfId="19948" xr:uid="{00000000-0005-0000-0000-000042240000}"/>
    <cellStyle name="20% - Accent6 12 2 5" xfId="5788" xr:uid="{00000000-0005-0000-0000-000043240000}"/>
    <cellStyle name="20% - Accent6 12 2 5 2" xfId="13772" xr:uid="{00000000-0005-0000-0000-000044240000}"/>
    <cellStyle name="20% - Accent6 12 2 5 3" xfId="21720" xr:uid="{00000000-0005-0000-0000-000045240000}"/>
    <cellStyle name="20% - Accent6 12 2 6" xfId="9341" xr:uid="{00000000-0005-0000-0000-000046240000}"/>
    <cellStyle name="20% - Accent6 12 2 6 2" xfId="17299" xr:uid="{00000000-0005-0000-0000-000047240000}"/>
    <cellStyle name="20% - Accent6 12 2 6 3" xfId="25243" xr:uid="{00000000-0005-0000-0000-000048240000}"/>
    <cellStyle name="20% - Accent6 12 2 7" xfId="10237" xr:uid="{00000000-0005-0000-0000-000049240000}"/>
    <cellStyle name="20% - Accent6 12 2 8" xfId="18192" xr:uid="{00000000-0005-0000-0000-00004A240000}"/>
    <cellStyle name="20% - Accent6 12 2_Exh G" xfId="2578" xr:uid="{00000000-0005-0000-0000-00004B240000}"/>
    <cellStyle name="20% - Accent6 12 3" xfId="291" xr:uid="{00000000-0005-0000-0000-00004C240000}"/>
    <cellStyle name="20% - Accent6 12 3 2" xfId="1319" xr:uid="{00000000-0005-0000-0000-00004D240000}"/>
    <cellStyle name="20% - Accent6 12 3 2 2" xfId="4849" xr:uid="{00000000-0005-0000-0000-00004E240000}"/>
    <cellStyle name="20% - Accent6 12 3 2 2 2" xfId="8440" xr:uid="{00000000-0005-0000-0000-00004F240000}"/>
    <cellStyle name="20% - Accent6 12 3 2 2 2 2" xfId="16411" xr:uid="{00000000-0005-0000-0000-000050240000}"/>
    <cellStyle name="20% - Accent6 12 3 2 2 2 3" xfId="24357" xr:uid="{00000000-0005-0000-0000-000051240000}"/>
    <cellStyle name="20% - Accent6 12 3 2 2 3" xfId="12873" xr:uid="{00000000-0005-0000-0000-000052240000}"/>
    <cellStyle name="20% - Accent6 12 3 2 2 4" xfId="20828" xr:uid="{00000000-0005-0000-0000-000053240000}"/>
    <cellStyle name="20% - Accent6 12 3 2 3" xfId="6681" xr:uid="{00000000-0005-0000-0000-000054240000}"/>
    <cellStyle name="20% - Accent6 12 3 2 3 2" xfId="14653" xr:uid="{00000000-0005-0000-0000-000055240000}"/>
    <cellStyle name="20% - Accent6 12 3 2 3 3" xfId="22600" xr:uid="{00000000-0005-0000-0000-000056240000}"/>
    <cellStyle name="20% - Accent6 12 3 2 4" xfId="11117" xr:uid="{00000000-0005-0000-0000-000057240000}"/>
    <cellStyle name="20% - Accent6 12 3 2 5" xfId="19072" xr:uid="{00000000-0005-0000-0000-000058240000}"/>
    <cellStyle name="20% - Accent6 12 3 2_Exh G" xfId="2583" xr:uid="{00000000-0005-0000-0000-000059240000}"/>
    <cellStyle name="20% - Accent6 12 3 3" xfId="3970" xr:uid="{00000000-0005-0000-0000-00005A240000}"/>
    <cellStyle name="20% - Accent6 12 3 3 2" xfId="7562" xr:uid="{00000000-0005-0000-0000-00005B240000}"/>
    <cellStyle name="20% - Accent6 12 3 3 2 2" xfId="15533" xr:uid="{00000000-0005-0000-0000-00005C240000}"/>
    <cellStyle name="20% - Accent6 12 3 3 2 3" xfId="23479" xr:uid="{00000000-0005-0000-0000-00005D240000}"/>
    <cellStyle name="20% - Accent6 12 3 3 3" xfId="11995" xr:uid="{00000000-0005-0000-0000-00005E240000}"/>
    <cellStyle name="20% - Accent6 12 3 3 4" xfId="19950" xr:uid="{00000000-0005-0000-0000-00005F240000}"/>
    <cellStyle name="20% - Accent6 12 3 4" xfId="5790" xr:uid="{00000000-0005-0000-0000-000060240000}"/>
    <cellStyle name="20% - Accent6 12 3 4 2" xfId="13774" xr:uid="{00000000-0005-0000-0000-000061240000}"/>
    <cellStyle name="20% - Accent6 12 3 4 3" xfId="21722" xr:uid="{00000000-0005-0000-0000-000062240000}"/>
    <cellStyle name="20% - Accent6 12 3 5" xfId="9343" xr:uid="{00000000-0005-0000-0000-000063240000}"/>
    <cellStyle name="20% - Accent6 12 3 5 2" xfId="17301" xr:uid="{00000000-0005-0000-0000-000064240000}"/>
    <cellStyle name="20% - Accent6 12 3 5 3" xfId="25245" xr:uid="{00000000-0005-0000-0000-000065240000}"/>
    <cellStyle name="20% - Accent6 12 3 6" xfId="10239" xr:uid="{00000000-0005-0000-0000-000066240000}"/>
    <cellStyle name="20% - Accent6 12 3 7" xfId="18194" xr:uid="{00000000-0005-0000-0000-000067240000}"/>
    <cellStyle name="20% - Accent6 12 3_Exh G" xfId="2582" xr:uid="{00000000-0005-0000-0000-000068240000}"/>
    <cellStyle name="20% - Accent6 12 4" xfId="1316" xr:uid="{00000000-0005-0000-0000-000069240000}"/>
    <cellStyle name="20% - Accent6 12 4 2" xfId="4846" xr:uid="{00000000-0005-0000-0000-00006A240000}"/>
    <cellStyle name="20% - Accent6 12 4 2 2" xfId="8437" xr:uid="{00000000-0005-0000-0000-00006B240000}"/>
    <cellStyle name="20% - Accent6 12 4 2 2 2" xfId="16408" xr:uid="{00000000-0005-0000-0000-00006C240000}"/>
    <cellStyle name="20% - Accent6 12 4 2 2 3" xfId="24354" xr:uid="{00000000-0005-0000-0000-00006D240000}"/>
    <cellStyle name="20% - Accent6 12 4 2 3" xfId="12870" xr:uid="{00000000-0005-0000-0000-00006E240000}"/>
    <cellStyle name="20% - Accent6 12 4 2 4" xfId="20825" xr:uid="{00000000-0005-0000-0000-00006F240000}"/>
    <cellStyle name="20% - Accent6 12 4 3" xfId="6678" xr:uid="{00000000-0005-0000-0000-000070240000}"/>
    <cellStyle name="20% - Accent6 12 4 3 2" xfId="14650" xr:uid="{00000000-0005-0000-0000-000071240000}"/>
    <cellStyle name="20% - Accent6 12 4 3 3" xfId="22597" xr:uid="{00000000-0005-0000-0000-000072240000}"/>
    <cellStyle name="20% - Accent6 12 4 4" xfId="11114" xr:uid="{00000000-0005-0000-0000-000073240000}"/>
    <cellStyle name="20% - Accent6 12 4 5" xfId="19069" xr:uid="{00000000-0005-0000-0000-000074240000}"/>
    <cellStyle name="20% - Accent6 12 4_Exh G" xfId="2584" xr:uid="{00000000-0005-0000-0000-000075240000}"/>
    <cellStyle name="20% - Accent6 12 5" xfId="3967" xr:uid="{00000000-0005-0000-0000-000076240000}"/>
    <cellStyle name="20% - Accent6 12 5 2" xfId="7559" xr:uid="{00000000-0005-0000-0000-000077240000}"/>
    <cellStyle name="20% - Accent6 12 5 2 2" xfId="15530" xr:uid="{00000000-0005-0000-0000-000078240000}"/>
    <cellStyle name="20% - Accent6 12 5 2 3" xfId="23476" xr:uid="{00000000-0005-0000-0000-000079240000}"/>
    <cellStyle name="20% - Accent6 12 5 3" xfId="11992" xr:uid="{00000000-0005-0000-0000-00007A240000}"/>
    <cellStyle name="20% - Accent6 12 5 4" xfId="19947" xr:uid="{00000000-0005-0000-0000-00007B240000}"/>
    <cellStyle name="20% - Accent6 12 6" xfId="5787" xr:uid="{00000000-0005-0000-0000-00007C240000}"/>
    <cellStyle name="20% - Accent6 12 6 2" xfId="13771" xr:uid="{00000000-0005-0000-0000-00007D240000}"/>
    <cellStyle name="20% - Accent6 12 6 3" xfId="21719" xr:uid="{00000000-0005-0000-0000-00007E240000}"/>
    <cellStyle name="20% - Accent6 12 7" xfId="9340" xr:uid="{00000000-0005-0000-0000-00007F240000}"/>
    <cellStyle name="20% - Accent6 12 7 2" xfId="17298" xr:uid="{00000000-0005-0000-0000-000080240000}"/>
    <cellStyle name="20% - Accent6 12 7 3" xfId="25242" xr:uid="{00000000-0005-0000-0000-000081240000}"/>
    <cellStyle name="20% - Accent6 12 8" xfId="10236" xr:uid="{00000000-0005-0000-0000-000082240000}"/>
    <cellStyle name="20% - Accent6 12 9" xfId="18191" xr:uid="{00000000-0005-0000-0000-000083240000}"/>
    <cellStyle name="20% - Accent6 12_Exh G" xfId="2577" xr:uid="{00000000-0005-0000-0000-000084240000}"/>
    <cellStyle name="20% - Accent6 13" xfId="292" xr:uid="{00000000-0005-0000-0000-000085240000}"/>
    <cellStyle name="20% - Accent6 13 2" xfId="293" xr:uid="{00000000-0005-0000-0000-000086240000}"/>
    <cellStyle name="20% - Accent6 13 2 2" xfId="294" xr:uid="{00000000-0005-0000-0000-000087240000}"/>
    <cellStyle name="20% - Accent6 13 2 2 2" xfId="1322" xr:uid="{00000000-0005-0000-0000-000088240000}"/>
    <cellStyle name="20% - Accent6 13 2 2 2 2" xfId="4852" xr:uid="{00000000-0005-0000-0000-000089240000}"/>
    <cellStyle name="20% - Accent6 13 2 2 2 2 2" xfId="8443" xr:uid="{00000000-0005-0000-0000-00008A240000}"/>
    <cellStyle name="20% - Accent6 13 2 2 2 2 2 2" xfId="16414" xr:uid="{00000000-0005-0000-0000-00008B240000}"/>
    <cellStyle name="20% - Accent6 13 2 2 2 2 2 3" xfId="24360" xr:uid="{00000000-0005-0000-0000-00008C240000}"/>
    <cellStyle name="20% - Accent6 13 2 2 2 2 3" xfId="12876" xr:uid="{00000000-0005-0000-0000-00008D240000}"/>
    <cellStyle name="20% - Accent6 13 2 2 2 2 4" xfId="20831" xr:uid="{00000000-0005-0000-0000-00008E240000}"/>
    <cellStyle name="20% - Accent6 13 2 2 2 3" xfId="6684" xr:uid="{00000000-0005-0000-0000-00008F240000}"/>
    <cellStyle name="20% - Accent6 13 2 2 2 3 2" xfId="14656" xr:uid="{00000000-0005-0000-0000-000090240000}"/>
    <cellStyle name="20% - Accent6 13 2 2 2 3 3" xfId="22603" xr:uid="{00000000-0005-0000-0000-000091240000}"/>
    <cellStyle name="20% - Accent6 13 2 2 2 4" xfId="11120" xr:uid="{00000000-0005-0000-0000-000092240000}"/>
    <cellStyle name="20% - Accent6 13 2 2 2 5" xfId="19075" xr:uid="{00000000-0005-0000-0000-000093240000}"/>
    <cellStyle name="20% - Accent6 13 2 2 2_Exh G" xfId="2588" xr:uid="{00000000-0005-0000-0000-000094240000}"/>
    <cellStyle name="20% - Accent6 13 2 2 3" xfId="3973" xr:uid="{00000000-0005-0000-0000-000095240000}"/>
    <cellStyle name="20% - Accent6 13 2 2 3 2" xfId="7565" xr:uid="{00000000-0005-0000-0000-000096240000}"/>
    <cellStyle name="20% - Accent6 13 2 2 3 2 2" xfId="15536" xr:uid="{00000000-0005-0000-0000-000097240000}"/>
    <cellStyle name="20% - Accent6 13 2 2 3 2 3" xfId="23482" xr:uid="{00000000-0005-0000-0000-000098240000}"/>
    <cellStyle name="20% - Accent6 13 2 2 3 3" xfId="11998" xr:uid="{00000000-0005-0000-0000-000099240000}"/>
    <cellStyle name="20% - Accent6 13 2 2 3 4" xfId="19953" xr:uid="{00000000-0005-0000-0000-00009A240000}"/>
    <cellStyle name="20% - Accent6 13 2 2 4" xfId="5793" xr:uid="{00000000-0005-0000-0000-00009B240000}"/>
    <cellStyle name="20% - Accent6 13 2 2 4 2" xfId="13777" xr:uid="{00000000-0005-0000-0000-00009C240000}"/>
    <cellStyle name="20% - Accent6 13 2 2 4 3" xfId="21725" xr:uid="{00000000-0005-0000-0000-00009D240000}"/>
    <cellStyle name="20% - Accent6 13 2 2 5" xfId="9346" xr:uid="{00000000-0005-0000-0000-00009E240000}"/>
    <cellStyle name="20% - Accent6 13 2 2 5 2" xfId="17304" xr:uid="{00000000-0005-0000-0000-00009F240000}"/>
    <cellStyle name="20% - Accent6 13 2 2 5 3" xfId="25248" xr:uid="{00000000-0005-0000-0000-0000A0240000}"/>
    <cellStyle name="20% - Accent6 13 2 2 6" xfId="10242" xr:uid="{00000000-0005-0000-0000-0000A1240000}"/>
    <cellStyle name="20% - Accent6 13 2 2 7" xfId="18197" xr:uid="{00000000-0005-0000-0000-0000A2240000}"/>
    <cellStyle name="20% - Accent6 13 2 2_Exh G" xfId="2587" xr:uid="{00000000-0005-0000-0000-0000A3240000}"/>
    <cellStyle name="20% - Accent6 13 2 3" xfId="1321" xr:uid="{00000000-0005-0000-0000-0000A4240000}"/>
    <cellStyle name="20% - Accent6 13 2 3 2" xfId="4851" xr:uid="{00000000-0005-0000-0000-0000A5240000}"/>
    <cellStyle name="20% - Accent6 13 2 3 2 2" xfId="8442" xr:uid="{00000000-0005-0000-0000-0000A6240000}"/>
    <cellStyle name="20% - Accent6 13 2 3 2 2 2" xfId="16413" xr:uid="{00000000-0005-0000-0000-0000A7240000}"/>
    <cellStyle name="20% - Accent6 13 2 3 2 2 3" xfId="24359" xr:uid="{00000000-0005-0000-0000-0000A8240000}"/>
    <cellStyle name="20% - Accent6 13 2 3 2 3" xfId="12875" xr:uid="{00000000-0005-0000-0000-0000A9240000}"/>
    <cellStyle name="20% - Accent6 13 2 3 2 4" xfId="20830" xr:uid="{00000000-0005-0000-0000-0000AA240000}"/>
    <cellStyle name="20% - Accent6 13 2 3 3" xfId="6683" xr:uid="{00000000-0005-0000-0000-0000AB240000}"/>
    <cellStyle name="20% - Accent6 13 2 3 3 2" xfId="14655" xr:uid="{00000000-0005-0000-0000-0000AC240000}"/>
    <cellStyle name="20% - Accent6 13 2 3 3 3" xfId="22602" xr:uid="{00000000-0005-0000-0000-0000AD240000}"/>
    <cellStyle name="20% - Accent6 13 2 3 4" xfId="11119" xr:uid="{00000000-0005-0000-0000-0000AE240000}"/>
    <cellStyle name="20% - Accent6 13 2 3 5" xfId="19074" xr:uid="{00000000-0005-0000-0000-0000AF240000}"/>
    <cellStyle name="20% - Accent6 13 2 3_Exh G" xfId="2589" xr:uid="{00000000-0005-0000-0000-0000B0240000}"/>
    <cellStyle name="20% - Accent6 13 2 4" xfId="3972" xr:uid="{00000000-0005-0000-0000-0000B1240000}"/>
    <cellStyle name="20% - Accent6 13 2 4 2" xfId="7564" xr:uid="{00000000-0005-0000-0000-0000B2240000}"/>
    <cellStyle name="20% - Accent6 13 2 4 2 2" xfId="15535" xr:uid="{00000000-0005-0000-0000-0000B3240000}"/>
    <cellStyle name="20% - Accent6 13 2 4 2 3" xfId="23481" xr:uid="{00000000-0005-0000-0000-0000B4240000}"/>
    <cellStyle name="20% - Accent6 13 2 4 3" xfId="11997" xr:uid="{00000000-0005-0000-0000-0000B5240000}"/>
    <cellStyle name="20% - Accent6 13 2 4 4" xfId="19952" xr:uid="{00000000-0005-0000-0000-0000B6240000}"/>
    <cellStyle name="20% - Accent6 13 2 5" xfId="5792" xr:uid="{00000000-0005-0000-0000-0000B7240000}"/>
    <cellStyle name="20% - Accent6 13 2 5 2" xfId="13776" xr:uid="{00000000-0005-0000-0000-0000B8240000}"/>
    <cellStyle name="20% - Accent6 13 2 5 3" xfId="21724" xr:uid="{00000000-0005-0000-0000-0000B9240000}"/>
    <cellStyle name="20% - Accent6 13 2 6" xfId="9345" xr:uid="{00000000-0005-0000-0000-0000BA240000}"/>
    <cellStyle name="20% - Accent6 13 2 6 2" xfId="17303" xr:uid="{00000000-0005-0000-0000-0000BB240000}"/>
    <cellStyle name="20% - Accent6 13 2 6 3" xfId="25247" xr:uid="{00000000-0005-0000-0000-0000BC240000}"/>
    <cellStyle name="20% - Accent6 13 2 7" xfId="10241" xr:uid="{00000000-0005-0000-0000-0000BD240000}"/>
    <cellStyle name="20% - Accent6 13 2 8" xfId="18196" xr:uid="{00000000-0005-0000-0000-0000BE240000}"/>
    <cellStyle name="20% - Accent6 13 2_Exh G" xfId="2586" xr:uid="{00000000-0005-0000-0000-0000BF240000}"/>
    <cellStyle name="20% - Accent6 13 3" xfId="295" xr:uid="{00000000-0005-0000-0000-0000C0240000}"/>
    <cellStyle name="20% - Accent6 13 3 2" xfId="1323" xr:uid="{00000000-0005-0000-0000-0000C1240000}"/>
    <cellStyle name="20% - Accent6 13 3 2 2" xfId="4853" xr:uid="{00000000-0005-0000-0000-0000C2240000}"/>
    <cellStyle name="20% - Accent6 13 3 2 2 2" xfId="8444" xr:uid="{00000000-0005-0000-0000-0000C3240000}"/>
    <cellStyle name="20% - Accent6 13 3 2 2 2 2" xfId="16415" xr:uid="{00000000-0005-0000-0000-0000C4240000}"/>
    <cellStyle name="20% - Accent6 13 3 2 2 2 3" xfId="24361" xr:uid="{00000000-0005-0000-0000-0000C5240000}"/>
    <cellStyle name="20% - Accent6 13 3 2 2 3" xfId="12877" xr:uid="{00000000-0005-0000-0000-0000C6240000}"/>
    <cellStyle name="20% - Accent6 13 3 2 2 4" xfId="20832" xr:uid="{00000000-0005-0000-0000-0000C7240000}"/>
    <cellStyle name="20% - Accent6 13 3 2 3" xfId="6685" xr:uid="{00000000-0005-0000-0000-0000C8240000}"/>
    <cellStyle name="20% - Accent6 13 3 2 3 2" xfId="14657" xr:uid="{00000000-0005-0000-0000-0000C9240000}"/>
    <cellStyle name="20% - Accent6 13 3 2 3 3" xfId="22604" xr:uid="{00000000-0005-0000-0000-0000CA240000}"/>
    <cellStyle name="20% - Accent6 13 3 2 4" xfId="11121" xr:uid="{00000000-0005-0000-0000-0000CB240000}"/>
    <cellStyle name="20% - Accent6 13 3 2 5" xfId="19076" xr:uid="{00000000-0005-0000-0000-0000CC240000}"/>
    <cellStyle name="20% - Accent6 13 3 2_Exh G" xfId="2591" xr:uid="{00000000-0005-0000-0000-0000CD240000}"/>
    <cellStyle name="20% - Accent6 13 3 3" xfId="3974" xr:uid="{00000000-0005-0000-0000-0000CE240000}"/>
    <cellStyle name="20% - Accent6 13 3 3 2" xfId="7566" xr:uid="{00000000-0005-0000-0000-0000CF240000}"/>
    <cellStyle name="20% - Accent6 13 3 3 2 2" xfId="15537" xr:uid="{00000000-0005-0000-0000-0000D0240000}"/>
    <cellStyle name="20% - Accent6 13 3 3 2 3" xfId="23483" xr:uid="{00000000-0005-0000-0000-0000D1240000}"/>
    <cellStyle name="20% - Accent6 13 3 3 3" xfId="11999" xr:uid="{00000000-0005-0000-0000-0000D2240000}"/>
    <cellStyle name="20% - Accent6 13 3 3 4" xfId="19954" xr:uid="{00000000-0005-0000-0000-0000D3240000}"/>
    <cellStyle name="20% - Accent6 13 3 4" xfId="5794" xr:uid="{00000000-0005-0000-0000-0000D4240000}"/>
    <cellStyle name="20% - Accent6 13 3 4 2" xfId="13778" xr:uid="{00000000-0005-0000-0000-0000D5240000}"/>
    <cellStyle name="20% - Accent6 13 3 4 3" xfId="21726" xr:uid="{00000000-0005-0000-0000-0000D6240000}"/>
    <cellStyle name="20% - Accent6 13 3 5" xfId="9347" xr:uid="{00000000-0005-0000-0000-0000D7240000}"/>
    <cellStyle name="20% - Accent6 13 3 5 2" xfId="17305" xr:uid="{00000000-0005-0000-0000-0000D8240000}"/>
    <cellStyle name="20% - Accent6 13 3 5 3" xfId="25249" xr:uid="{00000000-0005-0000-0000-0000D9240000}"/>
    <cellStyle name="20% - Accent6 13 3 6" xfId="10243" xr:uid="{00000000-0005-0000-0000-0000DA240000}"/>
    <cellStyle name="20% - Accent6 13 3 7" xfId="18198" xr:uid="{00000000-0005-0000-0000-0000DB240000}"/>
    <cellStyle name="20% - Accent6 13 3_Exh G" xfId="2590" xr:uid="{00000000-0005-0000-0000-0000DC240000}"/>
    <cellStyle name="20% - Accent6 13 4" xfId="1320" xr:uid="{00000000-0005-0000-0000-0000DD240000}"/>
    <cellStyle name="20% - Accent6 13 4 2" xfId="4850" xr:uid="{00000000-0005-0000-0000-0000DE240000}"/>
    <cellStyle name="20% - Accent6 13 4 2 2" xfId="8441" xr:uid="{00000000-0005-0000-0000-0000DF240000}"/>
    <cellStyle name="20% - Accent6 13 4 2 2 2" xfId="16412" xr:uid="{00000000-0005-0000-0000-0000E0240000}"/>
    <cellStyle name="20% - Accent6 13 4 2 2 3" xfId="24358" xr:uid="{00000000-0005-0000-0000-0000E1240000}"/>
    <cellStyle name="20% - Accent6 13 4 2 3" xfId="12874" xr:uid="{00000000-0005-0000-0000-0000E2240000}"/>
    <cellStyle name="20% - Accent6 13 4 2 4" xfId="20829" xr:uid="{00000000-0005-0000-0000-0000E3240000}"/>
    <cellStyle name="20% - Accent6 13 4 3" xfId="6682" xr:uid="{00000000-0005-0000-0000-0000E4240000}"/>
    <cellStyle name="20% - Accent6 13 4 3 2" xfId="14654" xr:uid="{00000000-0005-0000-0000-0000E5240000}"/>
    <cellStyle name="20% - Accent6 13 4 3 3" xfId="22601" xr:uid="{00000000-0005-0000-0000-0000E6240000}"/>
    <cellStyle name="20% - Accent6 13 4 4" xfId="11118" xr:uid="{00000000-0005-0000-0000-0000E7240000}"/>
    <cellStyle name="20% - Accent6 13 4 5" xfId="19073" xr:uid="{00000000-0005-0000-0000-0000E8240000}"/>
    <cellStyle name="20% - Accent6 13 4_Exh G" xfId="2592" xr:uid="{00000000-0005-0000-0000-0000E9240000}"/>
    <cellStyle name="20% - Accent6 13 5" xfId="3971" xr:uid="{00000000-0005-0000-0000-0000EA240000}"/>
    <cellStyle name="20% - Accent6 13 5 2" xfId="7563" xr:uid="{00000000-0005-0000-0000-0000EB240000}"/>
    <cellStyle name="20% - Accent6 13 5 2 2" xfId="15534" xr:uid="{00000000-0005-0000-0000-0000EC240000}"/>
    <cellStyle name="20% - Accent6 13 5 2 3" xfId="23480" xr:uid="{00000000-0005-0000-0000-0000ED240000}"/>
    <cellStyle name="20% - Accent6 13 5 3" xfId="11996" xr:uid="{00000000-0005-0000-0000-0000EE240000}"/>
    <cellStyle name="20% - Accent6 13 5 4" xfId="19951" xr:uid="{00000000-0005-0000-0000-0000EF240000}"/>
    <cellStyle name="20% - Accent6 13 6" xfId="5791" xr:uid="{00000000-0005-0000-0000-0000F0240000}"/>
    <cellStyle name="20% - Accent6 13 6 2" xfId="13775" xr:uid="{00000000-0005-0000-0000-0000F1240000}"/>
    <cellStyle name="20% - Accent6 13 6 3" xfId="21723" xr:uid="{00000000-0005-0000-0000-0000F2240000}"/>
    <cellStyle name="20% - Accent6 13 7" xfId="9344" xr:uid="{00000000-0005-0000-0000-0000F3240000}"/>
    <cellStyle name="20% - Accent6 13 7 2" xfId="17302" xr:uid="{00000000-0005-0000-0000-0000F4240000}"/>
    <cellStyle name="20% - Accent6 13 7 3" xfId="25246" xr:uid="{00000000-0005-0000-0000-0000F5240000}"/>
    <cellStyle name="20% - Accent6 13 8" xfId="10240" xr:uid="{00000000-0005-0000-0000-0000F6240000}"/>
    <cellStyle name="20% - Accent6 13 9" xfId="18195" xr:uid="{00000000-0005-0000-0000-0000F7240000}"/>
    <cellStyle name="20% - Accent6 13_Exh G" xfId="2585" xr:uid="{00000000-0005-0000-0000-0000F8240000}"/>
    <cellStyle name="20% - Accent6 14" xfId="296" xr:uid="{00000000-0005-0000-0000-0000F9240000}"/>
    <cellStyle name="20% - Accent6 14 2" xfId="297" xr:uid="{00000000-0005-0000-0000-0000FA240000}"/>
    <cellStyle name="20% - Accent6 14 2 2" xfId="1325" xr:uid="{00000000-0005-0000-0000-0000FB240000}"/>
    <cellStyle name="20% - Accent6 14 2 2 2" xfId="4855" xr:uid="{00000000-0005-0000-0000-0000FC240000}"/>
    <cellStyle name="20% - Accent6 14 2 2 2 2" xfId="8446" xr:uid="{00000000-0005-0000-0000-0000FD240000}"/>
    <cellStyle name="20% - Accent6 14 2 2 2 2 2" xfId="16417" xr:uid="{00000000-0005-0000-0000-0000FE240000}"/>
    <cellStyle name="20% - Accent6 14 2 2 2 2 3" xfId="24363" xr:uid="{00000000-0005-0000-0000-0000FF240000}"/>
    <cellStyle name="20% - Accent6 14 2 2 2 3" xfId="12879" xr:uid="{00000000-0005-0000-0000-000000250000}"/>
    <cellStyle name="20% - Accent6 14 2 2 2 4" xfId="20834" xr:uid="{00000000-0005-0000-0000-000001250000}"/>
    <cellStyle name="20% - Accent6 14 2 2 3" xfId="6687" xr:uid="{00000000-0005-0000-0000-000002250000}"/>
    <cellStyle name="20% - Accent6 14 2 2 3 2" xfId="14659" xr:uid="{00000000-0005-0000-0000-000003250000}"/>
    <cellStyle name="20% - Accent6 14 2 2 3 3" xfId="22606" xr:uid="{00000000-0005-0000-0000-000004250000}"/>
    <cellStyle name="20% - Accent6 14 2 2 4" xfId="11123" xr:uid="{00000000-0005-0000-0000-000005250000}"/>
    <cellStyle name="20% - Accent6 14 2 2 5" xfId="19078" xr:uid="{00000000-0005-0000-0000-000006250000}"/>
    <cellStyle name="20% - Accent6 14 2 2_Exh G" xfId="2595" xr:uid="{00000000-0005-0000-0000-000007250000}"/>
    <cellStyle name="20% - Accent6 14 2 3" xfId="3976" xr:uid="{00000000-0005-0000-0000-000008250000}"/>
    <cellStyle name="20% - Accent6 14 2 3 2" xfId="7568" xr:uid="{00000000-0005-0000-0000-000009250000}"/>
    <cellStyle name="20% - Accent6 14 2 3 2 2" xfId="15539" xr:uid="{00000000-0005-0000-0000-00000A250000}"/>
    <cellStyle name="20% - Accent6 14 2 3 2 3" xfId="23485" xr:uid="{00000000-0005-0000-0000-00000B250000}"/>
    <cellStyle name="20% - Accent6 14 2 3 3" xfId="12001" xr:uid="{00000000-0005-0000-0000-00000C250000}"/>
    <cellStyle name="20% - Accent6 14 2 3 4" xfId="19956" xr:uid="{00000000-0005-0000-0000-00000D250000}"/>
    <cellStyle name="20% - Accent6 14 2 4" xfId="5796" xr:uid="{00000000-0005-0000-0000-00000E250000}"/>
    <cellStyle name="20% - Accent6 14 2 4 2" xfId="13780" xr:uid="{00000000-0005-0000-0000-00000F250000}"/>
    <cellStyle name="20% - Accent6 14 2 4 3" xfId="21728" xr:uid="{00000000-0005-0000-0000-000010250000}"/>
    <cellStyle name="20% - Accent6 14 2 5" xfId="9349" xr:uid="{00000000-0005-0000-0000-000011250000}"/>
    <cellStyle name="20% - Accent6 14 2 5 2" xfId="17307" xr:uid="{00000000-0005-0000-0000-000012250000}"/>
    <cellStyle name="20% - Accent6 14 2 5 3" xfId="25251" xr:uid="{00000000-0005-0000-0000-000013250000}"/>
    <cellStyle name="20% - Accent6 14 2 6" xfId="10245" xr:uid="{00000000-0005-0000-0000-000014250000}"/>
    <cellStyle name="20% - Accent6 14 2 7" xfId="18200" xr:uid="{00000000-0005-0000-0000-000015250000}"/>
    <cellStyle name="20% - Accent6 14 2_Exh G" xfId="2594" xr:uid="{00000000-0005-0000-0000-000016250000}"/>
    <cellStyle name="20% - Accent6 14 3" xfId="1324" xr:uid="{00000000-0005-0000-0000-000017250000}"/>
    <cellStyle name="20% - Accent6 14 3 2" xfId="4854" xr:uid="{00000000-0005-0000-0000-000018250000}"/>
    <cellStyle name="20% - Accent6 14 3 2 2" xfId="8445" xr:uid="{00000000-0005-0000-0000-000019250000}"/>
    <cellStyle name="20% - Accent6 14 3 2 2 2" xfId="16416" xr:uid="{00000000-0005-0000-0000-00001A250000}"/>
    <cellStyle name="20% - Accent6 14 3 2 2 3" xfId="24362" xr:uid="{00000000-0005-0000-0000-00001B250000}"/>
    <cellStyle name="20% - Accent6 14 3 2 3" xfId="12878" xr:uid="{00000000-0005-0000-0000-00001C250000}"/>
    <cellStyle name="20% - Accent6 14 3 2 4" xfId="20833" xr:uid="{00000000-0005-0000-0000-00001D250000}"/>
    <cellStyle name="20% - Accent6 14 3 3" xfId="6686" xr:uid="{00000000-0005-0000-0000-00001E250000}"/>
    <cellStyle name="20% - Accent6 14 3 3 2" xfId="14658" xr:uid="{00000000-0005-0000-0000-00001F250000}"/>
    <cellStyle name="20% - Accent6 14 3 3 3" xfId="22605" xr:uid="{00000000-0005-0000-0000-000020250000}"/>
    <cellStyle name="20% - Accent6 14 3 4" xfId="11122" xr:uid="{00000000-0005-0000-0000-000021250000}"/>
    <cellStyle name="20% - Accent6 14 3 5" xfId="19077" xr:uid="{00000000-0005-0000-0000-000022250000}"/>
    <cellStyle name="20% - Accent6 14 3_Exh G" xfId="2596" xr:uid="{00000000-0005-0000-0000-000023250000}"/>
    <cellStyle name="20% - Accent6 14 4" xfId="3975" xr:uid="{00000000-0005-0000-0000-000024250000}"/>
    <cellStyle name="20% - Accent6 14 4 2" xfId="7567" xr:uid="{00000000-0005-0000-0000-000025250000}"/>
    <cellStyle name="20% - Accent6 14 4 2 2" xfId="15538" xr:uid="{00000000-0005-0000-0000-000026250000}"/>
    <cellStyle name="20% - Accent6 14 4 2 3" xfId="23484" xr:uid="{00000000-0005-0000-0000-000027250000}"/>
    <cellStyle name="20% - Accent6 14 4 3" xfId="12000" xr:uid="{00000000-0005-0000-0000-000028250000}"/>
    <cellStyle name="20% - Accent6 14 4 4" xfId="19955" xr:uid="{00000000-0005-0000-0000-000029250000}"/>
    <cellStyle name="20% - Accent6 14 5" xfId="5795" xr:uid="{00000000-0005-0000-0000-00002A250000}"/>
    <cellStyle name="20% - Accent6 14 5 2" xfId="13779" xr:uid="{00000000-0005-0000-0000-00002B250000}"/>
    <cellStyle name="20% - Accent6 14 5 3" xfId="21727" xr:uid="{00000000-0005-0000-0000-00002C250000}"/>
    <cellStyle name="20% - Accent6 14 6" xfId="9348" xr:uid="{00000000-0005-0000-0000-00002D250000}"/>
    <cellStyle name="20% - Accent6 14 6 2" xfId="17306" xr:uid="{00000000-0005-0000-0000-00002E250000}"/>
    <cellStyle name="20% - Accent6 14 6 3" xfId="25250" xr:uid="{00000000-0005-0000-0000-00002F250000}"/>
    <cellStyle name="20% - Accent6 14 7" xfId="10244" xr:uid="{00000000-0005-0000-0000-000030250000}"/>
    <cellStyle name="20% - Accent6 14 8" xfId="18199" xr:uid="{00000000-0005-0000-0000-000031250000}"/>
    <cellStyle name="20% - Accent6 14_Exh G" xfId="2593" xr:uid="{00000000-0005-0000-0000-000032250000}"/>
    <cellStyle name="20% - Accent6 15" xfId="298" xr:uid="{00000000-0005-0000-0000-000033250000}"/>
    <cellStyle name="20% - Accent6 15 2" xfId="1326" xr:uid="{00000000-0005-0000-0000-000034250000}"/>
    <cellStyle name="20% - Accent6 15 2 2" xfId="4856" xr:uid="{00000000-0005-0000-0000-000035250000}"/>
    <cellStyle name="20% - Accent6 15 2 2 2" xfId="8447" xr:uid="{00000000-0005-0000-0000-000036250000}"/>
    <cellStyle name="20% - Accent6 15 2 2 2 2" xfId="16418" xr:uid="{00000000-0005-0000-0000-000037250000}"/>
    <cellStyle name="20% - Accent6 15 2 2 2 3" xfId="24364" xr:uid="{00000000-0005-0000-0000-000038250000}"/>
    <cellStyle name="20% - Accent6 15 2 2 3" xfId="12880" xr:uid="{00000000-0005-0000-0000-000039250000}"/>
    <cellStyle name="20% - Accent6 15 2 2 4" xfId="20835" xr:uid="{00000000-0005-0000-0000-00003A250000}"/>
    <cellStyle name="20% - Accent6 15 2 3" xfId="6688" xr:uid="{00000000-0005-0000-0000-00003B250000}"/>
    <cellStyle name="20% - Accent6 15 2 3 2" xfId="14660" xr:uid="{00000000-0005-0000-0000-00003C250000}"/>
    <cellStyle name="20% - Accent6 15 2 3 3" xfId="22607" xr:uid="{00000000-0005-0000-0000-00003D250000}"/>
    <cellStyle name="20% - Accent6 15 2 4" xfId="11124" xr:uid="{00000000-0005-0000-0000-00003E250000}"/>
    <cellStyle name="20% - Accent6 15 2 5" xfId="19079" xr:uid="{00000000-0005-0000-0000-00003F250000}"/>
    <cellStyle name="20% - Accent6 15 2_Exh G" xfId="2598" xr:uid="{00000000-0005-0000-0000-000040250000}"/>
    <cellStyle name="20% - Accent6 15 3" xfId="3977" xr:uid="{00000000-0005-0000-0000-000041250000}"/>
    <cellStyle name="20% - Accent6 15 3 2" xfId="7569" xr:uid="{00000000-0005-0000-0000-000042250000}"/>
    <cellStyle name="20% - Accent6 15 3 2 2" xfId="15540" xr:uid="{00000000-0005-0000-0000-000043250000}"/>
    <cellStyle name="20% - Accent6 15 3 2 3" xfId="23486" xr:uid="{00000000-0005-0000-0000-000044250000}"/>
    <cellStyle name="20% - Accent6 15 3 3" xfId="12002" xr:uid="{00000000-0005-0000-0000-000045250000}"/>
    <cellStyle name="20% - Accent6 15 3 4" xfId="19957" xr:uid="{00000000-0005-0000-0000-000046250000}"/>
    <cellStyle name="20% - Accent6 15 4" xfId="5797" xr:uid="{00000000-0005-0000-0000-000047250000}"/>
    <cellStyle name="20% - Accent6 15 4 2" xfId="13781" xr:uid="{00000000-0005-0000-0000-000048250000}"/>
    <cellStyle name="20% - Accent6 15 4 3" xfId="21729" xr:uid="{00000000-0005-0000-0000-000049250000}"/>
    <cellStyle name="20% - Accent6 15 5" xfId="9350" xr:uid="{00000000-0005-0000-0000-00004A250000}"/>
    <cellStyle name="20% - Accent6 15 5 2" xfId="17308" xr:uid="{00000000-0005-0000-0000-00004B250000}"/>
    <cellStyle name="20% - Accent6 15 5 3" xfId="25252" xr:uid="{00000000-0005-0000-0000-00004C250000}"/>
    <cellStyle name="20% - Accent6 15 6" xfId="10246" xr:uid="{00000000-0005-0000-0000-00004D250000}"/>
    <cellStyle name="20% - Accent6 15 7" xfId="18201" xr:uid="{00000000-0005-0000-0000-00004E250000}"/>
    <cellStyle name="20% - Accent6 15_Exh G" xfId="2597" xr:uid="{00000000-0005-0000-0000-00004F250000}"/>
    <cellStyle name="20% - Accent6 16" xfId="848" xr:uid="{00000000-0005-0000-0000-000050250000}"/>
    <cellStyle name="20% - Accent6 16 2" xfId="1787" xr:uid="{00000000-0005-0000-0000-000051250000}"/>
    <cellStyle name="20% - Accent6 16 2 2" xfId="5308" xr:uid="{00000000-0005-0000-0000-000052250000}"/>
    <cellStyle name="20% - Accent6 16 2 2 2" xfId="8899" xr:uid="{00000000-0005-0000-0000-000053250000}"/>
    <cellStyle name="20% - Accent6 16 2 2 2 2" xfId="16870" xr:uid="{00000000-0005-0000-0000-000054250000}"/>
    <cellStyle name="20% - Accent6 16 2 2 2 3" xfId="24816" xr:uid="{00000000-0005-0000-0000-000055250000}"/>
    <cellStyle name="20% - Accent6 16 2 2 3" xfId="13332" xr:uid="{00000000-0005-0000-0000-000056250000}"/>
    <cellStyle name="20% - Accent6 16 2 2 4" xfId="21287" xr:uid="{00000000-0005-0000-0000-000057250000}"/>
    <cellStyle name="20% - Accent6 16 2 3" xfId="7140" xr:uid="{00000000-0005-0000-0000-000058250000}"/>
    <cellStyle name="20% - Accent6 16 2 3 2" xfId="15112" xr:uid="{00000000-0005-0000-0000-000059250000}"/>
    <cellStyle name="20% - Accent6 16 2 3 3" xfId="23059" xr:uid="{00000000-0005-0000-0000-00005A250000}"/>
    <cellStyle name="20% - Accent6 16 2 4" xfId="11576" xr:uid="{00000000-0005-0000-0000-00005B250000}"/>
    <cellStyle name="20% - Accent6 16 2 5" xfId="19531" xr:uid="{00000000-0005-0000-0000-00005C250000}"/>
    <cellStyle name="20% - Accent6 16 2_Exh G" xfId="2600" xr:uid="{00000000-0005-0000-0000-00005D250000}"/>
    <cellStyle name="20% - Accent6 16 3" xfId="4429" xr:uid="{00000000-0005-0000-0000-00005E250000}"/>
    <cellStyle name="20% - Accent6 16 3 2" xfId="8021" xr:uid="{00000000-0005-0000-0000-00005F250000}"/>
    <cellStyle name="20% - Accent6 16 3 2 2" xfId="15992" xr:uid="{00000000-0005-0000-0000-000060250000}"/>
    <cellStyle name="20% - Accent6 16 3 2 3" xfId="23938" xr:uid="{00000000-0005-0000-0000-000061250000}"/>
    <cellStyle name="20% - Accent6 16 3 3" xfId="12454" xr:uid="{00000000-0005-0000-0000-000062250000}"/>
    <cellStyle name="20% - Accent6 16 3 4" xfId="20409" xr:uid="{00000000-0005-0000-0000-000063250000}"/>
    <cellStyle name="20% - Accent6 16 4" xfId="6259" xr:uid="{00000000-0005-0000-0000-000064250000}"/>
    <cellStyle name="20% - Accent6 16 4 2" xfId="14234" xr:uid="{00000000-0005-0000-0000-000065250000}"/>
    <cellStyle name="20% - Accent6 16 4 3" xfId="22181" xr:uid="{00000000-0005-0000-0000-000066250000}"/>
    <cellStyle name="20% - Accent6 16 5" xfId="9802" xr:uid="{00000000-0005-0000-0000-000067250000}"/>
    <cellStyle name="20% - Accent6 16 5 2" xfId="17760" xr:uid="{00000000-0005-0000-0000-000068250000}"/>
    <cellStyle name="20% - Accent6 16 5 3" xfId="25704" xr:uid="{00000000-0005-0000-0000-000069250000}"/>
    <cellStyle name="20% - Accent6 16 6" xfId="10698" xr:uid="{00000000-0005-0000-0000-00006A250000}"/>
    <cellStyle name="20% - Accent6 16 7" xfId="18653" xr:uid="{00000000-0005-0000-0000-00006B250000}"/>
    <cellStyle name="20% - Accent6 16_Exh G" xfId="2599" xr:uid="{00000000-0005-0000-0000-00006C250000}"/>
    <cellStyle name="20% - Accent6 2" xfId="299" xr:uid="{00000000-0005-0000-0000-00006D250000}"/>
    <cellStyle name="20% - Accent6 2 10" xfId="18202" xr:uid="{00000000-0005-0000-0000-00006E250000}"/>
    <cellStyle name="20% - Accent6 2 2" xfId="300" xr:uid="{00000000-0005-0000-0000-00006F250000}"/>
    <cellStyle name="20% - Accent6 2 2 2" xfId="301" xr:uid="{00000000-0005-0000-0000-000070250000}"/>
    <cellStyle name="20% - Accent6 2 2 2 2" xfId="1329" xr:uid="{00000000-0005-0000-0000-000071250000}"/>
    <cellStyle name="20% - Accent6 2 2 2 2 2" xfId="4859" xr:uid="{00000000-0005-0000-0000-000072250000}"/>
    <cellStyle name="20% - Accent6 2 2 2 2 2 2" xfId="8450" xr:uid="{00000000-0005-0000-0000-000073250000}"/>
    <cellStyle name="20% - Accent6 2 2 2 2 2 2 2" xfId="16421" xr:uid="{00000000-0005-0000-0000-000074250000}"/>
    <cellStyle name="20% - Accent6 2 2 2 2 2 2 3" xfId="24367" xr:uid="{00000000-0005-0000-0000-000075250000}"/>
    <cellStyle name="20% - Accent6 2 2 2 2 2 3" xfId="12883" xr:uid="{00000000-0005-0000-0000-000076250000}"/>
    <cellStyle name="20% - Accent6 2 2 2 2 2 4" xfId="20838" xr:uid="{00000000-0005-0000-0000-000077250000}"/>
    <cellStyle name="20% - Accent6 2 2 2 2 3" xfId="6691" xr:uid="{00000000-0005-0000-0000-000078250000}"/>
    <cellStyle name="20% - Accent6 2 2 2 2 3 2" xfId="14663" xr:uid="{00000000-0005-0000-0000-000079250000}"/>
    <cellStyle name="20% - Accent6 2 2 2 2 3 3" xfId="22610" xr:uid="{00000000-0005-0000-0000-00007A250000}"/>
    <cellStyle name="20% - Accent6 2 2 2 2 4" xfId="11127" xr:uid="{00000000-0005-0000-0000-00007B250000}"/>
    <cellStyle name="20% - Accent6 2 2 2 2 5" xfId="19082" xr:uid="{00000000-0005-0000-0000-00007C250000}"/>
    <cellStyle name="20% - Accent6 2 2 2 2_Exh G" xfId="2604" xr:uid="{00000000-0005-0000-0000-00007D250000}"/>
    <cellStyle name="20% - Accent6 2 2 2 3" xfId="3980" xr:uid="{00000000-0005-0000-0000-00007E250000}"/>
    <cellStyle name="20% - Accent6 2 2 2 3 2" xfId="7572" xr:uid="{00000000-0005-0000-0000-00007F250000}"/>
    <cellStyle name="20% - Accent6 2 2 2 3 2 2" xfId="15543" xr:uid="{00000000-0005-0000-0000-000080250000}"/>
    <cellStyle name="20% - Accent6 2 2 2 3 2 3" xfId="23489" xr:uid="{00000000-0005-0000-0000-000081250000}"/>
    <cellStyle name="20% - Accent6 2 2 2 3 3" xfId="12005" xr:uid="{00000000-0005-0000-0000-000082250000}"/>
    <cellStyle name="20% - Accent6 2 2 2 3 4" xfId="19960" xr:uid="{00000000-0005-0000-0000-000083250000}"/>
    <cellStyle name="20% - Accent6 2 2 2 4" xfId="5800" xr:uid="{00000000-0005-0000-0000-000084250000}"/>
    <cellStyle name="20% - Accent6 2 2 2 4 2" xfId="13784" xr:uid="{00000000-0005-0000-0000-000085250000}"/>
    <cellStyle name="20% - Accent6 2 2 2 4 3" xfId="21732" xr:uid="{00000000-0005-0000-0000-000086250000}"/>
    <cellStyle name="20% - Accent6 2 2 2 5" xfId="9353" xr:uid="{00000000-0005-0000-0000-000087250000}"/>
    <cellStyle name="20% - Accent6 2 2 2 5 2" xfId="17311" xr:uid="{00000000-0005-0000-0000-000088250000}"/>
    <cellStyle name="20% - Accent6 2 2 2 5 3" xfId="25255" xr:uid="{00000000-0005-0000-0000-000089250000}"/>
    <cellStyle name="20% - Accent6 2 2 2 6" xfId="10249" xr:uid="{00000000-0005-0000-0000-00008A250000}"/>
    <cellStyle name="20% - Accent6 2 2 2 7" xfId="18204" xr:uid="{00000000-0005-0000-0000-00008B250000}"/>
    <cellStyle name="20% - Accent6 2 2 2_Exh G" xfId="2603" xr:uid="{00000000-0005-0000-0000-00008C250000}"/>
    <cellStyle name="20% - Accent6 2 2 3" xfId="924" xr:uid="{00000000-0005-0000-0000-00008D250000}"/>
    <cellStyle name="20% - Accent6 2 2 3 2" xfId="1850" xr:uid="{00000000-0005-0000-0000-00008E250000}"/>
    <cellStyle name="20% - Accent6 2 2 3 2 2" xfId="5368" xr:uid="{00000000-0005-0000-0000-00008F250000}"/>
    <cellStyle name="20% - Accent6 2 2 3 2 2 2" xfId="8959" xr:uid="{00000000-0005-0000-0000-000090250000}"/>
    <cellStyle name="20% - Accent6 2 2 3 2 2 2 2" xfId="16930" xr:uid="{00000000-0005-0000-0000-000091250000}"/>
    <cellStyle name="20% - Accent6 2 2 3 2 2 2 3" xfId="24876" xr:uid="{00000000-0005-0000-0000-000092250000}"/>
    <cellStyle name="20% - Accent6 2 2 3 2 2 3" xfId="13392" xr:uid="{00000000-0005-0000-0000-000093250000}"/>
    <cellStyle name="20% - Accent6 2 2 3 2 2 4" xfId="21347" xr:uid="{00000000-0005-0000-0000-000094250000}"/>
    <cellStyle name="20% - Accent6 2 2 3 2 3" xfId="7200" xr:uid="{00000000-0005-0000-0000-000095250000}"/>
    <cellStyle name="20% - Accent6 2 2 3 2 3 2" xfId="15172" xr:uid="{00000000-0005-0000-0000-000096250000}"/>
    <cellStyle name="20% - Accent6 2 2 3 2 3 3" xfId="23119" xr:uid="{00000000-0005-0000-0000-000097250000}"/>
    <cellStyle name="20% - Accent6 2 2 3 2 4" xfId="11636" xr:uid="{00000000-0005-0000-0000-000098250000}"/>
    <cellStyle name="20% - Accent6 2 2 3 2 5" xfId="19591" xr:uid="{00000000-0005-0000-0000-000099250000}"/>
    <cellStyle name="20% - Accent6 2 2 3 2_Exh G" xfId="2606" xr:uid="{00000000-0005-0000-0000-00009A250000}"/>
    <cellStyle name="20% - Accent6 2 2 3 3" xfId="4489" xr:uid="{00000000-0005-0000-0000-00009B250000}"/>
    <cellStyle name="20% - Accent6 2 2 3 3 2" xfId="8081" xr:uid="{00000000-0005-0000-0000-00009C250000}"/>
    <cellStyle name="20% - Accent6 2 2 3 3 2 2" xfId="16052" xr:uid="{00000000-0005-0000-0000-00009D250000}"/>
    <cellStyle name="20% - Accent6 2 2 3 3 2 3" xfId="23998" xr:uid="{00000000-0005-0000-0000-00009E250000}"/>
    <cellStyle name="20% - Accent6 2 2 3 3 3" xfId="12514" xr:uid="{00000000-0005-0000-0000-00009F250000}"/>
    <cellStyle name="20% - Accent6 2 2 3 3 4" xfId="20469" xr:uid="{00000000-0005-0000-0000-0000A0250000}"/>
    <cellStyle name="20% - Accent6 2 2 3 4" xfId="6319" xr:uid="{00000000-0005-0000-0000-0000A1250000}"/>
    <cellStyle name="20% - Accent6 2 2 3 4 2" xfId="14294" xr:uid="{00000000-0005-0000-0000-0000A2250000}"/>
    <cellStyle name="20% - Accent6 2 2 3 4 3" xfId="22241" xr:uid="{00000000-0005-0000-0000-0000A3250000}"/>
    <cellStyle name="20% - Accent6 2 2 3 5" xfId="9862" xr:uid="{00000000-0005-0000-0000-0000A4250000}"/>
    <cellStyle name="20% - Accent6 2 2 3 5 2" xfId="17820" xr:uid="{00000000-0005-0000-0000-0000A5250000}"/>
    <cellStyle name="20% - Accent6 2 2 3 5 3" xfId="25764" xr:uid="{00000000-0005-0000-0000-0000A6250000}"/>
    <cellStyle name="20% - Accent6 2 2 3 6" xfId="10758" xr:uid="{00000000-0005-0000-0000-0000A7250000}"/>
    <cellStyle name="20% - Accent6 2 2 3 7" xfId="18713" xr:uid="{00000000-0005-0000-0000-0000A8250000}"/>
    <cellStyle name="20% - Accent6 2 2 3_Exh G" xfId="2605" xr:uid="{00000000-0005-0000-0000-0000A9250000}"/>
    <cellStyle name="20% - Accent6 2 2 4" xfId="1328" xr:uid="{00000000-0005-0000-0000-0000AA250000}"/>
    <cellStyle name="20% - Accent6 2 2 4 2" xfId="4858" xr:uid="{00000000-0005-0000-0000-0000AB250000}"/>
    <cellStyle name="20% - Accent6 2 2 4 2 2" xfId="8449" xr:uid="{00000000-0005-0000-0000-0000AC250000}"/>
    <cellStyle name="20% - Accent6 2 2 4 2 2 2" xfId="16420" xr:uid="{00000000-0005-0000-0000-0000AD250000}"/>
    <cellStyle name="20% - Accent6 2 2 4 2 2 3" xfId="24366" xr:uid="{00000000-0005-0000-0000-0000AE250000}"/>
    <cellStyle name="20% - Accent6 2 2 4 2 3" xfId="12882" xr:uid="{00000000-0005-0000-0000-0000AF250000}"/>
    <cellStyle name="20% - Accent6 2 2 4 2 4" xfId="20837" xr:uid="{00000000-0005-0000-0000-0000B0250000}"/>
    <cellStyle name="20% - Accent6 2 2 4 3" xfId="6690" xr:uid="{00000000-0005-0000-0000-0000B1250000}"/>
    <cellStyle name="20% - Accent6 2 2 4 3 2" xfId="14662" xr:uid="{00000000-0005-0000-0000-0000B2250000}"/>
    <cellStyle name="20% - Accent6 2 2 4 3 3" xfId="22609" xr:uid="{00000000-0005-0000-0000-0000B3250000}"/>
    <cellStyle name="20% - Accent6 2 2 4 4" xfId="11126" xr:uid="{00000000-0005-0000-0000-0000B4250000}"/>
    <cellStyle name="20% - Accent6 2 2 4 5" xfId="19081" xr:uid="{00000000-0005-0000-0000-0000B5250000}"/>
    <cellStyle name="20% - Accent6 2 2 4_Exh G" xfId="2607" xr:uid="{00000000-0005-0000-0000-0000B6250000}"/>
    <cellStyle name="20% - Accent6 2 2 5" xfId="3979" xr:uid="{00000000-0005-0000-0000-0000B7250000}"/>
    <cellStyle name="20% - Accent6 2 2 5 2" xfId="7571" xr:uid="{00000000-0005-0000-0000-0000B8250000}"/>
    <cellStyle name="20% - Accent6 2 2 5 2 2" xfId="15542" xr:uid="{00000000-0005-0000-0000-0000B9250000}"/>
    <cellStyle name="20% - Accent6 2 2 5 2 3" xfId="23488" xr:uid="{00000000-0005-0000-0000-0000BA250000}"/>
    <cellStyle name="20% - Accent6 2 2 5 3" xfId="12004" xr:uid="{00000000-0005-0000-0000-0000BB250000}"/>
    <cellStyle name="20% - Accent6 2 2 5 4" xfId="19959" xr:uid="{00000000-0005-0000-0000-0000BC250000}"/>
    <cellStyle name="20% - Accent6 2 2 6" xfId="5799" xr:uid="{00000000-0005-0000-0000-0000BD250000}"/>
    <cellStyle name="20% - Accent6 2 2 6 2" xfId="13783" xr:uid="{00000000-0005-0000-0000-0000BE250000}"/>
    <cellStyle name="20% - Accent6 2 2 6 3" xfId="21731" xr:uid="{00000000-0005-0000-0000-0000BF250000}"/>
    <cellStyle name="20% - Accent6 2 2 7" xfId="9352" xr:uid="{00000000-0005-0000-0000-0000C0250000}"/>
    <cellStyle name="20% - Accent6 2 2 7 2" xfId="17310" xr:uid="{00000000-0005-0000-0000-0000C1250000}"/>
    <cellStyle name="20% - Accent6 2 2 7 3" xfId="25254" xr:uid="{00000000-0005-0000-0000-0000C2250000}"/>
    <cellStyle name="20% - Accent6 2 2 8" xfId="10248" xr:uid="{00000000-0005-0000-0000-0000C3250000}"/>
    <cellStyle name="20% - Accent6 2 2 9" xfId="18203" xr:uid="{00000000-0005-0000-0000-0000C4250000}"/>
    <cellStyle name="20% - Accent6 2 2_Exh G" xfId="2602" xr:uid="{00000000-0005-0000-0000-0000C5250000}"/>
    <cellStyle name="20% - Accent6 2 3" xfId="302" xr:uid="{00000000-0005-0000-0000-0000C6250000}"/>
    <cellStyle name="20% - Accent6 2 3 2" xfId="1330" xr:uid="{00000000-0005-0000-0000-0000C7250000}"/>
    <cellStyle name="20% - Accent6 2 3 2 2" xfId="4860" xr:uid="{00000000-0005-0000-0000-0000C8250000}"/>
    <cellStyle name="20% - Accent6 2 3 2 2 2" xfId="8451" xr:uid="{00000000-0005-0000-0000-0000C9250000}"/>
    <cellStyle name="20% - Accent6 2 3 2 2 2 2" xfId="16422" xr:uid="{00000000-0005-0000-0000-0000CA250000}"/>
    <cellStyle name="20% - Accent6 2 3 2 2 2 3" xfId="24368" xr:uid="{00000000-0005-0000-0000-0000CB250000}"/>
    <cellStyle name="20% - Accent6 2 3 2 2 3" xfId="12884" xr:uid="{00000000-0005-0000-0000-0000CC250000}"/>
    <cellStyle name="20% - Accent6 2 3 2 2 4" xfId="20839" xr:uid="{00000000-0005-0000-0000-0000CD250000}"/>
    <cellStyle name="20% - Accent6 2 3 2 3" xfId="6692" xr:uid="{00000000-0005-0000-0000-0000CE250000}"/>
    <cellStyle name="20% - Accent6 2 3 2 3 2" xfId="14664" xr:uid="{00000000-0005-0000-0000-0000CF250000}"/>
    <cellStyle name="20% - Accent6 2 3 2 3 3" xfId="22611" xr:uid="{00000000-0005-0000-0000-0000D0250000}"/>
    <cellStyle name="20% - Accent6 2 3 2 4" xfId="11128" xr:uid="{00000000-0005-0000-0000-0000D1250000}"/>
    <cellStyle name="20% - Accent6 2 3 2 5" xfId="19083" xr:uid="{00000000-0005-0000-0000-0000D2250000}"/>
    <cellStyle name="20% - Accent6 2 3 2_Exh G" xfId="2609" xr:uid="{00000000-0005-0000-0000-0000D3250000}"/>
    <cellStyle name="20% - Accent6 2 3 3" xfId="3981" xr:uid="{00000000-0005-0000-0000-0000D4250000}"/>
    <cellStyle name="20% - Accent6 2 3 3 2" xfId="7573" xr:uid="{00000000-0005-0000-0000-0000D5250000}"/>
    <cellStyle name="20% - Accent6 2 3 3 2 2" xfId="15544" xr:uid="{00000000-0005-0000-0000-0000D6250000}"/>
    <cellStyle name="20% - Accent6 2 3 3 2 3" xfId="23490" xr:uid="{00000000-0005-0000-0000-0000D7250000}"/>
    <cellStyle name="20% - Accent6 2 3 3 3" xfId="12006" xr:uid="{00000000-0005-0000-0000-0000D8250000}"/>
    <cellStyle name="20% - Accent6 2 3 3 4" xfId="19961" xr:uid="{00000000-0005-0000-0000-0000D9250000}"/>
    <cellStyle name="20% - Accent6 2 3 4" xfId="5801" xr:uid="{00000000-0005-0000-0000-0000DA250000}"/>
    <cellStyle name="20% - Accent6 2 3 4 2" xfId="13785" xr:uid="{00000000-0005-0000-0000-0000DB250000}"/>
    <cellStyle name="20% - Accent6 2 3 4 3" xfId="21733" xr:uid="{00000000-0005-0000-0000-0000DC250000}"/>
    <cellStyle name="20% - Accent6 2 3 5" xfId="9354" xr:uid="{00000000-0005-0000-0000-0000DD250000}"/>
    <cellStyle name="20% - Accent6 2 3 5 2" xfId="17312" xr:uid="{00000000-0005-0000-0000-0000DE250000}"/>
    <cellStyle name="20% - Accent6 2 3 5 3" xfId="25256" xr:uid="{00000000-0005-0000-0000-0000DF250000}"/>
    <cellStyle name="20% - Accent6 2 3 6" xfId="10250" xr:uid="{00000000-0005-0000-0000-0000E0250000}"/>
    <cellStyle name="20% - Accent6 2 3 7" xfId="18205" xr:uid="{00000000-0005-0000-0000-0000E1250000}"/>
    <cellStyle name="20% - Accent6 2 3_Exh G" xfId="2608" xr:uid="{00000000-0005-0000-0000-0000E2250000}"/>
    <cellStyle name="20% - Accent6 2 4" xfId="923" xr:uid="{00000000-0005-0000-0000-0000E3250000}"/>
    <cellStyle name="20% - Accent6 2 4 2" xfId="1849" xr:uid="{00000000-0005-0000-0000-0000E4250000}"/>
    <cellStyle name="20% - Accent6 2 4 2 2" xfId="5367" xr:uid="{00000000-0005-0000-0000-0000E5250000}"/>
    <cellStyle name="20% - Accent6 2 4 2 2 2" xfId="8958" xr:uid="{00000000-0005-0000-0000-0000E6250000}"/>
    <cellStyle name="20% - Accent6 2 4 2 2 2 2" xfId="16929" xr:uid="{00000000-0005-0000-0000-0000E7250000}"/>
    <cellStyle name="20% - Accent6 2 4 2 2 2 3" xfId="24875" xr:uid="{00000000-0005-0000-0000-0000E8250000}"/>
    <cellStyle name="20% - Accent6 2 4 2 2 3" xfId="13391" xr:uid="{00000000-0005-0000-0000-0000E9250000}"/>
    <cellStyle name="20% - Accent6 2 4 2 2 4" xfId="21346" xr:uid="{00000000-0005-0000-0000-0000EA250000}"/>
    <cellStyle name="20% - Accent6 2 4 2 3" xfId="7199" xr:uid="{00000000-0005-0000-0000-0000EB250000}"/>
    <cellStyle name="20% - Accent6 2 4 2 3 2" xfId="15171" xr:uid="{00000000-0005-0000-0000-0000EC250000}"/>
    <cellStyle name="20% - Accent6 2 4 2 3 3" xfId="23118" xr:uid="{00000000-0005-0000-0000-0000ED250000}"/>
    <cellStyle name="20% - Accent6 2 4 2 4" xfId="11635" xr:uid="{00000000-0005-0000-0000-0000EE250000}"/>
    <cellStyle name="20% - Accent6 2 4 2 5" xfId="19590" xr:uid="{00000000-0005-0000-0000-0000EF250000}"/>
    <cellStyle name="20% - Accent6 2 4 2_Exh G" xfId="2611" xr:uid="{00000000-0005-0000-0000-0000F0250000}"/>
    <cellStyle name="20% - Accent6 2 4 3" xfId="4488" xr:uid="{00000000-0005-0000-0000-0000F1250000}"/>
    <cellStyle name="20% - Accent6 2 4 3 2" xfId="8080" xr:uid="{00000000-0005-0000-0000-0000F2250000}"/>
    <cellStyle name="20% - Accent6 2 4 3 2 2" xfId="16051" xr:uid="{00000000-0005-0000-0000-0000F3250000}"/>
    <cellStyle name="20% - Accent6 2 4 3 2 3" xfId="23997" xr:uid="{00000000-0005-0000-0000-0000F4250000}"/>
    <cellStyle name="20% - Accent6 2 4 3 3" xfId="12513" xr:uid="{00000000-0005-0000-0000-0000F5250000}"/>
    <cellStyle name="20% - Accent6 2 4 3 4" xfId="20468" xr:uid="{00000000-0005-0000-0000-0000F6250000}"/>
    <cellStyle name="20% - Accent6 2 4 4" xfId="6318" xr:uid="{00000000-0005-0000-0000-0000F7250000}"/>
    <cellStyle name="20% - Accent6 2 4 4 2" xfId="14293" xr:uid="{00000000-0005-0000-0000-0000F8250000}"/>
    <cellStyle name="20% - Accent6 2 4 4 3" xfId="22240" xr:uid="{00000000-0005-0000-0000-0000F9250000}"/>
    <cellStyle name="20% - Accent6 2 4 5" xfId="9861" xr:uid="{00000000-0005-0000-0000-0000FA250000}"/>
    <cellStyle name="20% - Accent6 2 4 5 2" xfId="17819" xr:uid="{00000000-0005-0000-0000-0000FB250000}"/>
    <cellStyle name="20% - Accent6 2 4 5 3" xfId="25763" xr:uid="{00000000-0005-0000-0000-0000FC250000}"/>
    <cellStyle name="20% - Accent6 2 4 6" xfId="10757" xr:uid="{00000000-0005-0000-0000-0000FD250000}"/>
    <cellStyle name="20% - Accent6 2 4 7" xfId="18712" xr:uid="{00000000-0005-0000-0000-0000FE250000}"/>
    <cellStyle name="20% - Accent6 2 4_Exh G" xfId="2610" xr:uid="{00000000-0005-0000-0000-0000FF250000}"/>
    <cellStyle name="20% - Accent6 2 5" xfId="1327" xr:uid="{00000000-0005-0000-0000-000000260000}"/>
    <cellStyle name="20% - Accent6 2 5 2" xfId="4857" xr:uid="{00000000-0005-0000-0000-000001260000}"/>
    <cellStyle name="20% - Accent6 2 5 2 2" xfId="8448" xr:uid="{00000000-0005-0000-0000-000002260000}"/>
    <cellStyle name="20% - Accent6 2 5 2 2 2" xfId="16419" xr:uid="{00000000-0005-0000-0000-000003260000}"/>
    <cellStyle name="20% - Accent6 2 5 2 2 3" xfId="24365" xr:uid="{00000000-0005-0000-0000-000004260000}"/>
    <cellStyle name="20% - Accent6 2 5 2 3" xfId="12881" xr:uid="{00000000-0005-0000-0000-000005260000}"/>
    <cellStyle name="20% - Accent6 2 5 2 4" xfId="20836" xr:uid="{00000000-0005-0000-0000-000006260000}"/>
    <cellStyle name="20% - Accent6 2 5 3" xfId="6689" xr:uid="{00000000-0005-0000-0000-000007260000}"/>
    <cellStyle name="20% - Accent6 2 5 3 2" xfId="14661" xr:uid="{00000000-0005-0000-0000-000008260000}"/>
    <cellStyle name="20% - Accent6 2 5 3 3" xfId="22608" xr:uid="{00000000-0005-0000-0000-000009260000}"/>
    <cellStyle name="20% - Accent6 2 5 4" xfId="11125" xr:uid="{00000000-0005-0000-0000-00000A260000}"/>
    <cellStyle name="20% - Accent6 2 5 5" xfId="19080" xr:uid="{00000000-0005-0000-0000-00000B260000}"/>
    <cellStyle name="20% - Accent6 2 5_Exh G" xfId="2612" xr:uid="{00000000-0005-0000-0000-00000C260000}"/>
    <cellStyle name="20% - Accent6 2 6" xfId="3978" xr:uid="{00000000-0005-0000-0000-00000D260000}"/>
    <cellStyle name="20% - Accent6 2 6 2" xfId="7570" xr:uid="{00000000-0005-0000-0000-00000E260000}"/>
    <cellStyle name="20% - Accent6 2 6 2 2" xfId="15541" xr:uid="{00000000-0005-0000-0000-00000F260000}"/>
    <cellStyle name="20% - Accent6 2 6 2 3" xfId="23487" xr:uid="{00000000-0005-0000-0000-000010260000}"/>
    <cellStyle name="20% - Accent6 2 6 3" xfId="12003" xr:uid="{00000000-0005-0000-0000-000011260000}"/>
    <cellStyle name="20% - Accent6 2 6 4" xfId="19958" xr:uid="{00000000-0005-0000-0000-000012260000}"/>
    <cellStyle name="20% - Accent6 2 7" xfId="5798" xr:uid="{00000000-0005-0000-0000-000013260000}"/>
    <cellStyle name="20% - Accent6 2 7 2" xfId="13782" xr:uid="{00000000-0005-0000-0000-000014260000}"/>
    <cellStyle name="20% - Accent6 2 7 3" xfId="21730" xr:uid="{00000000-0005-0000-0000-000015260000}"/>
    <cellStyle name="20% - Accent6 2 8" xfId="9351" xr:uid="{00000000-0005-0000-0000-000016260000}"/>
    <cellStyle name="20% - Accent6 2 8 2" xfId="17309" xr:uid="{00000000-0005-0000-0000-000017260000}"/>
    <cellStyle name="20% - Accent6 2 8 3" xfId="25253" xr:uid="{00000000-0005-0000-0000-000018260000}"/>
    <cellStyle name="20% - Accent6 2 9" xfId="10247" xr:uid="{00000000-0005-0000-0000-000019260000}"/>
    <cellStyle name="20% - Accent6 2_Exh G" xfId="2601" xr:uid="{00000000-0005-0000-0000-00001A260000}"/>
    <cellStyle name="20% - Accent6 3" xfId="303" xr:uid="{00000000-0005-0000-0000-00001B260000}"/>
    <cellStyle name="20% - Accent6 3 10" xfId="18206" xr:uid="{00000000-0005-0000-0000-00001C260000}"/>
    <cellStyle name="20% - Accent6 3 2" xfId="304" xr:uid="{00000000-0005-0000-0000-00001D260000}"/>
    <cellStyle name="20% - Accent6 3 2 2" xfId="305" xr:uid="{00000000-0005-0000-0000-00001E260000}"/>
    <cellStyle name="20% - Accent6 3 2 2 2" xfId="1333" xr:uid="{00000000-0005-0000-0000-00001F260000}"/>
    <cellStyle name="20% - Accent6 3 2 2 2 2" xfId="4863" xr:uid="{00000000-0005-0000-0000-000020260000}"/>
    <cellStyle name="20% - Accent6 3 2 2 2 2 2" xfId="8454" xr:uid="{00000000-0005-0000-0000-000021260000}"/>
    <cellStyle name="20% - Accent6 3 2 2 2 2 2 2" xfId="16425" xr:uid="{00000000-0005-0000-0000-000022260000}"/>
    <cellStyle name="20% - Accent6 3 2 2 2 2 2 3" xfId="24371" xr:uid="{00000000-0005-0000-0000-000023260000}"/>
    <cellStyle name="20% - Accent6 3 2 2 2 2 3" xfId="12887" xr:uid="{00000000-0005-0000-0000-000024260000}"/>
    <cellStyle name="20% - Accent6 3 2 2 2 2 4" xfId="20842" xr:uid="{00000000-0005-0000-0000-000025260000}"/>
    <cellStyle name="20% - Accent6 3 2 2 2 3" xfId="6695" xr:uid="{00000000-0005-0000-0000-000026260000}"/>
    <cellStyle name="20% - Accent6 3 2 2 2 3 2" xfId="14667" xr:uid="{00000000-0005-0000-0000-000027260000}"/>
    <cellStyle name="20% - Accent6 3 2 2 2 3 3" xfId="22614" xr:uid="{00000000-0005-0000-0000-000028260000}"/>
    <cellStyle name="20% - Accent6 3 2 2 2 4" xfId="11131" xr:uid="{00000000-0005-0000-0000-000029260000}"/>
    <cellStyle name="20% - Accent6 3 2 2 2 5" xfId="19086" xr:uid="{00000000-0005-0000-0000-00002A260000}"/>
    <cellStyle name="20% - Accent6 3 2 2 2_Exh G" xfId="2616" xr:uid="{00000000-0005-0000-0000-00002B260000}"/>
    <cellStyle name="20% - Accent6 3 2 2 3" xfId="3984" xr:uid="{00000000-0005-0000-0000-00002C260000}"/>
    <cellStyle name="20% - Accent6 3 2 2 3 2" xfId="7576" xr:uid="{00000000-0005-0000-0000-00002D260000}"/>
    <cellStyle name="20% - Accent6 3 2 2 3 2 2" xfId="15547" xr:uid="{00000000-0005-0000-0000-00002E260000}"/>
    <cellStyle name="20% - Accent6 3 2 2 3 2 3" xfId="23493" xr:uid="{00000000-0005-0000-0000-00002F260000}"/>
    <cellStyle name="20% - Accent6 3 2 2 3 3" xfId="12009" xr:uid="{00000000-0005-0000-0000-000030260000}"/>
    <cellStyle name="20% - Accent6 3 2 2 3 4" xfId="19964" xr:uid="{00000000-0005-0000-0000-000031260000}"/>
    <cellStyle name="20% - Accent6 3 2 2 4" xfId="5804" xr:uid="{00000000-0005-0000-0000-000032260000}"/>
    <cellStyle name="20% - Accent6 3 2 2 4 2" xfId="13788" xr:uid="{00000000-0005-0000-0000-000033260000}"/>
    <cellStyle name="20% - Accent6 3 2 2 4 3" xfId="21736" xr:uid="{00000000-0005-0000-0000-000034260000}"/>
    <cellStyle name="20% - Accent6 3 2 2 5" xfId="9357" xr:uid="{00000000-0005-0000-0000-000035260000}"/>
    <cellStyle name="20% - Accent6 3 2 2 5 2" xfId="17315" xr:uid="{00000000-0005-0000-0000-000036260000}"/>
    <cellStyle name="20% - Accent6 3 2 2 5 3" xfId="25259" xr:uid="{00000000-0005-0000-0000-000037260000}"/>
    <cellStyle name="20% - Accent6 3 2 2 6" xfId="10253" xr:uid="{00000000-0005-0000-0000-000038260000}"/>
    <cellStyle name="20% - Accent6 3 2 2 7" xfId="18208" xr:uid="{00000000-0005-0000-0000-000039260000}"/>
    <cellStyle name="20% - Accent6 3 2 2_Exh G" xfId="2615" xr:uid="{00000000-0005-0000-0000-00003A260000}"/>
    <cellStyle name="20% - Accent6 3 2 3" xfId="926" xr:uid="{00000000-0005-0000-0000-00003B260000}"/>
    <cellStyle name="20% - Accent6 3 2 3 2" xfId="1852" xr:uid="{00000000-0005-0000-0000-00003C260000}"/>
    <cellStyle name="20% - Accent6 3 2 3 2 2" xfId="5370" xr:uid="{00000000-0005-0000-0000-00003D260000}"/>
    <cellStyle name="20% - Accent6 3 2 3 2 2 2" xfId="8961" xr:uid="{00000000-0005-0000-0000-00003E260000}"/>
    <cellStyle name="20% - Accent6 3 2 3 2 2 2 2" xfId="16932" xr:uid="{00000000-0005-0000-0000-00003F260000}"/>
    <cellStyle name="20% - Accent6 3 2 3 2 2 2 3" xfId="24878" xr:uid="{00000000-0005-0000-0000-000040260000}"/>
    <cellStyle name="20% - Accent6 3 2 3 2 2 3" xfId="13394" xr:uid="{00000000-0005-0000-0000-000041260000}"/>
    <cellStyle name="20% - Accent6 3 2 3 2 2 4" xfId="21349" xr:uid="{00000000-0005-0000-0000-000042260000}"/>
    <cellStyle name="20% - Accent6 3 2 3 2 3" xfId="7202" xr:uid="{00000000-0005-0000-0000-000043260000}"/>
    <cellStyle name="20% - Accent6 3 2 3 2 3 2" xfId="15174" xr:uid="{00000000-0005-0000-0000-000044260000}"/>
    <cellStyle name="20% - Accent6 3 2 3 2 3 3" xfId="23121" xr:uid="{00000000-0005-0000-0000-000045260000}"/>
    <cellStyle name="20% - Accent6 3 2 3 2 4" xfId="11638" xr:uid="{00000000-0005-0000-0000-000046260000}"/>
    <cellStyle name="20% - Accent6 3 2 3 2 5" xfId="19593" xr:uid="{00000000-0005-0000-0000-000047260000}"/>
    <cellStyle name="20% - Accent6 3 2 3 2_Exh G" xfId="2618" xr:uid="{00000000-0005-0000-0000-000048260000}"/>
    <cellStyle name="20% - Accent6 3 2 3 3" xfId="4491" xr:uid="{00000000-0005-0000-0000-000049260000}"/>
    <cellStyle name="20% - Accent6 3 2 3 3 2" xfId="8083" xr:uid="{00000000-0005-0000-0000-00004A260000}"/>
    <cellStyle name="20% - Accent6 3 2 3 3 2 2" xfId="16054" xr:uid="{00000000-0005-0000-0000-00004B260000}"/>
    <cellStyle name="20% - Accent6 3 2 3 3 2 3" xfId="24000" xr:uid="{00000000-0005-0000-0000-00004C260000}"/>
    <cellStyle name="20% - Accent6 3 2 3 3 3" xfId="12516" xr:uid="{00000000-0005-0000-0000-00004D260000}"/>
    <cellStyle name="20% - Accent6 3 2 3 3 4" xfId="20471" xr:uid="{00000000-0005-0000-0000-00004E260000}"/>
    <cellStyle name="20% - Accent6 3 2 3 4" xfId="6321" xr:uid="{00000000-0005-0000-0000-00004F260000}"/>
    <cellStyle name="20% - Accent6 3 2 3 4 2" xfId="14296" xr:uid="{00000000-0005-0000-0000-000050260000}"/>
    <cellStyle name="20% - Accent6 3 2 3 4 3" xfId="22243" xr:uid="{00000000-0005-0000-0000-000051260000}"/>
    <cellStyle name="20% - Accent6 3 2 3 5" xfId="9864" xr:uid="{00000000-0005-0000-0000-000052260000}"/>
    <cellStyle name="20% - Accent6 3 2 3 5 2" xfId="17822" xr:uid="{00000000-0005-0000-0000-000053260000}"/>
    <cellStyle name="20% - Accent6 3 2 3 5 3" xfId="25766" xr:uid="{00000000-0005-0000-0000-000054260000}"/>
    <cellStyle name="20% - Accent6 3 2 3 6" xfId="10760" xr:uid="{00000000-0005-0000-0000-000055260000}"/>
    <cellStyle name="20% - Accent6 3 2 3 7" xfId="18715" xr:uid="{00000000-0005-0000-0000-000056260000}"/>
    <cellStyle name="20% - Accent6 3 2 3_Exh G" xfId="2617" xr:uid="{00000000-0005-0000-0000-000057260000}"/>
    <cellStyle name="20% - Accent6 3 2 4" xfId="1332" xr:uid="{00000000-0005-0000-0000-000058260000}"/>
    <cellStyle name="20% - Accent6 3 2 4 2" xfId="4862" xr:uid="{00000000-0005-0000-0000-000059260000}"/>
    <cellStyle name="20% - Accent6 3 2 4 2 2" xfId="8453" xr:uid="{00000000-0005-0000-0000-00005A260000}"/>
    <cellStyle name="20% - Accent6 3 2 4 2 2 2" xfId="16424" xr:uid="{00000000-0005-0000-0000-00005B260000}"/>
    <cellStyle name="20% - Accent6 3 2 4 2 2 3" xfId="24370" xr:uid="{00000000-0005-0000-0000-00005C260000}"/>
    <cellStyle name="20% - Accent6 3 2 4 2 3" xfId="12886" xr:uid="{00000000-0005-0000-0000-00005D260000}"/>
    <cellStyle name="20% - Accent6 3 2 4 2 4" xfId="20841" xr:uid="{00000000-0005-0000-0000-00005E260000}"/>
    <cellStyle name="20% - Accent6 3 2 4 3" xfId="6694" xr:uid="{00000000-0005-0000-0000-00005F260000}"/>
    <cellStyle name="20% - Accent6 3 2 4 3 2" xfId="14666" xr:uid="{00000000-0005-0000-0000-000060260000}"/>
    <cellStyle name="20% - Accent6 3 2 4 3 3" xfId="22613" xr:uid="{00000000-0005-0000-0000-000061260000}"/>
    <cellStyle name="20% - Accent6 3 2 4 4" xfId="11130" xr:uid="{00000000-0005-0000-0000-000062260000}"/>
    <cellStyle name="20% - Accent6 3 2 4 5" xfId="19085" xr:uid="{00000000-0005-0000-0000-000063260000}"/>
    <cellStyle name="20% - Accent6 3 2 4_Exh G" xfId="2619" xr:uid="{00000000-0005-0000-0000-000064260000}"/>
    <cellStyle name="20% - Accent6 3 2 5" xfId="3983" xr:uid="{00000000-0005-0000-0000-000065260000}"/>
    <cellStyle name="20% - Accent6 3 2 5 2" xfId="7575" xr:uid="{00000000-0005-0000-0000-000066260000}"/>
    <cellStyle name="20% - Accent6 3 2 5 2 2" xfId="15546" xr:uid="{00000000-0005-0000-0000-000067260000}"/>
    <cellStyle name="20% - Accent6 3 2 5 2 3" xfId="23492" xr:uid="{00000000-0005-0000-0000-000068260000}"/>
    <cellStyle name="20% - Accent6 3 2 5 3" xfId="12008" xr:uid="{00000000-0005-0000-0000-000069260000}"/>
    <cellStyle name="20% - Accent6 3 2 5 4" xfId="19963" xr:uid="{00000000-0005-0000-0000-00006A260000}"/>
    <cellStyle name="20% - Accent6 3 2 6" xfId="5803" xr:uid="{00000000-0005-0000-0000-00006B260000}"/>
    <cellStyle name="20% - Accent6 3 2 6 2" xfId="13787" xr:uid="{00000000-0005-0000-0000-00006C260000}"/>
    <cellStyle name="20% - Accent6 3 2 6 3" xfId="21735" xr:uid="{00000000-0005-0000-0000-00006D260000}"/>
    <cellStyle name="20% - Accent6 3 2 7" xfId="9356" xr:uid="{00000000-0005-0000-0000-00006E260000}"/>
    <cellStyle name="20% - Accent6 3 2 7 2" xfId="17314" xr:uid="{00000000-0005-0000-0000-00006F260000}"/>
    <cellStyle name="20% - Accent6 3 2 7 3" xfId="25258" xr:uid="{00000000-0005-0000-0000-000070260000}"/>
    <cellStyle name="20% - Accent6 3 2 8" xfId="10252" xr:uid="{00000000-0005-0000-0000-000071260000}"/>
    <cellStyle name="20% - Accent6 3 2 9" xfId="18207" xr:uid="{00000000-0005-0000-0000-000072260000}"/>
    <cellStyle name="20% - Accent6 3 2_Exh G" xfId="2614" xr:uid="{00000000-0005-0000-0000-000073260000}"/>
    <cellStyle name="20% - Accent6 3 3" xfId="306" xr:uid="{00000000-0005-0000-0000-000074260000}"/>
    <cellStyle name="20% - Accent6 3 3 2" xfId="1334" xr:uid="{00000000-0005-0000-0000-000075260000}"/>
    <cellStyle name="20% - Accent6 3 3 2 2" xfId="4864" xr:uid="{00000000-0005-0000-0000-000076260000}"/>
    <cellStyle name="20% - Accent6 3 3 2 2 2" xfId="8455" xr:uid="{00000000-0005-0000-0000-000077260000}"/>
    <cellStyle name="20% - Accent6 3 3 2 2 2 2" xfId="16426" xr:uid="{00000000-0005-0000-0000-000078260000}"/>
    <cellStyle name="20% - Accent6 3 3 2 2 2 3" xfId="24372" xr:uid="{00000000-0005-0000-0000-000079260000}"/>
    <cellStyle name="20% - Accent6 3 3 2 2 3" xfId="12888" xr:uid="{00000000-0005-0000-0000-00007A260000}"/>
    <cellStyle name="20% - Accent6 3 3 2 2 4" xfId="20843" xr:uid="{00000000-0005-0000-0000-00007B260000}"/>
    <cellStyle name="20% - Accent6 3 3 2 3" xfId="6696" xr:uid="{00000000-0005-0000-0000-00007C260000}"/>
    <cellStyle name="20% - Accent6 3 3 2 3 2" xfId="14668" xr:uid="{00000000-0005-0000-0000-00007D260000}"/>
    <cellStyle name="20% - Accent6 3 3 2 3 3" xfId="22615" xr:uid="{00000000-0005-0000-0000-00007E260000}"/>
    <cellStyle name="20% - Accent6 3 3 2 4" xfId="11132" xr:uid="{00000000-0005-0000-0000-00007F260000}"/>
    <cellStyle name="20% - Accent6 3 3 2 5" xfId="19087" xr:uid="{00000000-0005-0000-0000-000080260000}"/>
    <cellStyle name="20% - Accent6 3 3 2_Exh G" xfId="2621" xr:uid="{00000000-0005-0000-0000-000081260000}"/>
    <cellStyle name="20% - Accent6 3 3 3" xfId="3985" xr:uid="{00000000-0005-0000-0000-000082260000}"/>
    <cellStyle name="20% - Accent6 3 3 3 2" xfId="7577" xr:uid="{00000000-0005-0000-0000-000083260000}"/>
    <cellStyle name="20% - Accent6 3 3 3 2 2" xfId="15548" xr:uid="{00000000-0005-0000-0000-000084260000}"/>
    <cellStyle name="20% - Accent6 3 3 3 2 3" xfId="23494" xr:uid="{00000000-0005-0000-0000-000085260000}"/>
    <cellStyle name="20% - Accent6 3 3 3 3" xfId="12010" xr:uid="{00000000-0005-0000-0000-000086260000}"/>
    <cellStyle name="20% - Accent6 3 3 3 4" xfId="19965" xr:uid="{00000000-0005-0000-0000-000087260000}"/>
    <cellStyle name="20% - Accent6 3 3 4" xfId="5805" xr:uid="{00000000-0005-0000-0000-000088260000}"/>
    <cellStyle name="20% - Accent6 3 3 4 2" xfId="13789" xr:uid="{00000000-0005-0000-0000-000089260000}"/>
    <cellStyle name="20% - Accent6 3 3 4 3" xfId="21737" xr:uid="{00000000-0005-0000-0000-00008A260000}"/>
    <cellStyle name="20% - Accent6 3 3 5" xfId="9358" xr:uid="{00000000-0005-0000-0000-00008B260000}"/>
    <cellStyle name="20% - Accent6 3 3 5 2" xfId="17316" xr:uid="{00000000-0005-0000-0000-00008C260000}"/>
    <cellStyle name="20% - Accent6 3 3 5 3" xfId="25260" xr:uid="{00000000-0005-0000-0000-00008D260000}"/>
    <cellStyle name="20% - Accent6 3 3 6" xfId="10254" xr:uid="{00000000-0005-0000-0000-00008E260000}"/>
    <cellStyle name="20% - Accent6 3 3 7" xfId="18209" xr:uid="{00000000-0005-0000-0000-00008F260000}"/>
    <cellStyle name="20% - Accent6 3 3_Exh G" xfId="2620" xr:uid="{00000000-0005-0000-0000-000090260000}"/>
    <cellStyle name="20% - Accent6 3 4" xfId="925" xr:uid="{00000000-0005-0000-0000-000091260000}"/>
    <cellStyle name="20% - Accent6 3 4 2" xfId="1851" xr:uid="{00000000-0005-0000-0000-000092260000}"/>
    <cellStyle name="20% - Accent6 3 4 2 2" xfId="5369" xr:uid="{00000000-0005-0000-0000-000093260000}"/>
    <cellStyle name="20% - Accent6 3 4 2 2 2" xfId="8960" xr:uid="{00000000-0005-0000-0000-000094260000}"/>
    <cellStyle name="20% - Accent6 3 4 2 2 2 2" xfId="16931" xr:uid="{00000000-0005-0000-0000-000095260000}"/>
    <cellStyle name="20% - Accent6 3 4 2 2 2 3" xfId="24877" xr:uid="{00000000-0005-0000-0000-000096260000}"/>
    <cellStyle name="20% - Accent6 3 4 2 2 3" xfId="13393" xr:uid="{00000000-0005-0000-0000-000097260000}"/>
    <cellStyle name="20% - Accent6 3 4 2 2 4" xfId="21348" xr:uid="{00000000-0005-0000-0000-000098260000}"/>
    <cellStyle name="20% - Accent6 3 4 2 3" xfId="7201" xr:uid="{00000000-0005-0000-0000-000099260000}"/>
    <cellStyle name="20% - Accent6 3 4 2 3 2" xfId="15173" xr:uid="{00000000-0005-0000-0000-00009A260000}"/>
    <cellStyle name="20% - Accent6 3 4 2 3 3" xfId="23120" xr:uid="{00000000-0005-0000-0000-00009B260000}"/>
    <cellStyle name="20% - Accent6 3 4 2 4" xfId="11637" xr:uid="{00000000-0005-0000-0000-00009C260000}"/>
    <cellStyle name="20% - Accent6 3 4 2 5" xfId="19592" xr:uid="{00000000-0005-0000-0000-00009D260000}"/>
    <cellStyle name="20% - Accent6 3 4 2_Exh G" xfId="2623" xr:uid="{00000000-0005-0000-0000-00009E260000}"/>
    <cellStyle name="20% - Accent6 3 4 3" xfId="4490" xr:uid="{00000000-0005-0000-0000-00009F260000}"/>
    <cellStyle name="20% - Accent6 3 4 3 2" xfId="8082" xr:uid="{00000000-0005-0000-0000-0000A0260000}"/>
    <cellStyle name="20% - Accent6 3 4 3 2 2" xfId="16053" xr:uid="{00000000-0005-0000-0000-0000A1260000}"/>
    <cellStyle name="20% - Accent6 3 4 3 2 3" xfId="23999" xr:uid="{00000000-0005-0000-0000-0000A2260000}"/>
    <cellStyle name="20% - Accent6 3 4 3 3" xfId="12515" xr:uid="{00000000-0005-0000-0000-0000A3260000}"/>
    <cellStyle name="20% - Accent6 3 4 3 4" xfId="20470" xr:uid="{00000000-0005-0000-0000-0000A4260000}"/>
    <cellStyle name="20% - Accent6 3 4 4" xfId="6320" xr:uid="{00000000-0005-0000-0000-0000A5260000}"/>
    <cellStyle name="20% - Accent6 3 4 4 2" xfId="14295" xr:uid="{00000000-0005-0000-0000-0000A6260000}"/>
    <cellStyle name="20% - Accent6 3 4 4 3" xfId="22242" xr:uid="{00000000-0005-0000-0000-0000A7260000}"/>
    <cellStyle name="20% - Accent6 3 4 5" xfId="9863" xr:uid="{00000000-0005-0000-0000-0000A8260000}"/>
    <cellStyle name="20% - Accent6 3 4 5 2" xfId="17821" xr:uid="{00000000-0005-0000-0000-0000A9260000}"/>
    <cellStyle name="20% - Accent6 3 4 5 3" xfId="25765" xr:uid="{00000000-0005-0000-0000-0000AA260000}"/>
    <cellStyle name="20% - Accent6 3 4 6" xfId="10759" xr:uid="{00000000-0005-0000-0000-0000AB260000}"/>
    <cellStyle name="20% - Accent6 3 4 7" xfId="18714" xr:uid="{00000000-0005-0000-0000-0000AC260000}"/>
    <cellStyle name="20% - Accent6 3 4_Exh G" xfId="2622" xr:uid="{00000000-0005-0000-0000-0000AD260000}"/>
    <cellStyle name="20% - Accent6 3 5" xfId="1331" xr:uid="{00000000-0005-0000-0000-0000AE260000}"/>
    <cellStyle name="20% - Accent6 3 5 2" xfId="4861" xr:uid="{00000000-0005-0000-0000-0000AF260000}"/>
    <cellStyle name="20% - Accent6 3 5 2 2" xfId="8452" xr:uid="{00000000-0005-0000-0000-0000B0260000}"/>
    <cellStyle name="20% - Accent6 3 5 2 2 2" xfId="16423" xr:uid="{00000000-0005-0000-0000-0000B1260000}"/>
    <cellStyle name="20% - Accent6 3 5 2 2 3" xfId="24369" xr:uid="{00000000-0005-0000-0000-0000B2260000}"/>
    <cellStyle name="20% - Accent6 3 5 2 3" xfId="12885" xr:uid="{00000000-0005-0000-0000-0000B3260000}"/>
    <cellStyle name="20% - Accent6 3 5 2 4" xfId="20840" xr:uid="{00000000-0005-0000-0000-0000B4260000}"/>
    <cellStyle name="20% - Accent6 3 5 3" xfId="6693" xr:uid="{00000000-0005-0000-0000-0000B5260000}"/>
    <cellStyle name="20% - Accent6 3 5 3 2" xfId="14665" xr:uid="{00000000-0005-0000-0000-0000B6260000}"/>
    <cellStyle name="20% - Accent6 3 5 3 3" xfId="22612" xr:uid="{00000000-0005-0000-0000-0000B7260000}"/>
    <cellStyle name="20% - Accent6 3 5 4" xfId="11129" xr:uid="{00000000-0005-0000-0000-0000B8260000}"/>
    <cellStyle name="20% - Accent6 3 5 5" xfId="19084" xr:uid="{00000000-0005-0000-0000-0000B9260000}"/>
    <cellStyle name="20% - Accent6 3 5_Exh G" xfId="2624" xr:uid="{00000000-0005-0000-0000-0000BA260000}"/>
    <cellStyle name="20% - Accent6 3 6" xfId="3982" xr:uid="{00000000-0005-0000-0000-0000BB260000}"/>
    <cellStyle name="20% - Accent6 3 6 2" xfId="7574" xr:uid="{00000000-0005-0000-0000-0000BC260000}"/>
    <cellStyle name="20% - Accent6 3 6 2 2" xfId="15545" xr:uid="{00000000-0005-0000-0000-0000BD260000}"/>
    <cellStyle name="20% - Accent6 3 6 2 3" xfId="23491" xr:uid="{00000000-0005-0000-0000-0000BE260000}"/>
    <cellStyle name="20% - Accent6 3 6 3" xfId="12007" xr:uid="{00000000-0005-0000-0000-0000BF260000}"/>
    <cellStyle name="20% - Accent6 3 6 4" xfId="19962" xr:uid="{00000000-0005-0000-0000-0000C0260000}"/>
    <cellStyle name="20% - Accent6 3 7" xfId="5802" xr:uid="{00000000-0005-0000-0000-0000C1260000}"/>
    <cellStyle name="20% - Accent6 3 7 2" xfId="13786" xr:uid="{00000000-0005-0000-0000-0000C2260000}"/>
    <cellStyle name="20% - Accent6 3 7 3" xfId="21734" xr:uid="{00000000-0005-0000-0000-0000C3260000}"/>
    <cellStyle name="20% - Accent6 3 8" xfId="9355" xr:uid="{00000000-0005-0000-0000-0000C4260000}"/>
    <cellStyle name="20% - Accent6 3 8 2" xfId="17313" xr:uid="{00000000-0005-0000-0000-0000C5260000}"/>
    <cellStyle name="20% - Accent6 3 8 3" xfId="25257" xr:uid="{00000000-0005-0000-0000-0000C6260000}"/>
    <cellStyle name="20% - Accent6 3 9" xfId="10251" xr:uid="{00000000-0005-0000-0000-0000C7260000}"/>
    <cellStyle name="20% - Accent6 3_Exh G" xfId="2613" xr:uid="{00000000-0005-0000-0000-0000C8260000}"/>
    <cellStyle name="20% - Accent6 4" xfId="307" xr:uid="{00000000-0005-0000-0000-0000C9260000}"/>
    <cellStyle name="20% - Accent6 4 10" xfId="18210" xr:uid="{00000000-0005-0000-0000-0000CA260000}"/>
    <cellStyle name="20% - Accent6 4 2" xfId="308" xr:uid="{00000000-0005-0000-0000-0000CB260000}"/>
    <cellStyle name="20% - Accent6 4 2 2" xfId="309" xr:uid="{00000000-0005-0000-0000-0000CC260000}"/>
    <cellStyle name="20% - Accent6 4 2 2 2" xfId="1337" xr:uid="{00000000-0005-0000-0000-0000CD260000}"/>
    <cellStyle name="20% - Accent6 4 2 2 2 2" xfId="4867" xr:uid="{00000000-0005-0000-0000-0000CE260000}"/>
    <cellStyle name="20% - Accent6 4 2 2 2 2 2" xfId="8458" xr:uid="{00000000-0005-0000-0000-0000CF260000}"/>
    <cellStyle name="20% - Accent6 4 2 2 2 2 2 2" xfId="16429" xr:uid="{00000000-0005-0000-0000-0000D0260000}"/>
    <cellStyle name="20% - Accent6 4 2 2 2 2 2 3" xfId="24375" xr:uid="{00000000-0005-0000-0000-0000D1260000}"/>
    <cellStyle name="20% - Accent6 4 2 2 2 2 3" xfId="12891" xr:uid="{00000000-0005-0000-0000-0000D2260000}"/>
    <cellStyle name="20% - Accent6 4 2 2 2 2 4" xfId="20846" xr:uid="{00000000-0005-0000-0000-0000D3260000}"/>
    <cellStyle name="20% - Accent6 4 2 2 2 3" xfId="6699" xr:uid="{00000000-0005-0000-0000-0000D4260000}"/>
    <cellStyle name="20% - Accent6 4 2 2 2 3 2" xfId="14671" xr:uid="{00000000-0005-0000-0000-0000D5260000}"/>
    <cellStyle name="20% - Accent6 4 2 2 2 3 3" xfId="22618" xr:uid="{00000000-0005-0000-0000-0000D6260000}"/>
    <cellStyle name="20% - Accent6 4 2 2 2 4" xfId="11135" xr:uid="{00000000-0005-0000-0000-0000D7260000}"/>
    <cellStyle name="20% - Accent6 4 2 2 2 5" xfId="19090" xr:uid="{00000000-0005-0000-0000-0000D8260000}"/>
    <cellStyle name="20% - Accent6 4 2 2 2_Exh G" xfId="2628" xr:uid="{00000000-0005-0000-0000-0000D9260000}"/>
    <cellStyle name="20% - Accent6 4 2 2 3" xfId="3988" xr:uid="{00000000-0005-0000-0000-0000DA260000}"/>
    <cellStyle name="20% - Accent6 4 2 2 3 2" xfId="7580" xr:uid="{00000000-0005-0000-0000-0000DB260000}"/>
    <cellStyle name="20% - Accent6 4 2 2 3 2 2" xfId="15551" xr:uid="{00000000-0005-0000-0000-0000DC260000}"/>
    <cellStyle name="20% - Accent6 4 2 2 3 2 3" xfId="23497" xr:uid="{00000000-0005-0000-0000-0000DD260000}"/>
    <cellStyle name="20% - Accent6 4 2 2 3 3" xfId="12013" xr:uid="{00000000-0005-0000-0000-0000DE260000}"/>
    <cellStyle name="20% - Accent6 4 2 2 3 4" xfId="19968" xr:uid="{00000000-0005-0000-0000-0000DF260000}"/>
    <cellStyle name="20% - Accent6 4 2 2 4" xfId="5808" xr:uid="{00000000-0005-0000-0000-0000E0260000}"/>
    <cellStyle name="20% - Accent6 4 2 2 4 2" xfId="13792" xr:uid="{00000000-0005-0000-0000-0000E1260000}"/>
    <cellStyle name="20% - Accent6 4 2 2 4 3" xfId="21740" xr:uid="{00000000-0005-0000-0000-0000E2260000}"/>
    <cellStyle name="20% - Accent6 4 2 2 5" xfId="9361" xr:uid="{00000000-0005-0000-0000-0000E3260000}"/>
    <cellStyle name="20% - Accent6 4 2 2 5 2" xfId="17319" xr:uid="{00000000-0005-0000-0000-0000E4260000}"/>
    <cellStyle name="20% - Accent6 4 2 2 5 3" xfId="25263" xr:uid="{00000000-0005-0000-0000-0000E5260000}"/>
    <cellStyle name="20% - Accent6 4 2 2 6" xfId="10257" xr:uid="{00000000-0005-0000-0000-0000E6260000}"/>
    <cellStyle name="20% - Accent6 4 2 2 7" xfId="18212" xr:uid="{00000000-0005-0000-0000-0000E7260000}"/>
    <cellStyle name="20% - Accent6 4 2 2_Exh G" xfId="2627" xr:uid="{00000000-0005-0000-0000-0000E8260000}"/>
    <cellStyle name="20% - Accent6 4 2 3" xfId="928" xr:uid="{00000000-0005-0000-0000-0000E9260000}"/>
    <cellStyle name="20% - Accent6 4 2 3 2" xfId="1854" xr:uid="{00000000-0005-0000-0000-0000EA260000}"/>
    <cellStyle name="20% - Accent6 4 2 3 2 2" xfId="5372" xr:uid="{00000000-0005-0000-0000-0000EB260000}"/>
    <cellStyle name="20% - Accent6 4 2 3 2 2 2" xfId="8963" xr:uid="{00000000-0005-0000-0000-0000EC260000}"/>
    <cellStyle name="20% - Accent6 4 2 3 2 2 2 2" xfId="16934" xr:uid="{00000000-0005-0000-0000-0000ED260000}"/>
    <cellStyle name="20% - Accent6 4 2 3 2 2 2 3" xfId="24880" xr:uid="{00000000-0005-0000-0000-0000EE260000}"/>
    <cellStyle name="20% - Accent6 4 2 3 2 2 3" xfId="13396" xr:uid="{00000000-0005-0000-0000-0000EF260000}"/>
    <cellStyle name="20% - Accent6 4 2 3 2 2 4" xfId="21351" xr:uid="{00000000-0005-0000-0000-0000F0260000}"/>
    <cellStyle name="20% - Accent6 4 2 3 2 3" xfId="7204" xr:uid="{00000000-0005-0000-0000-0000F1260000}"/>
    <cellStyle name="20% - Accent6 4 2 3 2 3 2" xfId="15176" xr:uid="{00000000-0005-0000-0000-0000F2260000}"/>
    <cellStyle name="20% - Accent6 4 2 3 2 3 3" xfId="23123" xr:uid="{00000000-0005-0000-0000-0000F3260000}"/>
    <cellStyle name="20% - Accent6 4 2 3 2 4" xfId="11640" xr:uid="{00000000-0005-0000-0000-0000F4260000}"/>
    <cellStyle name="20% - Accent6 4 2 3 2 5" xfId="19595" xr:uid="{00000000-0005-0000-0000-0000F5260000}"/>
    <cellStyle name="20% - Accent6 4 2 3 2_Exh G" xfId="2630" xr:uid="{00000000-0005-0000-0000-0000F6260000}"/>
    <cellStyle name="20% - Accent6 4 2 3 3" xfId="4493" xr:uid="{00000000-0005-0000-0000-0000F7260000}"/>
    <cellStyle name="20% - Accent6 4 2 3 3 2" xfId="8085" xr:uid="{00000000-0005-0000-0000-0000F8260000}"/>
    <cellStyle name="20% - Accent6 4 2 3 3 2 2" xfId="16056" xr:uid="{00000000-0005-0000-0000-0000F9260000}"/>
    <cellStyle name="20% - Accent6 4 2 3 3 2 3" xfId="24002" xr:uid="{00000000-0005-0000-0000-0000FA260000}"/>
    <cellStyle name="20% - Accent6 4 2 3 3 3" xfId="12518" xr:uid="{00000000-0005-0000-0000-0000FB260000}"/>
    <cellStyle name="20% - Accent6 4 2 3 3 4" xfId="20473" xr:uid="{00000000-0005-0000-0000-0000FC260000}"/>
    <cellStyle name="20% - Accent6 4 2 3 4" xfId="6323" xr:uid="{00000000-0005-0000-0000-0000FD260000}"/>
    <cellStyle name="20% - Accent6 4 2 3 4 2" xfId="14298" xr:uid="{00000000-0005-0000-0000-0000FE260000}"/>
    <cellStyle name="20% - Accent6 4 2 3 4 3" xfId="22245" xr:uid="{00000000-0005-0000-0000-0000FF260000}"/>
    <cellStyle name="20% - Accent6 4 2 3 5" xfId="9866" xr:uid="{00000000-0005-0000-0000-000000270000}"/>
    <cellStyle name="20% - Accent6 4 2 3 5 2" xfId="17824" xr:uid="{00000000-0005-0000-0000-000001270000}"/>
    <cellStyle name="20% - Accent6 4 2 3 5 3" xfId="25768" xr:uid="{00000000-0005-0000-0000-000002270000}"/>
    <cellStyle name="20% - Accent6 4 2 3 6" xfId="10762" xr:uid="{00000000-0005-0000-0000-000003270000}"/>
    <cellStyle name="20% - Accent6 4 2 3 7" xfId="18717" xr:uid="{00000000-0005-0000-0000-000004270000}"/>
    <cellStyle name="20% - Accent6 4 2 3_Exh G" xfId="2629" xr:uid="{00000000-0005-0000-0000-000005270000}"/>
    <cellStyle name="20% - Accent6 4 2 4" xfId="1336" xr:uid="{00000000-0005-0000-0000-000006270000}"/>
    <cellStyle name="20% - Accent6 4 2 4 2" xfId="4866" xr:uid="{00000000-0005-0000-0000-000007270000}"/>
    <cellStyle name="20% - Accent6 4 2 4 2 2" xfId="8457" xr:uid="{00000000-0005-0000-0000-000008270000}"/>
    <cellStyle name="20% - Accent6 4 2 4 2 2 2" xfId="16428" xr:uid="{00000000-0005-0000-0000-000009270000}"/>
    <cellStyle name="20% - Accent6 4 2 4 2 2 3" xfId="24374" xr:uid="{00000000-0005-0000-0000-00000A270000}"/>
    <cellStyle name="20% - Accent6 4 2 4 2 3" xfId="12890" xr:uid="{00000000-0005-0000-0000-00000B270000}"/>
    <cellStyle name="20% - Accent6 4 2 4 2 4" xfId="20845" xr:uid="{00000000-0005-0000-0000-00000C270000}"/>
    <cellStyle name="20% - Accent6 4 2 4 3" xfId="6698" xr:uid="{00000000-0005-0000-0000-00000D270000}"/>
    <cellStyle name="20% - Accent6 4 2 4 3 2" xfId="14670" xr:uid="{00000000-0005-0000-0000-00000E270000}"/>
    <cellStyle name="20% - Accent6 4 2 4 3 3" xfId="22617" xr:uid="{00000000-0005-0000-0000-00000F270000}"/>
    <cellStyle name="20% - Accent6 4 2 4 4" xfId="11134" xr:uid="{00000000-0005-0000-0000-000010270000}"/>
    <cellStyle name="20% - Accent6 4 2 4 5" xfId="19089" xr:uid="{00000000-0005-0000-0000-000011270000}"/>
    <cellStyle name="20% - Accent6 4 2 4_Exh G" xfId="2631" xr:uid="{00000000-0005-0000-0000-000012270000}"/>
    <cellStyle name="20% - Accent6 4 2 5" xfId="3987" xr:uid="{00000000-0005-0000-0000-000013270000}"/>
    <cellStyle name="20% - Accent6 4 2 5 2" xfId="7579" xr:uid="{00000000-0005-0000-0000-000014270000}"/>
    <cellStyle name="20% - Accent6 4 2 5 2 2" xfId="15550" xr:uid="{00000000-0005-0000-0000-000015270000}"/>
    <cellStyle name="20% - Accent6 4 2 5 2 3" xfId="23496" xr:uid="{00000000-0005-0000-0000-000016270000}"/>
    <cellStyle name="20% - Accent6 4 2 5 3" xfId="12012" xr:uid="{00000000-0005-0000-0000-000017270000}"/>
    <cellStyle name="20% - Accent6 4 2 5 4" xfId="19967" xr:uid="{00000000-0005-0000-0000-000018270000}"/>
    <cellStyle name="20% - Accent6 4 2 6" xfId="5807" xr:uid="{00000000-0005-0000-0000-000019270000}"/>
    <cellStyle name="20% - Accent6 4 2 6 2" xfId="13791" xr:uid="{00000000-0005-0000-0000-00001A270000}"/>
    <cellStyle name="20% - Accent6 4 2 6 3" xfId="21739" xr:uid="{00000000-0005-0000-0000-00001B270000}"/>
    <cellStyle name="20% - Accent6 4 2 7" xfId="9360" xr:uid="{00000000-0005-0000-0000-00001C270000}"/>
    <cellStyle name="20% - Accent6 4 2 7 2" xfId="17318" xr:uid="{00000000-0005-0000-0000-00001D270000}"/>
    <cellStyle name="20% - Accent6 4 2 7 3" xfId="25262" xr:uid="{00000000-0005-0000-0000-00001E270000}"/>
    <cellStyle name="20% - Accent6 4 2 8" xfId="10256" xr:uid="{00000000-0005-0000-0000-00001F270000}"/>
    <cellStyle name="20% - Accent6 4 2 9" xfId="18211" xr:uid="{00000000-0005-0000-0000-000020270000}"/>
    <cellStyle name="20% - Accent6 4 2_Exh G" xfId="2626" xr:uid="{00000000-0005-0000-0000-000021270000}"/>
    <cellStyle name="20% - Accent6 4 3" xfId="310" xr:uid="{00000000-0005-0000-0000-000022270000}"/>
    <cellStyle name="20% - Accent6 4 3 2" xfId="1338" xr:uid="{00000000-0005-0000-0000-000023270000}"/>
    <cellStyle name="20% - Accent6 4 3 2 2" xfId="4868" xr:uid="{00000000-0005-0000-0000-000024270000}"/>
    <cellStyle name="20% - Accent6 4 3 2 2 2" xfId="8459" xr:uid="{00000000-0005-0000-0000-000025270000}"/>
    <cellStyle name="20% - Accent6 4 3 2 2 2 2" xfId="16430" xr:uid="{00000000-0005-0000-0000-000026270000}"/>
    <cellStyle name="20% - Accent6 4 3 2 2 2 3" xfId="24376" xr:uid="{00000000-0005-0000-0000-000027270000}"/>
    <cellStyle name="20% - Accent6 4 3 2 2 3" xfId="12892" xr:uid="{00000000-0005-0000-0000-000028270000}"/>
    <cellStyle name="20% - Accent6 4 3 2 2 4" xfId="20847" xr:uid="{00000000-0005-0000-0000-000029270000}"/>
    <cellStyle name="20% - Accent6 4 3 2 3" xfId="6700" xr:uid="{00000000-0005-0000-0000-00002A270000}"/>
    <cellStyle name="20% - Accent6 4 3 2 3 2" xfId="14672" xr:uid="{00000000-0005-0000-0000-00002B270000}"/>
    <cellStyle name="20% - Accent6 4 3 2 3 3" xfId="22619" xr:uid="{00000000-0005-0000-0000-00002C270000}"/>
    <cellStyle name="20% - Accent6 4 3 2 4" xfId="11136" xr:uid="{00000000-0005-0000-0000-00002D270000}"/>
    <cellStyle name="20% - Accent6 4 3 2 5" xfId="19091" xr:uid="{00000000-0005-0000-0000-00002E270000}"/>
    <cellStyle name="20% - Accent6 4 3 2_Exh G" xfId="2633" xr:uid="{00000000-0005-0000-0000-00002F270000}"/>
    <cellStyle name="20% - Accent6 4 3 3" xfId="3989" xr:uid="{00000000-0005-0000-0000-000030270000}"/>
    <cellStyle name="20% - Accent6 4 3 3 2" xfId="7581" xr:uid="{00000000-0005-0000-0000-000031270000}"/>
    <cellStyle name="20% - Accent6 4 3 3 2 2" xfId="15552" xr:uid="{00000000-0005-0000-0000-000032270000}"/>
    <cellStyle name="20% - Accent6 4 3 3 2 3" xfId="23498" xr:uid="{00000000-0005-0000-0000-000033270000}"/>
    <cellStyle name="20% - Accent6 4 3 3 3" xfId="12014" xr:uid="{00000000-0005-0000-0000-000034270000}"/>
    <cellStyle name="20% - Accent6 4 3 3 4" xfId="19969" xr:uid="{00000000-0005-0000-0000-000035270000}"/>
    <cellStyle name="20% - Accent6 4 3 4" xfId="5809" xr:uid="{00000000-0005-0000-0000-000036270000}"/>
    <cellStyle name="20% - Accent6 4 3 4 2" xfId="13793" xr:uid="{00000000-0005-0000-0000-000037270000}"/>
    <cellStyle name="20% - Accent6 4 3 4 3" xfId="21741" xr:uid="{00000000-0005-0000-0000-000038270000}"/>
    <cellStyle name="20% - Accent6 4 3 5" xfId="9362" xr:uid="{00000000-0005-0000-0000-000039270000}"/>
    <cellStyle name="20% - Accent6 4 3 5 2" xfId="17320" xr:uid="{00000000-0005-0000-0000-00003A270000}"/>
    <cellStyle name="20% - Accent6 4 3 5 3" xfId="25264" xr:uid="{00000000-0005-0000-0000-00003B270000}"/>
    <cellStyle name="20% - Accent6 4 3 6" xfId="10258" xr:uid="{00000000-0005-0000-0000-00003C270000}"/>
    <cellStyle name="20% - Accent6 4 3 7" xfId="18213" xr:uid="{00000000-0005-0000-0000-00003D270000}"/>
    <cellStyle name="20% - Accent6 4 3_Exh G" xfId="2632" xr:uid="{00000000-0005-0000-0000-00003E270000}"/>
    <cellStyle name="20% - Accent6 4 4" xfId="927" xr:uid="{00000000-0005-0000-0000-00003F270000}"/>
    <cellStyle name="20% - Accent6 4 4 2" xfId="1853" xr:uid="{00000000-0005-0000-0000-000040270000}"/>
    <cellStyle name="20% - Accent6 4 4 2 2" xfId="5371" xr:uid="{00000000-0005-0000-0000-000041270000}"/>
    <cellStyle name="20% - Accent6 4 4 2 2 2" xfId="8962" xr:uid="{00000000-0005-0000-0000-000042270000}"/>
    <cellStyle name="20% - Accent6 4 4 2 2 2 2" xfId="16933" xr:uid="{00000000-0005-0000-0000-000043270000}"/>
    <cellStyle name="20% - Accent6 4 4 2 2 2 3" xfId="24879" xr:uid="{00000000-0005-0000-0000-000044270000}"/>
    <cellStyle name="20% - Accent6 4 4 2 2 3" xfId="13395" xr:uid="{00000000-0005-0000-0000-000045270000}"/>
    <cellStyle name="20% - Accent6 4 4 2 2 4" xfId="21350" xr:uid="{00000000-0005-0000-0000-000046270000}"/>
    <cellStyle name="20% - Accent6 4 4 2 3" xfId="7203" xr:uid="{00000000-0005-0000-0000-000047270000}"/>
    <cellStyle name="20% - Accent6 4 4 2 3 2" xfId="15175" xr:uid="{00000000-0005-0000-0000-000048270000}"/>
    <cellStyle name="20% - Accent6 4 4 2 3 3" xfId="23122" xr:uid="{00000000-0005-0000-0000-000049270000}"/>
    <cellStyle name="20% - Accent6 4 4 2 4" xfId="11639" xr:uid="{00000000-0005-0000-0000-00004A270000}"/>
    <cellStyle name="20% - Accent6 4 4 2 5" xfId="19594" xr:uid="{00000000-0005-0000-0000-00004B270000}"/>
    <cellStyle name="20% - Accent6 4 4 2_Exh G" xfId="2635" xr:uid="{00000000-0005-0000-0000-00004C270000}"/>
    <cellStyle name="20% - Accent6 4 4 3" xfId="4492" xr:uid="{00000000-0005-0000-0000-00004D270000}"/>
    <cellStyle name="20% - Accent6 4 4 3 2" xfId="8084" xr:uid="{00000000-0005-0000-0000-00004E270000}"/>
    <cellStyle name="20% - Accent6 4 4 3 2 2" xfId="16055" xr:uid="{00000000-0005-0000-0000-00004F270000}"/>
    <cellStyle name="20% - Accent6 4 4 3 2 3" xfId="24001" xr:uid="{00000000-0005-0000-0000-000050270000}"/>
    <cellStyle name="20% - Accent6 4 4 3 3" xfId="12517" xr:uid="{00000000-0005-0000-0000-000051270000}"/>
    <cellStyle name="20% - Accent6 4 4 3 4" xfId="20472" xr:uid="{00000000-0005-0000-0000-000052270000}"/>
    <cellStyle name="20% - Accent6 4 4 4" xfId="6322" xr:uid="{00000000-0005-0000-0000-000053270000}"/>
    <cellStyle name="20% - Accent6 4 4 4 2" xfId="14297" xr:uid="{00000000-0005-0000-0000-000054270000}"/>
    <cellStyle name="20% - Accent6 4 4 4 3" xfId="22244" xr:uid="{00000000-0005-0000-0000-000055270000}"/>
    <cellStyle name="20% - Accent6 4 4 5" xfId="9865" xr:uid="{00000000-0005-0000-0000-000056270000}"/>
    <cellStyle name="20% - Accent6 4 4 5 2" xfId="17823" xr:uid="{00000000-0005-0000-0000-000057270000}"/>
    <cellStyle name="20% - Accent6 4 4 5 3" xfId="25767" xr:uid="{00000000-0005-0000-0000-000058270000}"/>
    <cellStyle name="20% - Accent6 4 4 6" xfId="10761" xr:uid="{00000000-0005-0000-0000-000059270000}"/>
    <cellStyle name="20% - Accent6 4 4 7" xfId="18716" xr:uid="{00000000-0005-0000-0000-00005A270000}"/>
    <cellStyle name="20% - Accent6 4 4_Exh G" xfId="2634" xr:uid="{00000000-0005-0000-0000-00005B270000}"/>
    <cellStyle name="20% - Accent6 4 5" xfId="1335" xr:uid="{00000000-0005-0000-0000-00005C270000}"/>
    <cellStyle name="20% - Accent6 4 5 2" xfId="4865" xr:uid="{00000000-0005-0000-0000-00005D270000}"/>
    <cellStyle name="20% - Accent6 4 5 2 2" xfId="8456" xr:uid="{00000000-0005-0000-0000-00005E270000}"/>
    <cellStyle name="20% - Accent6 4 5 2 2 2" xfId="16427" xr:uid="{00000000-0005-0000-0000-00005F270000}"/>
    <cellStyle name="20% - Accent6 4 5 2 2 3" xfId="24373" xr:uid="{00000000-0005-0000-0000-000060270000}"/>
    <cellStyle name="20% - Accent6 4 5 2 3" xfId="12889" xr:uid="{00000000-0005-0000-0000-000061270000}"/>
    <cellStyle name="20% - Accent6 4 5 2 4" xfId="20844" xr:uid="{00000000-0005-0000-0000-000062270000}"/>
    <cellStyle name="20% - Accent6 4 5 3" xfId="6697" xr:uid="{00000000-0005-0000-0000-000063270000}"/>
    <cellStyle name="20% - Accent6 4 5 3 2" xfId="14669" xr:uid="{00000000-0005-0000-0000-000064270000}"/>
    <cellStyle name="20% - Accent6 4 5 3 3" xfId="22616" xr:uid="{00000000-0005-0000-0000-000065270000}"/>
    <cellStyle name="20% - Accent6 4 5 4" xfId="11133" xr:uid="{00000000-0005-0000-0000-000066270000}"/>
    <cellStyle name="20% - Accent6 4 5 5" xfId="19088" xr:uid="{00000000-0005-0000-0000-000067270000}"/>
    <cellStyle name="20% - Accent6 4 5_Exh G" xfId="2636" xr:uid="{00000000-0005-0000-0000-000068270000}"/>
    <cellStyle name="20% - Accent6 4 6" xfId="3986" xr:uid="{00000000-0005-0000-0000-000069270000}"/>
    <cellStyle name="20% - Accent6 4 6 2" xfId="7578" xr:uid="{00000000-0005-0000-0000-00006A270000}"/>
    <cellStyle name="20% - Accent6 4 6 2 2" xfId="15549" xr:uid="{00000000-0005-0000-0000-00006B270000}"/>
    <cellStyle name="20% - Accent6 4 6 2 3" xfId="23495" xr:uid="{00000000-0005-0000-0000-00006C270000}"/>
    <cellStyle name="20% - Accent6 4 6 3" xfId="12011" xr:uid="{00000000-0005-0000-0000-00006D270000}"/>
    <cellStyle name="20% - Accent6 4 6 4" xfId="19966" xr:uid="{00000000-0005-0000-0000-00006E270000}"/>
    <cellStyle name="20% - Accent6 4 7" xfId="5806" xr:uid="{00000000-0005-0000-0000-00006F270000}"/>
    <cellStyle name="20% - Accent6 4 7 2" xfId="13790" xr:uid="{00000000-0005-0000-0000-000070270000}"/>
    <cellStyle name="20% - Accent6 4 7 3" xfId="21738" xr:uid="{00000000-0005-0000-0000-000071270000}"/>
    <cellStyle name="20% - Accent6 4 8" xfId="9359" xr:uid="{00000000-0005-0000-0000-000072270000}"/>
    <cellStyle name="20% - Accent6 4 8 2" xfId="17317" xr:uid="{00000000-0005-0000-0000-000073270000}"/>
    <cellStyle name="20% - Accent6 4 8 3" xfId="25261" xr:uid="{00000000-0005-0000-0000-000074270000}"/>
    <cellStyle name="20% - Accent6 4 9" xfId="10255" xr:uid="{00000000-0005-0000-0000-000075270000}"/>
    <cellStyle name="20% - Accent6 4_Exh G" xfId="2625" xr:uid="{00000000-0005-0000-0000-000076270000}"/>
    <cellStyle name="20% - Accent6 5" xfId="311" xr:uid="{00000000-0005-0000-0000-000077270000}"/>
    <cellStyle name="20% - Accent6 5 10" xfId="18214" xr:uid="{00000000-0005-0000-0000-000078270000}"/>
    <cellStyle name="20% - Accent6 5 2" xfId="312" xr:uid="{00000000-0005-0000-0000-000079270000}"/>
    <cellStyle name="20% - Accent6 5 2 2" xfId="313" xr:uid="{00000000-0005-0000-0000-00007A270000}"/>
    <cellStyle name="20% - Accent6 5 2 2 2" xfId="1341" xr:uid="{00000000-0005-0000-0000-00007B270000}"/>
    <cellStyle name="20% - Accent6 5 2 2 2 2" xfId="4871" xr:uid="{00000000-0005-0000-0000-00007C270000}"/>
    <cellStyle name="20% - Accent6 5 2 2 2 2 2" xfId="8462" xr:uid="{00000000-0005-0000-0000-00007D270000}"/>
    <cellStyle name="20% - Accent6 5 2 2 2 2 2 2" xfId="16433" xr:uid="{00000000-0005-0000-0000-00007E270000}"/>
    <cellStyle name="20% - Accent6 5 2 2 2 2 2 3" xfId="24379" xr:uid="{00000000-0005-0000-0000-00007F270000}"/>
    <cellStyle name="20% - Accent6 5 2 2 2 2 3" xfId="12895" xr:uid="{00000000-0005-0000-0000-000080270000}"/>
    <cellStyle name="20% - Accent6 5 2 2 2 2 4" xfId="20850" xr:uid="{00000000-0005-0000-0000-000081270000}"/>
    <cellStyle name="20% - Accent6 5 2 2 2 3" xfId="6703" xr:uid="{00000000-0005-0000-0000-000082270000}"/>
    <cellStyle name="20% - Accent6 5 2 2 2 3 2" xfId="14675" xr:uid="{00000000-0005-0000-0000-000083270000}"/>
    <cellStyle name="20% - Accent6 5 2 2 2 3 3" xfId="22622" xr:uid="{00000000-0005-0000-0000-000084270000}"/>
    <cellStyle name="20% - Accent6 5 2 2 2 4" xfId="11139" xr:uid="{00000000-0005-0000-0000-000085270000}"/>
    <cellStyle name="20% - Accent6 5 2 2 2 5" xfId="19094" xr:uid="{00000000-0005-0000-0000-000086270000}"/>
    <cellStyle name="20% - Accent6 5 2 2 2_Exh G" xfId="2640" xr:uid="{00000000-0005-0000-0000-000087270000}"/>
    <cellStyle name="20% - Accent6 5 2 2 3" xfId="3992" xr:uid="{00000000-0005-0000-0000-000088270000}"/>
    <cellStyle name="20% - Accent6 5 2 2 3 2" xfId="7584" xr:uid="{00000000-0005-0000-0000-000089270000}"/>
    <cellStyle name="20% - Accent6 5 2 2 3 2 2" xfId="15555" xr:uid="{00000000-0005-0000-0000-00008A270000}"/>
    <cellStyle name="20% - Accent6 5 2 2 3 2 3" xfId="23501" xr:uid="{00000000-0005-0000-0000-00008B270000}"/>
    <cellStyle name="20% - Accent6 5 2 2 3 3" xfId="12017" xr:uid="{00000000-0005-0000-0000-00008C270000}"/>
    <cellStyle name="20% - Accent6 5 2 2 3 4" xfId="19972" xr:uid="{00000000-0005-0000-0000-00008D270000}"/>
    <cellStyle name="20% - Accent6 5 2 2 4" xfId="5812" xr:uid="{00000000-0005-0000-0000-00008E270000}"/>
    <cellStyle name="20% - Accent6 5 2 2 4 2" xfId="13796" xr:uid="{00000000-0005-0000-0000-00008F270000}"/>
    <cellStyle name="20% - Accent6 5 2 2 4 3" xfId="21744" xr:uid="{00000000-0005-0000-0000-000090270000}"/>
    <cellStyle name="20% - Accent6 5 2 2 5" xfId="9365" xr:uid="{00000000-0005-0000-0000-000091270000}"/>
    <cellStyle name="20% - Accent6 5 2 2 5 2" xfId="17323" xr:uid="{00000000-0005-0000-0000-000092270000}"/>
    <cellStyle name="20% - Accent6 5 2 2 5 3" xfId="25267" xr:uid="{00000000-0005-0000-0000-000093270000}"/>
    <cellStyle name="20% - Accent6 5 2 2 6" xfId="10261" xr:uid="{00000000-0005-0000-0000-000094270000}"/>
    <cellStyle name="20% - Accent6 5 2 2 7" xfId="18216" xr:uid="{00000000-0005-0000-0000-000095270000}"/>
    <cellStyle name="20% - Accent6 5 2 2_Exh G" xfId="2639" xr:uid="{00000000-0005-0000-0000-000096270000}"/>
    <cellStyle name="20% - Accent6 5 2 3" xfId="1340" xr:uid="{00000000-0005-0000-0000-000097270000}"/>
    <cellStyle name="20% - Accent6 5 2 3 2" xfId="4870" xr:uid="{00000000-0005-0000-0000-000098270000}"/>
    <cellStyle name="20% - Accent6 5 2 3 2 2" xfId="8461" xr:uid="{00000000-0005-0000-0000-000099270000}"/>
    <cellStyle name="20% - Accent6 5 2 3 2 2 2" xfId="16432" xr:uid="{00000000-0005-0000-0000-00009A270000}"/>
    <cellStyle name="20% - Accent6 5 2 3 2 2 3" xfId="24378" xr:uid="{00000000-0005-0000-0000-00009B270000}"/>
    <cellStyle name="20% - Accent6 5 2 3 2 3" xfId="12894" xr:uid="{00000000-0005-0000-0000-00009C270000}"/>
    <cellStyle name="20% - Accent6 5 2 3 2 4" xfId="20849" xr:uid="{00000000-0005-0000-0000-00009D270000}"/>
    <cellStyle name="20% - Accent6 5 2 3 3" xfId="6702" xr:uid="{00000000-0005-0000-0000-00009E270000}"/>
    <cellStyle name="20% - Accent6 5 2 3 3 2" xfId="14674" xr:uid="{00000000-0005-0000-0000-00009F270000}"/>
    <cellStyle name="20% - Accent6 5 2 3 3 3" xfId="22621" xr:uid="{00000000-0005-0000-0000-0000A0270000}"/>
    <cellStyle name="20% - Accent6 5 2 3 4" xfId="11138" xr:uid="{00000000-0005-0000-0000-0000A1270000}"/>
    <cellStyle name="20% - Accent6 5 2 3 5" xfId="19093" xr:uid="{00000000-0005-0000-0000-0000A2270000}"/>
    <cellStyle name="20% - Accent6 5 2 3_Exh G" xfId="2641" xr:uid="{00000000-0005-0000-0000-0000A3270000}"/>
    <cellStyle name="20% - Accent6 5 2 4" xfId="3991" xr:uid="{00000000-0005-0000-0000-0000A4270000}"/>
    <cellStyle name="20% - Accent6 5 2 4 2" xfId="7583" xr:uid="{00000000-0005-0000-0000-0000A5270000}"/>
    <cellStyle name="20% - Accent6 5 2 4 2 2" xfId="15554" xr:uid="{00000000-0005-0000-0000-0000A6270000}"/>
    <cellStyle name="20% - Accent6 5 2 4 2 3" xfId="23500" xr:uid="{00000000-0005-0000-0000-0000A7270000}"/>
    <cellStyle name="20% - Accent6 5 2 4 3" xfId="12016" xr:uid="{00000000-0005-0000-0000-0000A8270000}"/>
    <cellStyle name="20% - Accent6 5 2 4 4" xfId="19971" xr:uid="{00000000-0005-0000-0000-0000A9270000}"/>
    <cellStyle name="20% - Accent6 5 2 5" xfId="5811" xr:uid="{00000000-0005-0000-0000-0000AA270000}"/>
    <cellStyle name="20% - Accent6 5 2 5 2" xfId="13795" xr:uid="{00000000-0005-0000-0000-0000AB270000}"/>
    <cellStyle name="20% - Accent6 5 2 5 3" xfId="21743" xr:uid="{00000000-0005-0000-0000-0000AC270000}"/>
    <cellStyle name="20% - Accent6 5 2 6" xfId="9364" xr:uid="{00000000-0005-0000-0000-0000AD270000}"/>
    <cellStyle name="20% - Accent6 5 2 6 2" xfId="17322" xr:uid="{00000000-0005-0000-0000-0000AE270000}"/>
    <cellStyle name="20% - Accent6 5 2 6 3" xfId="25266" xr:uid="{00000000-0005-0000-0000-0000AF270000}"/>
    <cellStyle name="20% - Accent6 5 2 7" xfId="10260" xr:uid="{00000000-0005-0000-0000-0000B0270000}"/>
    <cellStyle name="20% - Accent6 5 2 8" xfId="18215" xr:uid="{00000000-0005-0000-0000-0000B1270000}"/>
    <cellStyle name="20% - Accent6 5 2_Exh G" xfId="2638" xr:uid="{00000000-0005-0000-0000-0000B2270000}"/>
    <cellStyle name="20% - Accent6 5 3" xfId="314" xr:uid="{00000000-0005-0000-0000-0000B3270000}"/>
    <cellStyle name="20% - Accent6 5 3 2" xfId="1342" xr:uid="{00000000-0005-0000-0000-0000B4270000}"/>
    <cellStyle name="20% - Accent6 5 3 2 2" xfId="4872" xr:uid="{00000000-0005-0000-0000-0000B5270000}"/>
    <cellStyle name="20% - Accent6 5 3 2 2 2" xfId="8463" xr:uid="{00000000-0005-0000-0000-0000B6270000}"/>
    <cellStyle name="20% - Accent6 5 3 2 2 2 2" xfId="16434" xr:uid="{00000000-0005-0000-0000-0000B7270000}"/>
    <cellStyle name="20% - Accent6 5 3 2 2 2 3" xfId="24380" xr:uid="{00000000-0005-0000-0000-0000B8270000}"/>
    <cellStyle name="20% - Accent6 5 3 2 2 3" xfId="12896" xr:uid="{00000000-0005-0000-0000-0000B9270000}"/>
    <cellStyle name="20% - Accent6 5 3 2 2 4" xfId="20851" xr:uid="{00000000-0005-0000-0000-0000BA270000}"/>
    <cellStyle name="20% - Accent6 5 3 2 3" xfId="6704" xr:uid="{00000000-0005-0000-0000-0000BB270000}"/>
    <cellStyle name="20% - Accent6 5 3 2 3 2" xfId="14676" xr:uid="{00000000-0005-0000-0000-0000BC270000}"/>
    <cellStyle name="20% - Accent6 5 3 2 3 3" xfId="22623" xr:uid="{00000000-0005-0000-0000-0000BD270000}"/>
    <cellStyle name="20% - Accent6 5 3 2 4" xfId="11140" xr:uid="{00000000-0005-0000-0000-0000BE270000}"/>
    <cellStyle name="20% - Accent6 5 3 2 5" xfId="19095" xr:uid="{00000000-0005-0000-0000-0000BF270000}"/>
    <cellStyle name="20% - Accent6 5 3 2_Exh G" xfId="2643" xr:uid="{00000000-0005-0000-0000-0000C0270000}"/>
    <cellStyle name="20% - Accent6 5 3 3" xfId="3993" xr:uid="{00000000-0005-0000-0000-0000C1270000}"/>
    <cellStyle name="20% - Accent6 5 3 3 2" xfId="7585" xr:uid="{00000000-0005-0000-0000-0000C2270000}"/>
    <cellStyle name="20% - Accent6 5 3 3 2 2" xfId="15556" xr:uid="{00000000-0005-0000-0000-0000C3270000}"/>
    <cellStyle name="20% - Accent6 5 3 3 2 3" xfId="23502" xr:uid="{00000000-0005-0000-0000-0000C4270000}"/>
    <cellStyle name="20% - Accent6 5 3 3 3" xfId="12018" xr:uid="{00000000-0005-0000-0000-0000C5270000}"/>
    <cellStyle name="20% - Accent6 5 3 3 4" xfId="19973" xr:uid="{00000000-0005-0000-0000-0000C6270000}"/>
    <cellStyle name="20% - Accent6 5 3 4" xfId="5813" xr:uid="{00000000-0005-0000-0000-0000C7270000}"/>
    <cellStyle name="20% - Accent6 5 3 4 2" xfId="13797" xr:uid="{00000000-0005-0000-0000-0000C8270000}"/>
    <cellStyle name="20% - Accent6 5 3 4 3" xfId="21745" xr:uid="{00000000-0005-0000-0000-0000C9270000}"/>
    <cellStyle name="20% - Accent6 5 3 5" xfId="9366" xr:uid="{00000000-0005-0000-0000-0000CA270000}"/>
    <cellStyle name="20% - Accent6 5 3 5 2" xfId="17324" xr:uid="{00000000-0005-0000-0000-0000CB270000}"/>
    <cellStyle name="20% - Accent6 5 3 5 3" xfId="25268" xr:uid="{00000000-0005-0000-0000-0000CC270000}"/>
    <cellStyle name="20% - Accent6 5 3 6" xfId="10262" xr:uid="{00000000-0005-0000-0000-0000CD270000}"/>
    <cellStyle name="20% - Accent6 5 3 7" xfId="18217" xr:uid="{00000000-0005-0000-0000-0000CE270000}"/>
    <cellStyle name="20% - Accent6 5 3_Exh G" xfId="2642" xr:uid="{00000000-0005-0000-0000-0000CF270000}"/>
    <cellStyle name="20% - Accent6 5 4" xfId="929" xr:uid="{00000000-0005-0000-0000-0000D0270000}"/>
    <cellStyle name="20% - Accent6 5 5" xfId="1339" xr:uid="{00000000-0005-0000-0000-0000D1270000}"/>
    <cellStyle name="20% - Accent6 5 5 2" xfId="4869" xr:uid="{00000000-0005-0000-0000-0000D2270000}"/>
    <cellStyle name="20% - Accent6 5 5 2 2" xfId="8460" xr:uid="{00000000-0005-0000-0000-0000D3270000}"/>
    <cellStyle name="20% - Accent6 5 5 2 2 2" xfId="16431" xr:uid="{00000000-0005-0000-0000-0000D4270000}"/>
    <cellStyle name="20% - Accent6 5 5 2 2 3" xfId="24377" xr:uid="{00000000-0005-0000-0000-0000D5270000}"/>
    <cellStyle name="20% - Accent6 5 5 2 3" xfId="12893" xr:uid="{00000000-0005-0000-0000-0000D6270000}"/>
    <cellStyle name="20% - Accent6 5 5 2 4" xfId="20848" xr:uid="{00000000-0005-0000-0000-0000D7270000}"/>
    <cellStyle name="20% - Accent6 5 5 3" xfId="6701" xr:uid="{00000000-0005-0000-0000-0000D8270000}"/>
    <cellStyle name="20% - Accent6 5 5 3 2" xfId="14673" xr:uid="{00000000-0005-0000-0000-0000D9270000}"/>
    <cellStyle name="20% - Accent6 5 5 3 3" xfId="22620" xr:uid="{00000000-0005-0000-0000-0000DA270000}"/>
    <cellStyle name="20% - Accent6 5 5 4" xfId="11137" xr:uid="{00000000-0005-0000-0000-0000DB270000}"/>
    <cellStyle name="20% - Accent6 5 5 5" xfId="19092" xr:uid="{00000000-0005-0000-0000-0000DC270000}"/>
    <cellStyle name="20% - Accent6 5 5_Exh G" xfId="2644" xr:uid="{00000000-0005-0000-0000-0000DD270000}"/>
    <cellStyle name="20% - Accent6 5 6" xfId="3990" xr:uid="{00000000-0005-0000-0000-0000DE270000}"/>
    <cellStyle name="20% - Accent6 5 6 2" xfId="7582" xr:uid="{00000000-0005-0000-0000-0000DF270000}"/>
    <cellStyle name="20% - Accent6 5 6 2 2" xfId="15553" xr:uid="{00000000-0005-0000-0000-0000E0270000}"/>
    <cellStyle name="20% - Accent6 5 6 2 3" xfId="23499" xr:uid="{00000000-0005-0000-0000-0000E1270000}"/>
    <cellStyle name="20% - Accent6 5 6 3" xfId="12015" xr:uid="{00000000-0005-0000-0000-0000E2270000}"/>
    <cellStyle name="20% - Accent6 5 6 4" xfId="19970" xr:uid="{00000000-0005-0000-0000-0000E3270000}"/>
    <cellStyle name="20% - Accent6 5 7" xfId="5810" xr:uid="{00000000-0005-0000-0000-0000E4270000}"/>
    <cellStyle name="20% - Accent6 5 7 2" xfId="13794" xr:uid="{00000000-0005-0000-0000-0000E5270000}"/>
    <cellStyle name="20% - Accent6 5 7 3" xfId="21742" xr:uid="{00000000-0005-0000-0000-0000E6270000}"/>
    <cellStyle name="20% - Accent6 5 8" xfId="9363" xr:uid="{00000000-0005-0000-0000-0000E7270000}"/>
    <cellStyle name="20% - Accent6 5 8 2" xfId="17321" xr:uid="{00000000-0005-0000-0000-0000E8270000}"/>
    <cellStyle name="20% - Accent6 5 8 3" xfId="25265" xr:uid="{00000000-0005-0000-0000-0000E9270000}"/>
    <cellStyle name="20% - Accent6 5 9" xfId="10259" xr:uid="{00000000-0005-0000-0000-0000EA270000}"/>
    <cellStyle name="20% - Accent6 5_Exh G" xfId="2637" xr:uid="{00000000-0005-0000-0000-0000EB270000}"/>
    <cellStyle name="20% - Accent6 6" xfId="315" xr:uid="{00000000-0005-0000-0000-0000EC270000}"/>
    <cellStyle name="20% - Accent6 6 10" xfId="18218" xr:uid="{00000000-0005-0000-0000-0000ED270000}"/>
    <cellStyle name="20% - Accent6 6 2" xfId="316" xr:uid="{00000000-0005-0000-0000-0000EE270000}"/>
    <cellStyle name="20% - Accent6 6 2 2" xfId="317" xr:uid="{00000000-0005-0000-0000-0000EF270000}"/>
    <cellStyle name="20% - Accent6 6 2 2 2" xfId="1345" xr:uid="{00000000-0005-0000-0000-0000F0270000}"/>
    <cellStyle name="20% - Accent6 6 2 2 2 2" xfId="4875" xr:uid="{00000000-0005-0000-0000-0000F1270000}"/>
    <cellStyle name="20% - Accent6 6 2 2 2 2 2" xfId="8466" xr:uid="{00000000-0005-0000-0000-0000F2270000}"/>
    <cellStyle name="20% - Accent6 6 2 2 2 2 2 2" xfId="16437" xr:uid="{00000000-0005-0000-0000-0000F3270000}"/>
    <cellStyle name="20% - Accent6 6 2 2 2 2 2 3" xfId="24383" xr:uid="{00000000-0005-0000-0000-0000F4270000}"/>
    <cellStyle name="20% - Accent6 6 2 2 2 2 3" xfId="12899" xr:uid="{00000000-0005-0000-0000-0000F5270000}"/>
    <cellStyle name="20% - Accent6 6 2 2 2 2 4" xfId="20854" xr:uid="{00000000-0005-0000-0000-0000F6270000}"/>
    <cellStyle name="20% - Accent6 6 2 2 2 3" xfId="6707" xr:uid="{00000000-0005-0000-0000-0000F7270000}"/>
    <cellStyle name="20% - Accent6 6 2 2 2 3 2" xfId="14679" xr:uid="{00000000-0005-0000-0000-0000F8270000}"/>
    <cellStyle name="20% - Accent6 6 2 2 2 3 3" xfId="22626" xr:uid="{00000000-0005-0000-0000-0000F9270000}"/>
    <cellStyle name="20% - Accent6 6 2 2 2 4" xfId="11143" xr:uid="{00000000-0005-0000-0000-0000FA270000}"/>
    <cellStyle name="20% - Accent6 6 2 2 2 5" xfId="19098" xr:uid="{00000000-0005-0000-0000-0000FB270000}"/>
    <cellStyle name="20% - Accent6 6 2 2 2_Exh G" xfId="2648" xr:uid="{00000000-0005-0000-0000-0000FC270000}"/>
    <cellStyle name="20% - Accent6 6 2 2 3" xfId="3996" xr:uid="{00000000-0005-0000-0000-0000FD270000}"/>
    <cellStyle name="20% - Accent6 6 2 2 3 2" xfId="7588" xr:uid="{00000000-0005-0000-0000-0000FE270000}"/>
    <cellStyle name="20% - Accent6 6 2 2 3 2 2" xfId="15559" xr:uid="{00000000-0005-0000-0000-0000FF270000}"/>
    <cellStyle name="20% - Accent6 6 2 2 3 2 3" xfId="23505" xr:uid="{00000000-0005-0000-0000-000000280000}"/>
    <cellStyle name="20% - Accent6 6 2 2 3 3" xfId="12021" xr:uid="{00000000-0005-0000-0000-000001280000}"/>
    <cellStyle name="20% - Accent6 6 2 2 3 4" xfId="19976" xr:uid="{00000000-0005-0000-0000-000002280000}"/>
    <cellStyle name="20% - Accent6 6 2 2 4" xfId="5816" xr:uid="{00000000-0005-0000-0000-000003280000}"/>
    <cellStyle name="20% - Accent6 6 2 2 4 2" xfId="13800" xr:uid="{00000000-0005-0000-0000-000004280000}"/>
    <cellStyle name="20% - Accent6 6 2 2 4 3" xfId="21748" xr:uid="{00000000-0005-0000-0000-000005280000}"/>
    <cellStyle name="20% - Accent6 6 2 2 5" xfId="9369" xr:uid="{00000000-0005-0000-0000-000006280000}"/>
    <cellStyle name="20% - Accent6 6 2 2 5 2" xfId="17327" xr:uid="{00000000-0005-0000-0000-000007280000}"/>
    <cellStyle name="20% - Accent6 6 2 2 5 3" xfId="25271" xr:uid="{00000000-0005-0000-0000-000008280000}"/>
    <cellStyle name="20% - Accent6 6 2 2 6" xfId="10265" xr:uid="{00000000-0005-0000-0000-000009280000}"/>
    <cellStyle name="20% - Accent6 6 2 2 7" xfId="18220" xr:uid="{00000000-0005-0000-0000-00000A280000}"/>
    <cellStyle name="20% - Accent6 6 2 2_Exh G" xfId="2647" xr:uid="{00000000-0005-0000-0000-00000B280000}"/>
    <cellStyle name="20% - Accent6 6 2 3" xfId="1344" xr:uid="{00000000-0005-0000-0000-00000C280000}"/>
    <cellStyle name="20% - Accent6 6 2 3 2" xfId="4874" xr:uid="{00000000-0005-0000-0000-00000D280000}"/>
    <cellStyle name="20% - Accent6 6 2 3 2 2" xfId="8465" xr:uid="{00000000-0005-0000-0000-00000E280000}"/>
    <cellStyle name="20% - Accent6 6 2 3 2 2 2" xfId="16436" xr:uid="{00000000-0005-0000-0000-00000F280000}"/>
    <cellStyle name="20% - Accent6 6 2 3 2 2 3" xfId="24382" xr:uid="{00000000-0005-0000-0000-000010280000}"/>
    <cellStyle name="20% - Accent6 6 2 3 2 3" xfId="12898" xr:uid="{00000000-0005-0000-0000-000011280000}"/>
    <cellStyle name="20% - Accent6 6 2 3 2 4" xfId="20853" xr:uid="{00000000-0005-0000-0000-000012280000}"/>
    <cellStyle name="20% - Accent6 6 2 3 3" xfId="6706" xr:uid="{00000000-0005-0000-0000-000013280000}"/>
    <cellStyle name="20% - Accent6 6 2 3 3 2" xfId="14678" xr:uid="{00000000-0005-0000-0000-000014280000}"/>
    <cellStyle name="20% - Accent6 6 2 3 3 3" xfId="22625" xr:uid="{00000000-0005-0000-0000-000015280000}"/>
    <cellStyle name="20% - Accent6 6 2 3 4" xfId="11142" xr:uid="{00000000-0005-0000-0000-000016280000}"/>
    <cellStyle name="20% - Accent6 6 2 3 5" xfId="19097" xr:uid="{00000000-0005-0000-0000-000017280000}"/>
    <cellStyle name="20% - Accent6 6 2 3_Exh G" xfId="2649" xr:uid="{00000000-0005-0000-0000-000018280000}"/>
    <cellStyle name="20% - Accent6 6 2 4" xfId="3995" xr:uid="{00000000-0005-0000-0000-000019280000}"/>
    <cellStyle name="20% - Accent6 6 2 4 2" xfId="7587" xr:uid="{00000000-0005-0000-0000-00001A280000}"/>
    <cellStyle name="20% - Accent6 6 2 4 2 2" xfId="15558" xr:uid="{00000000-0005-0000-0000-00001B280000}"/>
    <cellStyle name="20% - Accent6 6 2 4 2 3" xfId="23504" xr:uid="{00000000-0005-0000-0000-00001C280000}"/>
    <cellStyle name="20% - Accent6 6 2 4 3" xfId="12020" xr:uid="{00000000-0005-0000-0000-00001D280000}"/>
    <cellStyle name="20% - Accent6 6 2 4 4" xfId="19975" xr:uid="{00000000-0005-0000-0000-00001E280000}"/>
    <cellStyle name="20% - Accent6 6 2 5" xfId="5815" xr:uid="{00000000-0005-0000-0000-00001F280000}"/>
    <cellStyle name="20% - Accent6 6 2 5 2" xfId="13799" xr:uid="{00000000-0005-0000-0000-000020280000}"/>
    <cellStyle name="20% - Accent6 6 2 5 3" xfId="21747" xr:uid="{00000000-0005-0000-0000-000021280000}"/>
    <cellStyle name="20% - Accent6 6 2 6" xfId="9368" xr:uid="{00000000-0005-0000-0000-000022280000}"/>
    <cellStyle name="20% - Accent6 6 2 6 2" xfId="17326" xr:uid="{00000000-0005-0000-0000-000023280000}"/>
    <cellStyle name="20% - Accent6 6 2 6 3" xfId="25270" xr:uid="{00000000-0005-0000-0000-000024280000}"/>
    <cellStyle name="20% - Accent6 6 2 7" xfId="10264" xr:uid="{00000000-0005-0000-0000-000025280000}"/>
    <cellStyle name="20% - Accent6 6 2 8" xfId="18219" xr:uid="{00000000-0005-0000-0000-000026280000}"/>
    <cellStyle name="20% - Accent6 6 2_Exh G" xfId="2646" xr:uid="{00000000-0005-0000-0000-000027280000}"/>
    <cellStyle name="20% - Accent6 6 3" xfId="318" xr:uid="{00000000-0005-0000-0000-000028280000}"/>
    <cellStyle name="20% - Accent6 6 3 2" xfId="1346" xr:uid="{00000000-0005-0000-0000-000029280000}"/>
    <cellStyle name="20% - Accent6 6 3 2 2" xfId="4876" xr:uid="{00000000-0005-0000-0000-00002A280000}"/>
    <cellStyle name="20% - Accent6 6 3 2 2 2" xfId="8467" xr:uid="{00000000-0005-0000-0000-00002B280000}"/>
    <cellStyle name="20% - Accent6 6 3 2 2 2 2" xfId="16438" xr:uid="{00000000-0005-0000-0000-00002C280000}"/>
    <cellStyle name="20% - Accent6 6 3 2 2 2 3" xfId="24384" xr:uid="{00000000-0005-0000-0000-00002D280000}"/>
    <cellStyle name="20% - Accent6 6 3 2 2 3" xfId="12900" xr:uid="{00000000-0005-0000-0000-00002E280000}"/>
    <cellStyle name="20% - Accent6 6 3 2 2 4" xfId="20855" xr:uid="{00000000-0005-0000-0000-00002F280000}"/>
    <cellStyle name="20% - Accent6 6 3 2 3" xfId="6708" xr:uid="{00000000-0005-0000-0000-000030280000}"/>
    <cellStyle name="20% - Accent6 6 3 2 3 2" xfId="14680" xr:uid="{00000000-0005-0000-0000-000031280000}"/>
    <cellStyle name="20% - Accent6 6 3 2 3 3" xfId="22627" xr:uid="{00000000-0005-0000-0000-000032280000}"/>
    <cellStyle name="20% - Accent6 6 3 2 4" xfId="11144" xr:uid="{00000000-0005-0000-0000-000033280000}"/>
    <cellStyle name="20% - Accent6 6 3 2 5" xfId="19099" xr:uid="{00000000-0005-0000-0000-000034280000}"/>
    <cellStyle name="20% - Accent6 6 3 2_Exh G" xfId="2651" xr:uid="{00000000-0005-0000-0000-000035280000}"/>
    <cellStyle name="20% - Accent6 6 3 3" xfId="3997" xr:uid="{00000000-0005-0000-0000-000036280000}"/>
    <cellStyle name="20% - Accent6 6 3 3 2" xfId="7589" xr:uid="{00000000-0005-0000-0000-000037280000}"/>
    <cellStyle name="20% - Accent6 6 3 3 2 2" xfId="15560" xr:uid="{00000000-0005-0000-0000-000038280000}"/>
    <cellStyle name="20% - Accent6 6 3 3 2 3" xfId="23506" xr:uid="{00000000-0005-0000-0000-000039280000}"/>
    <cellStyle name="20% - Accent6 6 3 3 3" xfId="12022" xr:uid="{00000000-0005-0000-0000-00003A280000}"/>
    <cellStyle name="20% - Accent6 6 3 3 4" xfId="19977" xr:uid="{00000000-0005-0000-0000-00003B280000}"/>
    <cellStyle name="20% - Accent6 6 3 4" xfId="5817" xr:uid="{00000000-0005-0000-0000-00003C280000}"/>
    <cellStyle name="20% - Accent6 6 3 4 2" xfId="13801" xr:uid="{00000000-0005-0000-0000-00003D280000}"/>
    <cellStyle name="20% - Accent6 6 3 4 3" xfId="21749" xr:uid="{00000000-0005-0000-0000-00003E280000}"/>
    <cellStyle name="20% - Accent6 6 3 5" xfId="9370" xr:uid="{00000000-0005-0000-0000-00003F280000}"/>
    <cellStyle name="20% - Accent6 6 3 5 2" xfId="17328" xr:uid="{00000000-0005-0000-0000-000040280000}"/>
    <cellStyle name="20% - Accent6 6 3 5 3" xfId="25272" xr:uid="{00000000-0005-0000-0000-000041280000}"/>
    <cellStyle name="20% - Accent6 6 3 6" xfId="10266" xr:uid="{00000000-0005-0000-0000-000042280000}"/>
    <cellStyle name="20% - Accent6 6 3 7" xfId="18221" xr:uid="{00000000-0005-0000-0000-000043280000}"/>
    <cellStyle name="20% - Accent6 6 3_Exh G" xfId="2650" xr:uid="{00000000-0005-0000-0000-000044280000}"/>
    <cellStyle name="20% - Accent6 6 4" xfId="930" xr:uid="{00000000-0005-0000-0000-000045280000}"/>
    <cellStyle name="20% - Accent6 6 4 2" xfId="1855" xr:uid="{00000000-0005-0000-0000-000046280000}"/>
    <cellStyle name="20% - Accent6 6 4 2 2" xfId="5373" xr:uid="{00000000-0005-0000-0000-000047280000}"/>
    <cellStyle name="20% - Accent6 6 4 2 2 2" xfId="8964" xr:uid="{00000000-0005-0000-0000-000048280000}"/>
    <cellStyle name="20% - Accent6 6 4 2 2 2 2" xfId="16935" xr:uid="{00000000-0005-0000-0000-000049280000}"/>
    <cellStyle name="20% - Accent6 6 4 2 2 2 3" xfId="24881" xr:uid="{00000000-0005-0000-0000-00004A280000}"/>
    <cellStyle name="20% - Accent6 6 4 2 2 3" xfId="13397" xr:uid="{00000000-0005-0000-0000-00004B280000}"/>
    <cellStyle name="20% - Accent6 6 4 2 2 4" xfId="21352" xr:uid="{00000000-0005-0000-0000-00004C280000}"/>
    <cellStyle name="20% - Accent6 6 4 2 3" xfId="7205" xr:uid="{00000000-0005-0000-0000-00004D280000}"/>
    <cellStyle name="20% - Accent6 6 4 2 3 2" xfId="15177" xr:uid="{00000000-0005-0000-0000-00004E280000}"/>
    <cellStyle name="20% - Accent6 6 4 2 3 3" xfId="23124" xr:uid="{00000000-0005-0000-0000-00004F280000}"/>
    <cellStyle name="20% - Accent6 6 4 2 4" xfId="11641" xr:uid="{00000000-0005-0000-0000-000050280000}"/>
    <cellStyle name="20% - Accent6 6 4 2 5" xfId="19596" xr:uid="{00000000-0005-0000-0000-000051280000}"/>
    <cellStyle name="20% - Accent6 6 4 2_Exh G" xfId="2653" xr:uid="{00000000-0005-0000-0000-000052280000}"/>
    <cellStyle name="20% - Accent6 6 4 3" xfId="4494" xr:uid="{00000000-0005-0000-0000-000053280000}"/>
    <cellStyle name="20% - Accent6 6 4 3 2" xfId="8086" xr:uid="{00000000-0005-0000-0000-000054280000}"/>
    <cellStyle name="20% - Accent6 6 4 3 2 2" xfId="16057" xr:uid="{00000000-0005-0000-0000-000055280000}"/>
    <cellStyle name="20% - Accent6 6 4 3 2 3" xfId="24003" xr:uid="{00000000-0005-0000-0000-000056280000}"/>
    <cellStyle name="20% - Accent6 6 4 3 3" xfId="12519" xr:uid="{00000000-0005-0000-0000-000057280000}"/>
    <cellStyle name="20% - Accent6 6 4 3 4" xfId="20474" xr:uid="{00000000-0005-0000-0000-000058280000}"/>
    <cellStyle name="20% - Accent6 6 4 4" xfId="6324" xr:uid="{00000000-0005-0000-0000-000059280000}"/>
    <cellStyle name="20% - Accent6 6 4 4 2" xfId="14299" xr:uid="{00000000-0005-0000-0000-00005A280000}"/>
    <cellStyle name="20% - Accent6 6 4 4 3" xfId="22246" xr:uid="{00000000-0005-0000-0000-00005B280000}"/>
    <cellStyle name="20% - Accent6 6 4 5" xfId="9867" xr:uid="{00000000-0005-0000-0000-00005C280000}"/>
    <cellStyle name="20% - Accent6 6 4 5 2" xfId="17825" xr:uid="{00000000-0005-0000-0000-00005D280000}"/>
    <cellStyle name="20% - Accent6 6 4 5 3" xfId="25769" xr:uid="{00000000-0005-0000-0000-00005E280000}"/>
    <cellStyle name="20% - Accent6 6 4 6" xfId="10763" xr:uid="{00000000-0005-0000-0000-00005F280000}"/>
    <cellStyle name="20% - Accent6 6 4 7" xfId="18718" xr:uid="{00000000-0005-0000-0000-000060280000}"/>
    <cellStyle name="20% - Accent6 6 4_Exh G" xfId="2652" xr:uid="{00000000-0005-0000-0000-000061280000}"/>
    <cellStyle name="20% - Accent6 6 5" xfId="1343" xr:uid="{00000000-0005-0000-0000-000062280000}"/>
    <cellStyle name="20% - Accent6 6 5 2" xfId="4873" xr:uid="{00000000-0005-0000-0000-000063280000}"/>
    <cellStyle name="20% - Accent6 6 5 2 2" xfId="8464" xr:uid="{00000000-0005-0000-0000-000064280000}"/>
    <cellStyle name="20% - Accent6 6 5 2 2 2" xfId="16435" xr:uid="{00000000-0005-0000-0000-000065280000}"/>
    <cellStyle name="20% - Accent6 6 5 2 2 3" xfId="24381" xr:uid="{00000000-0005-0000-0000-000066280000}"/>
    <cellStyle name="20% - Accent6 6 5 2 3" xfId="12897" xr:uid="{00000000-0005-0000-0000-000067280000}"/>
    <cellStyle name="20% - Accent6 6 5 2 4" xfId="20852" xr:uid="{00000000-0005-0000-0000-000068280000}"/>
    <cellStyle name="20% - Accent6 6 5 3" xfId="6705" xr:uid="{00000000-0005-0000-0000-000069280000}"/>
    <cellStyle name="20% - Accent6 6 5 3 2" xfId="14677" xr:uid="{00000000-0005-0000-0000-00006A280000}"/>
    <cellStyle name="20% - Accent6 6 5 3 3" xfId="22624" xr:uid="{00000000-0005-0000-0000-00006B280000}"/>
    <cellStyle name="20% - Accent6 6 5 4" xfId="11141" xr:uid="{00000000-0005-0000-0000-00006C280000}"/>
    <cellStyle name="20% - Accent6 6 5 5" xfId="19096" xr:uid="{00000000-0005-0000-0000-00006D280000}"/>
    <cellStyle name="20% - Accent6 6 5_Exh G" xfId="2654" xr:uid="{00000000-0005-0000-0000-00006E280000}"/>
    <cellStyle name="20% - Accent6 6 6" xfId="3994" xr:uid="{00000000-0005-0000-0000-00006F280000}"/>
    <cellStyle name="20% - Accent6 6 6 2" xfId="7586" xr:uid="{00000000-0005-0000-0000-000070280000}"/>
    <cellStyle name="20% - Accent6 6 6 2 2" xfId="15557" xr:uid="{00000000-0005-0000-0000-000071280000}"/>
    <cellStyle name="20% - Accent6 6 6 2 3" xfId="23503" xr:uid="{00000000-0005-0000-0000-000072280000}"/>
    <cellStyle name="20% - Accent6 6 6 3" xfId="12019" xr:uid="{00000000-0005-0000-0000-000073280000}"/>
    <cellStyle name="20% - Accent6 6 6 4" xfId="19974" xr:uid="{00000000-0005-0000-0000-000074280000}"/>
    <cellStyle name="20% - Accent6 6 7" xfId="5814" xr:uid="{00000000-0005-0000-0000-000075280000}"/>
    <cellStyle name="20% - Accent6 6 7 2" xfId="13798" xr:uid="{00000000-0005-0000-0000-000076280000}"/>
    <cellStyle name="20% - Accent6 6 7 3" xfId="21746" xr:uid="{00000000-0005-0000-0000-000077280000}"/>
    <cellStyle name="20% - Accent6 6 8" xfId="9367" xr:uid="{00000000-0005-0000-0000-000078280000}"/>
    <cellStyle name="20% - Accent6 6 8 2" xfId="17325" xr:uid="{00000000-0005-0000-0000-000079280000}"/>
    <cellStyle name="20% - Accent6 6 8 3" xfId="25269" xr:uid="{00000000-0005-0000-0000-00007A280000}"/>
    <cellStyle name="20% - Accent6 6 9" xfId="10263" xr:uid="{00000000-0005-0000-0000-00007B280000}"/>
    <cellStyle name="20% - Accent6 6_Exh G" xfId="2645" xr:uid="{00000000-0005-0000-0000-00007C280000}"/>
    <cellStyle name="20% - Accent6 7" xfId="319" xr:uid="{00000000-0005-0000-0000-00007D280000}"/>
    <cellStyle name="20% - Accent6 7 10" xfId="18222" xr:uid="{00000000-0005-0000-0000-00007E280000}"/>
    <cellStyle name="20% - Accent6 7 2" xfId="320" xr:uid="{00000000-0005-0000-0000-00007F280000}"/>
    <cellStyle name="20% - Accent6 7 2 2" xfId="321" xr:uid="{00000000-0005-0000-0000-000080280000}"/>
    <cellStyle name="20% - Accent6 7 2 2 2" xfId="1349" xr:uid="{00000000-0005-0000-0000-000081280000}"/>
    <cellStyle name="20% - Accent6 7 2 2 2 2" xfId="4879" xr:uid="{00000000-0005-0000-0000-000082280000}"/>
    <cellStyle name="20% - Accent6 7 2 2 2 2 2" xfId="8470" xr:uid="{00000000-0005-0000-0000-000083280000}"/>
    <cellStyle name="20% - Accent6 7 2 2 2 2 2 2" xfId="16441" xr:uid="{00000000-0005-0000-0000-000084280000}"/>
    <cellStyle name="20% - Accent6 7 2 2 2 2 2 3" xfId="24387" xr:uid="{00000000-0005-0000-0000-000085280000}"/>
    <cellStyle name="20% - Accent6 7 2 2 2 2 3" xfId="12903" xr:uid="{00000000-0005-0000-0000-000086280000}"/>
    <cellStyle name="20% - Accent6 7 2 2 2 2 4" xfId="20858" xr:uid="{00000000-0005-0000-0000-000087280000}"/>
    <cellStyle name="20% - Accent6 7 2 2 2 3" xfId="6711" xr:uid="{00000000-0005-0000-0000-000088280000}"/>
    <cellStyle name="20% - Accent6 7 2 2 2 3 2" xfId="14683" xr:uid="{00000000-0005-0000-0000-000089280000}"/>
    <cellStyle name="20% - Accent6 7 2 2 2 3 3" xfId="22630" xr:uid="{00000000-0005-0000-0000-00008A280000}"/>
    <cellStyle name="20% - Accent6 7 2 2 2 4" xfId="11147" xr:uid="{00000000-0005-0000-0000-00008B280000}"/>
    <cellStyle name="20% - Accent6 7 2 2 2 5" xfId="19102" xr:uid="{00000000-0005-0000-0000-00008C280000}"/>
    <cellStyle name="20% - Accent6 7 2 2 2_Exh G" xfId="2658" xr:uid="{00000000-0005-0000-0000-00008D280000}"/>
    <cellStyle name="20% - Accent6 7 2 2 3" xfId="4000" xr:uid="{00000000-0005-0000-0000-00008E280000}"/>
    <cellStyle name="20% - Accent6 7 2 2 3 2" xfId="7592" xr:uid="{00000000-0005-0000-0000-00008F280000}"/>
    <cellStyle name="20% - Accent6 7 2 2 3 2 2" xfId="15563" xr:uid="{00000000-0005-0000-0000-000090280000}"/>
    <cellStyle name="20% - Accent6 7 2 2 3 2 3" xfId="23509" xr:uid="{00000000-0005-0000-0000-000091280000}"/>
    <cellStyle name="20% - Accent6 7 2 2 3 3" xfId="12025" xr:uid="{00000000-0005-0000-0000-000092280000}"/>
    <cellStyle name="20% - Accent6 7 2 2 3 4" xfId="19980" xr:uid="{00000000-0005-0000-0000-000093280000}"/>
    <cellStyle name="20% - Accent6 7 2 2 4" xfId="5820" xr:uid="{00000000-0005-0000-0000-000094280000}"/>
    <cellStyle name="20% - Accent6 7 2 2 4 2" xfId="13804" xr:uid="{00000000-0005-0000-0000-000095280000}"/>
    <cellStyle name="20% - Accent6 7 2 2 4 3" xfId="21752" xr:uid="{00000000-0005-0000-0000-000096280000}"/>
    <cellStyle name="20% - Accent6 7 2 2 5" xfId="9373" xr:uid="{00000000-0005-0000-0000-000097280000}"/>
    <cellStyle name="20% - Accent6 7 2 2 5 2" xfId="17331" xr:uid="{00000000-0005-0000-0000-000098280000}"/>
    <cellStyle name="20% - Accent6 7 2 2 5 3" xfId="25275" xr:uid="{00000000-0005-0000-0000-000099280000}"/>
    <cellStyle name="20% - Accent6 7 2 2 6" xfId="10269" xr:uid="{00000000-0005-0000-0000-00009A280000}"/>
    <cellStyle name="20% - Accent6 7 2 2 7" xfId="18224" xr:uid="{00000000-0005-0000-0000-00009B280000}"/>
    <cellStyle name="20% - Accent6 7 2 2_Exh G" xfId="2657" xr:uid="{00000000-0005-0000-0000-00009C280000}"/>
    <cellStyle name="20% - Accent6 7 2 3" xfId="1348" xr:uid="{00000000-0005-0000-0000-00009D280000}"/>
    <cellStyle name="20% - Accent6 7 2 3 2" xfId="4878" xr:uid="{00000000-0005-0000-0000-00009E280000}"/>
    <cellStyle name="20% - Accent6 7 2 3 2 2" xfId="8469" xr:uid="{00000000-0005-0000-0000-00009F280000}"/>
    <cellStyle name="20% - Accent6 7 2 3 2 2 2" xfId="16440" xr:uid="{00000000-0005-0000-0000-0000A0280000}"/>
    <cellStyle name="20% - Accent6 7 2 3 2 2 3" xfId="24386" xr:uid="{00000000-0005-0000-0000-0000A1280000}"/>
    <cellStyle name="20% - Accent6 7 2 3 2 3" xfId="12902" xr:uid="{00000000-0005-0000-0000-0000A2280000}"/>
    <cellStyle name="20% - Accent6 7 2 3 2 4" xfId="20857" xr:uid="{00000000-0005-0000-0000-0000A3280000}"/>
    <cellStyle name="20% - Accent6 7 2 3 3" xfId="6710" xr:uid="{00000000-0005-0000-0000-0000A4280000}"/>
    <cellStyle name="20% - Accent6 7 2 3 3 2" xfId="14682" xr:uid="{00000000-0005-0000-0000-0000A5280000}"/>
    <cellStyle name="20% - Accent6 7 2 3 3 3" xfId="22629" xr:uid="{00000000-0005-0000-0000-0000A6280000}"/>
    <cellStyle name="20% - Accent6 7 2 3 4" xfId="11146" xr:uid="{00000000-0005-0000-0000-0000A7280000}"/>
    <cellStyle name="20% - Accent6 7 2 3 5" xfId="19101" xr:uid="{00000000-0005-0000-0000-0000A8280000}"/>
    <cellStyle name="20% - Accent6 7 2 3_Exh G" xfId="2659" xr:uid="{00000000-0005-0000-0000-0000A9280000}"/>
    <cellStyle name="20% - Accent6 7 2 4" xfId="3999" xr:uid="{00000000-0005-0000-0000-0000AA280000}"/>
    <cellStyle name="20% - Accent6 7 2 4 2" xfId="7591" xr:uid="{00000000-0005-0000-0000-0000AB280000}"/>
    <cellStyle name="20% - Accent6 7 2 4 2 2" xfId="15562" xr:uid="{00000000-0005-0000-0000-0000AC280000}"/>
    <cellStyle name="20% - Accent6 7 2 4 2 3" xfId="23508" xr:uid="{00000000-0005-0000-0000-0000AD280000}"/>
    <cellStyle name="20% - Accent6 7 2 4 3" xfId="12024" xr:uid="{00000000-0005-0000-0000-0000AE280000}"/>
    <cellStyle name="20% - Accent6 7 2 4 4" xfId="19979" xr:uid="{00000000-0005-0000-0000-0000AF280000}"/>
    <cellStyle name="20% - Accent6 7 2 5" xfId="5819" xr:uid="{00000000-0005-0000-0000-0000B0280000}"/>
    <cellStyle name="20% - Accent6 7 2 5 2" xfId="13803" xr:uid="{00000000-0005-0000-0000-0000B1280000}"/>
    <cellStyle name="20% - Accent6 7 2 5 3" xfId="21751" xr:uid="{00000000-0005-0000-0000-0000B2280000}"/>
    <cellStyle name="20% - Accent6 7 2 6" xfId="9372" xr:uid="{00000000-0005-0000-0000-0000B3280000}"/>
    <cellStyle name="20% - Accent6 7 2 6 2" xfId="17330" xr:uid="{00000000-0005-0000-0000-0000B4280000}"/>
    <cellStyle name="20% - Accent6 7 2 6 3" xfId="25274" xr:uid="{00000000-0005-0000-0000-0000B5280000}"/>
    <cellStyle name="20% - Accent6 7 2 7" xfId="10268" xr:uid="{00000000-0005-0000-0000-0000B6280000}"/>
    <cellStyle name="20% - Accent6 7 2 8" xfId="18223" xr:uid="{00000000-0005-0000-0000-0000B7280000}"/>
    <cellStyle name="20% - Accent6 7 2_Exh G" xfId="2656" xr:uid="{00000000-0005-0000-0000-0000B8280000}"/>
    <cellStyle name="20% - Accent6 7 3" xfId="322" xr:uid="{00000000-0005-0000-0000-0000B9280000}"/>
    <cellStyle name="20% - Accent6 7 3 2" xfId="1350" xr:uid="{00000000-0005-0000-0000-0000BA280000}"/>
    <cellStyle name="20% - Accent6 7 3 2 2" xfId="4880" xr:uid="{00000000-0005-0000-0000-0000BB280000}"/>
    <cellStyle name="20% - Accent6 7 3 2 2 2" xfId="8471" xr:uid="{00000000-0005-0000-0000-0000BC280000}"/>
    <cellStyle name="20% - Accent6 7 3 2 2 2 2" xfId="16442" xr:uid="{00000000-0005-0000-0000-0000BD280000}"/>
    <cellStyle name="20% - Accent6 7 3 2 2 2 3" xfId="24388" xr:uid="{00000000-0005-0000-0000-0000BE280000}"/>
    <cellStyle name="20% - Accent6 7 3 2 2 3" xfId="12904" xr:uid="{00000000-0005-0000-0000-0000BF280000}"/>
    <cellStyle name="20% - Accent6 7 3 2 2 4" xfId="20859" xr:uid="{00000000-0005-0000-0000-0000C0280000}"/>
    <cellStyle name="20% - Accent6 7 3 2 3" xfId="6712" xr:uid="{00000000-0005-0000-0000-0000C1280000}"/>
    <cellStyle name="20% - Accent6 7 3 2 3 2" xfId="14684" xr:uid="{00000000-0005-0000-0000-0000C2280000}"/>
    <cellStyle name="20% - Accent6 7 3 2 3 3" xfId="22631" xr:uid="{00000000-0005-0000-0000-0000C3280000}"/>
    <cellStyle name="20% - Accent6 7 3 2 4" xfId="11148" xr:uid="{00000000-0005-0000-0000-0000C4280000}"/>
    <cellStyle name="20% - Accent6 7 3 2 5" xfId="19103" xr:uid="{00000000-0005-0000-0000-0000C5280000}"/>
    <cellStyle name="20% - Accent6 7 3 2_Exh G" xfId="2661" xr:uid="{00000000-0005-0000-0000-0000C6280000}"/>
    <cellStyle name="20% - Accent6 7 3 3" xfId="4001" xr:uid="{00000000-0005-0000-0000-0000C7280000}"/>
    <cellStyle name="20% - Accent6 7 3 3 2" xfId="7593" xr:uid="{00000000-0005-0000-0000-0000C8280000}"/>
    <cellStyle name="20% - Accent6 7 3 3 2 2" xfId="15564" xr:uid="{00000000-0005-0000-0000-0000C9280000}"/>
    <cellStyle name="20% - Accent6 7 3 3 2 3" xfId="23510" xr:uid="{00000000-0005-0000-0000-0000CA280000}"/>
    <cellStyle name="20% - Accent6 7 3 3 3" xfId="12026" xr:uid="{00000000-0005-0000-0000-0000CB280000}"/>
    <cellStyle name="20% - Accent6 7 3 3 4" xfId="19981" xr:uid="{00000000-0005-0000-0000-0000CC280000}"/>
    <cellStyle name="20% - Accent6 7 3 4" xfId="5821" xr:uid="{00000000-0005-0000-0000-0000CD280000}"/>
    <cellStyle name="20% - Accent6 7 3 4 2" xfId="13805" xr:uid="{00000000-0005-0000-0000-0000CE280000}"/>
    <cellStyle name="20% - Accent6 7 3 4 3" xfId="21753" xr:uid="{00000000-0005-0000-0000-0000CF280000}"/>
    <cellStyle name="20% - Accent6 7 3 5" xfId="9374" xr:uid="{00000000-0005-0000-0000-0000D0280000}"/>
    <cellStyle name="20% - Accent6 7 3 5 2" xfId="17332" xr:uid="{00000000-0005-0000-0000-0000D1280000}"/>
    <cellStyle name="20% - Accent6 7 3 5 3" xfId="25276" xr:uid="{00000000-0005-0000-0000-0000D2280000}"/>
    <cellStyle name="20% - Accent6 7 3 6" xfId="10270" xr:uid="{00000000-0005-0000-0000-0000D3280000}"/>
    <cellStyle name="20% - Accent6 7 3 7" xfId="18225" xr:uid="{00000000-0005-0000-0000-0000D4280000}"/>
    <cellStyle name="20% - Accent6 7 3_Exh G" xfId="2660" xr:uid="{00000000-0005-0000-0000-0000D5280000}"/>
    <cellStyle name="20% - Accent6 7 4" xfId="931" xr:uid="{00000000-0005-0000-0000-0000D6280000}"/>
    <cellStyle name="20% - Accent6 7 4 2" xfId="1856" xr:uid="{00000000-0005-0000-0000-0000D7280000}"/>
    <cellStyle name="20% - Accent6 7 4 2 2" xfId="5374" xr:uid="{00000000-0005-0000-0000-0000D8280000}"/>
    <cellStyle name="20% - Accent6 7 4 2 2 2" xfId="8965" xr:uid="{00000000-0005-0000-0000-0000D9280000}"/>
    <cellStyle name="20% - Accent6 7 4 2 2 2 2" xfId="16936" xr:uid="{00000000-0005-0000-0000-0000DA280000}"/>
    <cellStyle name="20% - Accent6 7 4 2 2 2 3" xfId="24882" xr:uid="{00000000-0005-0000-0000-0000DB280000}"/>
    <cellStyle name="20% - Accent6 7 4 2 2 3" xfId="13398" xr:uid="{00000000-0005-0000-0000-0000DC280000}"/>
    <cellStyle name="20% - Accent6 7 4 2 2 4" xfId="21353" xr:uid="{00000000-0005-0000-0000-0000DD280000}"/>
    <cellStyle name="20% - Accent6 7 4 2 3" xfId="7206" xr:uid="{00000000-0005-0000-0000-0000DE280000}"/>
    <cellStyle name="20% - Accent6 7 4 2 3 2" xfId="15178" xr:uid="{00000000-0005-0000-0000-0000DF280000}"/>
    <cellStyle name="20% - Accent6 7 4 2 3 3" xfId="23125" xr:uid="{00000000-0005-0000-0000-0000E0280000}"/>
    <cellStyle name="20% - Accent6 7 4 2 4" xfId="11642" xr:uid="{00000000-0005-0000-0000-0000E1280000}"/>
    <cellStyle name="20% - Accent6 7 4 2 5" xfId="19597" xr:uid="{00000000-0005-0000-0000-0000E2280000}"/>
    <cellStyle name="20% - Accent6 7 4 2_Exh G" xfId="2663" xr:uid="{00000000-0005-0000-0000-0000E3280000}"/>
    <cellStyle name="20% - Accent6 7 4 3" xfId="4495" xr:uid="{00000000-0005-0000-0000-0000E4280000}"/>
    <cellStyle name="20% - Accent6 7 4 3 2" xfId="8087" xr:uid="{00000000-0005-0000-0000-0000E5280000}"/>
    <cellStyle name="20% - Accent6 7 4 3 2 2" xfId="16058" xr:uid="{00000000-0005-0000-0000-0000E6280000}"/>
    <cellStyle name="20% - Accent6 7 4 3 2 3" xfId="24004" xr:uid="{00000000-0005-0000-0000-0000E7280000}"/>
    <cellStyle name="20% - Accent6 7 4 3 3" xfId="12520" xr:uid="{00000000-0005-0000-0000-0000E8280000}"/>
    <cellStyle name="20% - Accent6 7 4 3 4" xfId="20475" xr:uid="{00000000-0005-0000-0000-0000E9280000}"/>
    <cellStyle name="20% - Accent6 7 4 4" xfId="6325" xr:uid="{00000000-0005-0000-0000-0000EA280000}"/>
    <cellStyle name="20% - Accent6 7 4 4 2" xfId="14300" xr:uid="{00000000-0005-0000-0000-0000EB280000}"/>
    <cellStyle name="20% - Accent6 7 4 4 3" xfId="22247" xr:uid="{00000000-0005-0000-0000-0000EC280000}"/>
    <cellStyle name="20% - Accent6 7 4 5" xfId="9868" xr:uid="{00000000-0005-0000-0000-0000ED280000}"/>
    <cellStyle name="20% - Accent6 7 4 5 2" xfId="17826" xr:uid="{00000000-0005-0000-0000-0000EE280000}"/>
    <cellStyle name="20% - Accent6 7 4 5 3" xfId="25770" xr:uid="{00000000-0005-0000-0000-0000EF280000}"/>
    <cellStyle name="20% - Accent6 7 4 6" xfId="10764" xr:uid="{00000000-0005-0000-0000-0000F0280000}"/>
    <cellStyle name="20% - Accent6 7 4 7" xfId="18719" xr:uid="{00000000-0005-0000-0000-0000F1280000}"/>
    <cellStyle name="20% - Accent6 7 4_Exh G" xfId="2662" xr:uid="{00000000-0005-0000-0000-0000F2280000}"/>
    <cellStyle name="20% - Accent6 7 5" xfId="1347" xr:uid="{00000000-0005-0000-0000-0000F3280000}"/>
    <cellStyle name="20% - Accent6 7 5 2" xfId="4877" xr:uid="{00000000-0005-0000-0000-0000F4280000}"/>
    <cellStyle name="20% - Accent6 7 5 2 2" xfId="8468" xr:uid="{00000000-0005-0000-0000-0000F5280000}"/>
    <cellStyle name="20% - Accent6 7 5 2 2 2" xfId="16439" xr:uid="{00000000-0005-0000-0000-0000F6280000}"/>
    <cellStyle name="20% - Accent6 7 5 2 2 3" xfId="24385" xr:uid="{00000000-0005-0000-0000-0000F7280000}"/>
    <cellStyle name="20% - Accent6 7 5 2 3" xfId="12901" xr:uid="{00000000-0005-0000-0000-0000F8280000}"/>
    <cellStyle name="20% - Accent6 7 5 2 4" xfId="20856" xr:uid="{00000000-0005-0000-0000-0000F9280000}"/>
    <cellStyle name="20% - Accent6 7 5 3" xfId="6709" xr:uid="{00000000-0005-0000-0000-0000FA280000}"/>
    <cellStyle name="20% - Accent6 7 5 3 2" xfId="14681" xr:uid="{00000000-0005-0000-0000-0000FB280000}"/>
    <cellStyle name="20% - Accent6 7 5 3 3" xfId="22628" xr:uid="{00000000-0005-0000-0000-0000FC280000}"/>
    <cellStyle name="20% - Accent6 7 5 4" xfId="11145" xr:uid="{00000000-0005-0000-0000-0000FD280000}"/>
    <cellStyle name="20% - Accent6 7 5 5" xfId="19100" xr:uid="{00000000-0005-0000-0000-0000FE280000}"/>
    <cellStyle name="20% - Accent6 7 5_Exh G" xfId="2664" xr:uid="{00000000-0005-0000-0000-0000FF280000}"/>
    <cellStyle name="20% - Accent6 7 6" xfId="3998" xr:uid="{00000000-0005-0000-0000-000000290000}"/>
    <cellStyle name="20% - Accent6 7 6 2" xfId="7590" xr:uid="{00000000-0005-0000-0000-000001290000}"/>
    <cellStyle name="20% - Accent6 7 6 2 2" xfId="15561" xr:uid="{00000000-0005-0000-0000-000002290000}"/>
    <cellStyle name="20% - Accent6 7 6 2 3" xfId="23507" xr:uid="{00000000-0005-0000-0000-000003290000}"/>
    <cellStyle name="20% - Accent6 7 6 3" xfId="12023" xr:uid="{00000000-0005-0000-0000-000004290000}"/>
    <cellStyle name="20% - Accent6 7 6 4" xfId="19978" xr:uid="{00000000-0005-0000-0000-000005290000}"/>
    <cellStyle name="20% - Accent6 7 7" xfId="5818" xr:uid="{00000000-0005-0000-0000-000006290000}"/>
    <cellStyle name="20% - Accent6 7 7 2" xfId="13802" xr:uid="{00000000-0005-0000-0000-000007290000}"/>
    <cellStyle name="20% - Accent6 7 7 3" xfId="21750" xr:uid="{00000000-0005-0000-0000-000008290000}"/>
    <cellStyle name="20% - Accent6 7 8" xfId="9371" xr:uid="{00000000-0005-0000-0000-000009290000}"/>
    <cellStyle name="20% - Accent6 7 8 2" xfId="17329" xr:uid="{00000000-0005-0000-0000-00000A290000}"/>
    <cellStyle name="20% - Accent6 7 8 3" xfId="25273" xr:uid="{00000000-0005-0000-0000-00000B290000}"/>
    <cellStyle name="20% - Accent6 7 9" xfId="10267" xr:uid="{00000000-0005-0000-0000-00000C290000}"/>
    <cellStyle name="20% - Accent6 7_Exh G" xfId="2655" xr:uid="{00000000-0005-0000-0000-00000D290000}"/>
    <cellStyle name="20% - Accent6 8" xfId="323" xr:uid="{00000000-0005-0000-0000-00000E290000}"/>
    <cellStyle name="20% - Accent6 8 10" xfId="18226" xr:uid="{00000000-0005-0000-0000-00000F290000}"/>
    <cellStyle name="20% - Accent6 8 2" xfId="324" xr:uid="{00000000-0005-0000-0000-000010290000}"/>
    <cellStyle name="20% - Accent6 8 2 2" xfId="325" xr:uid="{00000000-0005-0000-0000-000011290000}"/>
    <cellStyle name="20% - Accent6 8 2 2 2" xfId="1353" xr:uid="{00000000-0005-0000-0000-000012290000}"/>
    <cellStyle name="20% - Accent6 8 2 2 2 2" xfId="4883" xr:uid="{00000000-0005-0000-0000-000013290000}"/>
    <cellStyle name="20% - Accent6 8 2 2 2 2 2" xfId="8474" xr:uid="{00000000-0005-0000-0000-000014290000}"/>
    <cellStyle name="20% - Accent6 8 2 2 2 2 2 2" xfId="16445" xr:uid="{00000000-0005-0000-0000-000015290000}"/>
    <cellStyle name="20% - Accent6 8 2 2 2 2 2 3" xfId="24391" xr:uid="{00000000-0005-0000-0000-000016290000}"/>
    <cellStyle name="20% - Accent6 8 2 2 2 2 3" xfId="12907" xr:uid="{00000000-0005-0000-0000-000017290000}"/>
    <cellStyle name="20% - Accent6 8 2 2 2 2 4" xfId="20862" xr:uid="{00000000-0005-0000-0000-000018290000}"/>
    <cellStyle name="20% - Accent6 8 2 2 2 3" xfId="6715" xr:uid="{00000000-0005-0000-0000-000019290000}"/>
    <cellStyle name="20% - Accent6 8 2 2 2 3 2" xfId="14687" xr:uid="{00000000-0005-0000-0000-00001A290000}"/>
    <cellStyle name="20% - Accent6 8 2 2 2 3 3" xfId="22634" xr:uid="{00000000-0005-0000-0000-00001B290000}"/>
    <cellStyle name="20% - Accent6 8 2 2 2 4" xfId="11151" xr:uid="{00000000-0005-0000-0000-00001C290000}"/>
    <cellStyle name="20% - Accent6 8 2 2 2 5" xfId="19106" xr:uid="{00000000-0005-0000-0000-00001D290000}"/>
    <cellStyle name="20% - Accent6 8 2 2 2_Exh G" xfId="2668" xr:uid="{00000000-0005-0000-0000-00001E290000}"/>
    <cellStyle name="20% - Accent6 8 2 2 3" xfId="4004" xr:uid="{00000000-0005-0000-0000-00001F290000}"/>
    <cellStyle name="20% - Accent6 8 2 2 3 2" xfId="7596" xr:uid="{00000000-0005-0000-0000-000020290000}"/>
    <cellStyle name="20% - Accent6 8 2 2 3 2 2" xfId="15567" xr:uid="{00000000-0005-0000-0000-000021290000}"/>
    <cellStyle name="20% - Accent6 8 2 2 3 2 3" xfId="23513" xr:uid="{00000000-0005-0000-0000-000022290000}"/>
    <cellStyle name="20% - Accent6 8 2 2 3 3" xfId="12029" xr:uid="{00000000-0005-0000-0000-000023290000}"/>
    <cellStyle name="20% - Accent6 8 2 2 3 4" xfId="19984" xr:uid="{00000000-0005-0000-0000-000024290000}"/>
    <cellStyle name="20% - Accent6 8 2 2 4" xfId="5824" xr:uid="{00000000-0005-0000-0000-000025290000}"/>
    <cellStyle name="20% - Accent6 8 2 2 4 2" xfId="13808" xr:uid="{00000000-0005-0000-0000-000026290000}"/>
    <cellStyle name="20% - Accent6 8 2 2 4 3" xfId="21756" xr:uid="{00000000-0005-0000-0000-000027290000}"/>
    <cellStyle name="20% - Accent6 8 2 2 5" xfId="9377" xr:uid="{00000000-0005-0000-0000-000028290000}"/>
    <cellStyle name="20% - Accent6 8 2 2 5 2" xfId="17335" xr:uid="{00000000-0005-0000-0000-000029290000}"/>
    <cellStyle name="20% - Accent6 8 2 2 5 3" xfId="25279" xr:uid="{00000000-0005-0000-0000-00002A290000}"/>
    <cellStyle name="20% - Accent6 8 2 2 6" xfId="10273" xr:uid="{00000000-0005-0000-0000-00002B290000}"/>
    <cellStyle name="20% - Accent6 8 2 2 7" xfId="18228" xr:uid="{00000000-0005-0000-0000-00002C290000}"/>
    <cellStyle name="20% - Accent6 8 2 2_Exh G" xfId="2667" xr:uid="{00000000-0005-0000-0000-00002D290000}"/>
    <cellStyle name="20% - Accent6 8 2 3" xfId="1352" xr:uid="{00000000-0005-0000-0000-00002E290000}"/>
    <cellStyle name="20% - Accent6 8 2 3 2" xfId="4882" xr:uid="{00000000-0005-0000-0000-00002F290000}"/>
    <cellStyle name="20% - Accent6 8 2 3 2 2" xfId="8473" xr:uid="{00000000-0005-0000-0000-000030290000}"/>
    <cellStyle name="20% - Accent6 8 2 3 2 2 2" xfId="16444" xr:uid="{00000000-0005-0000-0000-000031290000}"/>
    <cellStyle name="20% - Accent6 8 2 3 2 2 3" xfId="24390" xr:uid="{00000000-0005-0000-0000-000032290000}"/>
    <cellStyle name="20% - Accent6 8 2 3 2 3" xfId="12906" xr:uid="{00000000-0005-0000-0000-000033290000}"/>
    <cellStyle name="20% - Accent6 8 2 3 2 4" xfId="20861" xr:uid="{00000000-0005-0000-0000-000034290000}"/>
    <cellStyle name="20% - Accent6 8 2 3 3" xfId="6714" xr:uid="{00000000-0005-0000-0000-000035290000}"/>
    <cellStyle name="20% - Accent6 8 2 3 3 2" xfId="14686" xr:uid="{00000000-0005-0000-0000-000036290000}"/>
    <cellStyle name="20% - Accent6 8 2 3 3 3" xfId="22633" xr:uid="{00000000-0005-0000-0000-000037290000}"/>
    <cellStyle name="20% - Accent6 8 2 3 4" xfId="11150" xr:uid="{00000000-0005-0000-0000-000038290000}"/>
    <cellStyle name="20% - Accent6 8 2 3 5" xfId="19105" xr:uid="{00000000-0005-0000-0000-000039290000}"/>
    <cellStyle name="20% - Accent6 8 2 3_Exh G" xfId="2669" xr:uid="{00000000-0005-0000-0000-00003A290000}"/>
    <cellStyle name="20% - Accent6 8 2 4" xfId="4003" xr:uid="{00000000-0005-0000-0000-00003B290000}"/>
    <cellStyle name="20% - Accent6 8 2 4 2" xfId="7595" xr:uid="{00000000-0005-0000-0000-00003C290000}"/>
    <cellStyle name="20% - Accent6 8 2 4 2 2" xfId="15566" xr:uid="{00000000-0005-0000-0000-00003D290000}"/>
    <cellStyle name="20% - Accent6 8 2 4 2 3" xfId="23512" xr:uid="{00000000-0005-0000-0000-00003E290000}"/>
    <cellStyle name="20% - Accent6 8 2 4 3" xfId="12028" xr:uid="{00000000-0005-0000-0000-00003F290000}"/>
    <cellStyle name="20% - Accent6 8 2 4 4" xfId="19983" xr:uid="{00000000-0005-0000-0000-000040290000}"/>
    <cellStyle name="20% - Accent6 8 2 5" xfId="5823" xr:uid="{00000000-0005-0000-0000-000041290000}"/>
    <cellStyle name="20% - Accent6 8 2 5 2" xfId="13807" xr:uid="{00000000-0005-0000-0000-000042290000}"/>
    <cellStyle name="20% - Accent6 8 2 5 3" xfId="21755" xr:uid="{00000000-0005-0000-0000-000043290000}"/>
    <cellStyle name="20% - Accent6 8 2 6" xfId="9376" xr:uid="{00000000-0005-0000-0000-000044290000}"/>
    <cellStyle name="20% - Accent6 8 2 6 2" xfId="17334" xr:uid="{00000000-0005-0000-0000-000045290000}"/>
    <cellStyle name="20% - Accent6 8 2 6 3" xfId="25278" xr:uid="{00000000-0005-0000-0000-000046290000}"/>
    <cellStyle name="20% - Accent6 8 2 7" xfId="10272" xr:uid="{00000000-0005-0000-0000-000047290000}"/>
    <cellStyle name="20% - Accent6 8 2 8" xfId="18227" xr:uid="{00000000-0005-0000-0000-000048290000}"/>
    <cellStyle name="20% - Accent6 8 2_Exh G" xfId="2666" xr:uid="{00000000-0005-0000-0000-000049290000}"/>
    <cellStyle name="20% - Accent6 8 3" xfId="326" xr:uid="{00000000-0005-0000-0000-00004A290000}"/>
    <cellStyle name="20% - Accent6 8 3 2" xfId="1354" xr:uid="{00000000-0005-0000-0000-00004B290000}"/>
    <cellStyle name="20% - Accent6 8 3 2 2" xfId="4884" xr:uid="{00000000-0005-0000-0000-00004C290000}"/>
    <cellStyle name="20% - Accent6 8 3 2 2 2" xfId="8475" xr:uid="{00000000-0005-0000-0000-00004D290000}"/>
    <cellStyle name="20% - Accent6 8 3 2 2 2 2" xfId="16446" xr:uid="{00000000-0005-0000-0000-00004E290000}"/>
    <cellStyle name="20% - Accent6 8 3 2 2 2 3" xfId="24392" xr:uid="{00000000-0005-0000-0000-00004F290000}"/>
    <cellStyle name="20% - Accent6 8 3 2 2 3" xfId="12908" xr:uid="{00000000-0005-0000-0000-000050290000}"/>
    <cellStyle name="20% - Accent6 8 3 2 2 4" xfId="20863" xr:uid="{00000000-0005-0000-0000-000051290000}"/>
    <cellStyle name="20% - Accent6 8 3 2 3" xfId="6716" xr:uid="{00000000-0005-0000-0000-000052290000}"/>
    <cellStyle name="20% - Accent6 8 3 2 3 2" xfId="14688" xr:uid="{00000000-0005-0000-0000-000053290000}"/>
    <cellStyle name="20% - Accent6 8 3 2 3 3" xfId="22635" xr:uid="{00000000-0005-0000-0000-000054290000}"/>
    <cellStyle name="20% - Accent6 8 3 2 4" xfId="11152" xr:uid="{00000000-0005-0000-0000-000055290000}"/>
    <cellStyle name="20% - Accent6 8 3 2 5" xfId="19107" xr:uid="{00000000-0005-0000-0000-000056290000}"/>
    <cellStyle name="20% - Accent6 8 3 2_Exh G" xfId="2671" xr:uid="{00000000-0005-0000-0000-000057290000}"/>
    <cellStyle name="20% - Accent6 8 3 3" xfId="4005" xr:uid="{00000000-0005-0000-0000-000058290000}"/>
    <cellStyle name="20% - Accent6 8 3 3 2" xfId="7597" xr:uid="{00000000-0005-0000-0000-000059290000}"/>
    <cellStyle name="20% - Accent6 8 3 3 2 2" xfId="15568" xr:uid="{00000000-0005-0000-0000-00005A290000}"/>
    <cellStyle name="20% - Accent6 8 3 3 2 3" xfId="23514" xr:uid="{00000000-0005-0000-0000-00005B290000}"/>
    <cellStyle name="20% - Accent6 8 3 3 3" xfId="12030" xr:uid="{00000000-0005-0000-0000-00005C290000}"/>
    <cellStyle name="20% - Accent6 8 3 3 4" xfId="19985" xr:uid="{00000000-0005-0000-0000-00005D290000}"/>
    <cellStyle name="20% - Accent6 8 3 4" xfId="5825" xr:uid="{00000000-0005-0000-0000-00005E290000}"/>
    <cellStyle name="20% - Accent6 8 3 4 2" xfId="13809" xr:uid="{00000000-0005-0000-0000-00005F290000}"/>
    <cellStyle name="20% - Accent6 8 3 4 3" xfId="21757" xr:uid="{00000000-0005-0000-0000-000060290000}"/>
    <cellStyle name="20% - Accent6 8 3 5" xfId="9378" xr:uid="{00000000-0005-0000-0000-000061290000}"/>
    <cellStyle name="20% - Accent6 8 3 5 2" xfId="17336" xr:uid="{00000000-0005-0000-0000-000062290000}"/>
    <cellStyle name="20% - Accent6 8 3 5 3" xfId="25280" xr:uid="{00000000-0005-0000-0000-000063290000}"/>
    <cellStyle name="20% - Accent6 8 3 6" xfId="10274" xr:uid="{00000000-0005-0000-0000-000064290000}"/>
    <cellStyle name="20% - Accent6 8 3 7" xfId="18229" xr:uid="{00000000-0005-0000-0000-000065290000}"/>
    <cellStyle name="20% - Accent6 8 3_Exh G" xfId="2670" xr:uid="{00000000-0005-0000-0000-000066290000}"/>
    <cellStyle name="20% - Accent6 8 4" xfId="932" xr:uid="{00000000-0005-0000-0000-000067290000}"/>
    <cellStyle name="20% - Accent6 8 4 2" xfId="1857" xr:uid="{00000000-0005-0000-0000-000068290000}"/>
    <cellStyle name="20% - Accent6 8 4 2 2" xfId="5375" xr:uid="{00000000-0005-0000-0000-000069290000}"/>
    <cellStyle name="20% - Accent6 8 4 2 2 2" xfId="8966" xr:uid="{00000000-0005-0000-0000-00006A290000}"/>
    <cellStyle name="20% - Accent6 8 4 2 2 2 2" xfId="16937" xr:uid="{00000000-0005-0000-0000-00006B290000}"/>
    <cellStyle name="20% - Accent6 8 4 2 2 2 3" xfId="24883" xr:uid="{00000000-0005-0000-0000-00006C290000}"/>
    <cellStyle name="20% - Accent6 8 4 2 2 3" xfId="13399" xr:uid="{00000000-0005-0000-0000-00006D290000}"/>
    <cellStyle name="20% - Accent6 8 4 2 2 4" xfId="21354" xr:uid="{00000000-0005-0000-0000-00006E290000}"/>
    <cellStyle name="20% - Accent6 8 4 2 3" xfId="7207" xr:uid="{00000000-0005-0000-0000-00006F290000}"/>
    <cellStyle name="20% - Accent6 8 4 2 3 2" xfId="15179" xr:uid="{00000000-0005-0000-0000-000070290000}"/>
    <cellStyle name="20% - Accent6 8 4 2 3 3" xfId="23126" xr:uid="{00000000-0005-0000-0000-000071290000}"/>
    <cellStyle name="20% - Accent6 8 4 2 4" xfId="11643" xr:uid="{00000000-0005-0000-0000-000072290000}"/>
    <cellStyle name="20% - Accent6 8 4 2 5" xfId="19598" xr:uid="{00000000-0005-0000-0000-000073290000}"/>
    <cellStyle name="20% - Accent6 8 4 2_Exh G" xfId="2673" xr:uid="{00000000-0005-0000-0000-000074290000}"/>
    <cellStyle name="20% - Accent6 8 4 3" xfId="4496" xr:uid="{00000000-0005-0000-0000-000075290000}"/>
    <cellStyle name="20% - Accent6 8 4 3 2" xfId="8088" xr:uid="{00000000-0005-0000-0000-000076290000}"/>
    <cellStyle name="20% - Accent6 8 4 3 2 2" xfId="16059" xr:uid="{00000000-0005-0000-0000-000077290000}"/>
    <cellStyle name="20% - Accent6 8 4 3 2 3" xfId="24005" xr:uid="{00000000-0005-0000-0000-000078290000}"/>
    <cellStyle name="20% - Accent6 8 4 3 3" xfId="12521" xr:uid="{00000000-0005-0000-0000-000079290000}"/>
    <cellStyle name="20% - Accent6 8 4 3 4" xfId="20476" xr:uid="{00000000-0005-0000-0000-00007A290000}"/>
    <cellStyle name="20% - Accent6 8 4 4" xfId="6326" xr:uid="{00000000-0005-0000-0000-00007B290000}"/>
    <cellStyle name="20% - Accent6 8 4 4 2" xfId="14301" xr:uid="{00000000-0005-0000-0000-00007C290000}"/>
    <cellStyle name="20% - Accent6 8 4 4 3" xfId="22248" xr:uid="{00000000-0005-0000-0000-00007D290000}"/>
    <cellStyle name="20% - Accent6 8 4 5" xfId="9869" xr:uid="{00000000-0005-0000-0000-00007E290000}"/>
    <cellStyle name="20% - Accent6 8 4 5 2" xfId="17827" xr:uid="{00000000-0005-0000-0000-00007F290000}"/>
    <cellStyle name="20% - Accent6 8 4 5 3" xfId="25771" xr:uid="{00000000-0005-0000-0000-000080290000}"/>
    <cellStyle name="20% - Accent6 8 4 6" xfId="10765" xr:uid="{00000000-0005-0000-0000-000081290000}"/>
    <cellStyle name="20% - Accent6 8 4 7" xfId="18720" xr:uid="{00000000-0005-0000-0000-000082290000}"/>
    <cellStyle name="20% - Accent6 8 4_Exh G" xfId="2672" xr:uid="{00000000-0005-0000-0000-000083290000}"/>
    <cellStyle name="20% - Accent6 8 5" xfId="1351" xr:uid="{00000000-0005-0000-0000-000084290000}"/>
    <cellStyle name="20% - Accent6 8 5 2" xfId="4881" xr:uid="{00000000-0005-0000-0000-000085290000}"/>
    <cellStyle name="20% - Accent6 8 5 2 2" xfId="8472" xr:uid="{00000000-0005-0000-0000-000086290000}"/>
    <cellStyle name="20% - Accent6 8 5 2 2 2" xfId="16443" xr:uid="{00000000-0005-0000-0000-000087290000}"/>
    <cellStyle name="20% - Accent6 8 5 2 2 3" xfId="24389" xr:uid="{00000000-0005-0000-0000-000088290000}"/>
    <cellStyle name="20% - Accent6 8 5 2 3" xfId="12905" xr:uid="{00000000-0005-0000-0000-000089290000}"/>
    <cellStyle name="20% - Accent6 8 5 2 4" xfId="20860" xr:uid="{00000000-0005-0000-0000-00008A290000}"/>
    <cellStyle name="20% - Accent6 8 5 3" xfId="6713" xr:uid="{00000000-0005-0000-0000-00008B290000}"/>
    <cellStyle name="20% - Accent6 8 5 3 2" xfId="14685" xr:uid="{00000000-0005-0000-0000-00008C290000}"/>
    <cellStyle name="20% - Accent6 8 5 3 3" xfId="22632" xr:uid="{00000000-0005-0000-0000-00008D290000}"/>
    <cellStyle name="20% - Accent6 8 5 4" xfId="11149" xr:uid="{00000000-0005-0000-0000-00008E290000}"/>
    <cellStyle name="20% - Accent6 8 5 5" xfId="19104" xr:uid="{00000000-0005-0000-0000-00008F290000}"/>
    <cellStyle name="20% - Accent6 8 5_Exh G" xfId="2674" xr:uid="{00000000-0005-0000-0000-000090290000}"/>
    <cellStyle name="20% - Accent6 8 6" xfId="4002" xr:uid="{00000000-0005-0000-0000-000091290000}"/>
    <cellStyle name="20% - Accent6 8 6 2" xfId="7594" xr:uid="{00000000-0005-0000-0000-000092290000}"/>
    <cellStyle name="20% - Accent6 8 6 2 2" xfId="15565" xr:uid="{00000000-0005-0000-0000-000093290000}"/>
    <cellStyle name="20% - Accent6 8 6 2 3" xfId="23511" xr:uid="{00000000-0005-0000-0000-000094290000}"/>
    <cellStyle name="20% - Accent6 8 6 3" xfId="12027" xr:uid="{00000000-0005-0000-0000-000095290000}"/>
    <cellStyle name="20% - Accent6 8 6 4" xfId="19982" xr:uid="{00000000-0005-0000-0000-000096290000}"/>
    <cellStyle name="20% - Accent6 8 7" xfId="5822" xr:uid="{00000000-0005-0000-0000-000097290000}"/>
    <cellStyle name="20% - Accent6 8 7 2" xfId="13806" xr:uid="{00000000-0005-0000-0000-000098290000}"/>
    <cellStyle name="20% - Accent6 8 7 3" xfId="21754" xr:uid="{00000000-0005-0000-0000-000099290000}"/>
    <cellStyle name="20% - Accent6 8 8" xfId="9375" xr:uid="{00000000-0005-0000-0000-00009A290000}"/>
    <cellStyle name="20% - Accent6 8 8 2" xfId="17333" xr:uid="{00000000-0005-0000-0000-00009B290000}"/>
    <cellStyle name="20% - Accent6 8 8 3" xfId="25277" xr:uid="{00000000-0005-0000-0000-00009C290000}"/>
    <cellStyle name="20% - Accent6 8 9" xfId="10271" xr:uid="{00000000-0005-0000-0000-00009D290000}"/>
    <cellStyle name="20% - Accent6 8_Exh G" xfId="2665" xr:uid="{00000000-0005-0000-0000-00009E290000}"/>
    <cellStyle name="20% - Accent6 9" xfId="327" xr:uid="{00000000-0005-0000-0000-00009F290000}"/>
    <cellStyle name="20% - Accent6 9 10" xfId="18230" xr:uid="{00000000-0005-0000-0000-0000A0290000}"/>
    <cellStyle name="20% - Accent6 9 2" xfId="328" xr:uid="{00000000-0005-0000-0000-0000A1290000}"/>
    <cellStyle name="20% - Accent6 9 2 2" xfId="329" xr:uid="{00000000-0005-0000-0000-0000A2290000}"/>
    <cellStyle name="20% - Accent6 9 2 2 2" xfId="1357" xr:uid="{00000000-0005-0000-0000-0000A3290000}"/>
    <cellStyle name="20% - Accent6 9 2 2 2 2" xfId="4887" xr:uid="{00000000-0005-0000-0000-0000A4290000}"/>
    <cellStyle name="20% - Accent6 9 2 2 2 2 2" xfId="8478" xr:uid="{00000000-0005-0000-0000-0000A5290000}"/>
    <cellStyle name="20% - Accent6 9 2 2 2 2 2 2" xfId="16449" xr:uid="{00000000-0005-0000-0000-0000A6290000}"/>
    <cellStyle name="20% - Accent6 9 2 2 2 2 2 3" xfId="24395" xr:uid="{00000000-0005-0000-0000-0000A7290000}"/>
    <cellStyle name="20% - Accent6 9 2 2 2 2 3" xfId="12911" xr:uid="{00000000-0005-0000-0000-0000A8290000}"/>
    <cellStyle name="20% - Accent6 9 2 2 2 2 4" xfId="20866" xr:uid="{00000000-0005-0000-0000-0000A9290000}"/>
    <cellStyle name="20% - Accent6 9 2 2 2 3" xfId="6719" xr:uid="{00000000-0005-0000-0000-0000AA290000}"/>
    <cellStyle name="20% - Accent6 9 2 2 2 3 2" xfId="14691" xr:uid="{00000000-0005-0000-0000-0000AB290000}"/>
    <cellStyle name="20% - Accent6 9 2 2 2 3 3" xfId="22638" xr:uid="{00000000-0005-0000-0000-0000AC290000}"/>
    <cellStyle name="20% - Accent6 9 2 2 2 4" xfId="11155" xr:uid="{00000000-0005-0000-0000-0000AD290000}"/>
    <cellStyle name="20% - Accent6 9 2 2 2 5" xfId="19110" xr:uid="{00000000-0005-0000-0000-0000AE290000}"/>
    <cellStyle name="20% - Accent6 9 2 2 2_Exh G" xfId="2678" xr:uid="{00000000-0005-0000-0000-0000AF290000}"/>
    <cellStyle name="20% - Accent6 9 2 2 3" xfId="4008" xr:uid="{00000000-0005-0000-0000-0000B0290000}"/>
    <cellStyle name="20% - Accent6 9 2 2 3 2" xfId="7600" xr:uid="{00000000-0005-0000-0000-0000B1290000}"/>
    <cellStyle name="20% - Accent6 9 2 2 3 2 2" xfId="15571" xr:uid="{00000000-0005-0000-0000-0000B2290000}"/>
    <cellStyle name="20% - Accent6 9 2 2 3 2 3" xfId="23517" xr:uid="{00000000-0005-0000-0000-0000B3290000}"/>
    <cellStyle name="20% - Accent6 9 2 2 3 3" xfId="12033" xr:uid="{00000000-0005-0000-0000-0000B4290000}"/>
    <cellStyle name="20% - Accent6 9 2 2 3 4" xfId="19988" xr:uid="{00000000-0005-0000-0000-0000B5290000}"/>
    <cellStyle name="20% - Accent6 9 2 2 4" xfId="5828" xr:uid="{00000000-0005-0000-0000-0000B6290000}"/>
    <cellStyle name="20% - Accent6 9 2 2 4 2" xfId="13812" xr:uid="{00000000-0005-0000-0000-0000B7290000}"/>
    <cellStyle name="20% - Accent6 9 2 2 4 3" xfId="21760" xr:uid="{00000000-0005-0000-0000-0000B8290000}"/>
    <cellStyle name="20% - Accent6 9 2 2 5" xfId="9381" xr:uid="{00000000-0005-0000-0000-0000B9290000}"/>
    <cellStyle name="20% - Accent6 9 2 2 5 2" xfId="17339" xr:uid="{00000000-0005-0000-0000-0000BA290000}"/>
    <cellStyle name="20% - Accent6 9 2 2 5 3" xfId="25283" xr:uid="{00000000-0005-0000-0000-0000BB290000}"/>
    <cellStyle name="20% - Accent6 9 2 2 6" xfId="10277" xr:uid="{00000000-0005-0000-0000-0000BC290000}"/>
    <cellStyle name="20% - Accent6 9 2 2 7" xfId="18232" xr:uid="{00000000-0005-0000-0000-0000BD290000}"/>
    <cellStyle name="20% - Accent6 9 2 2_Exh G" xfId="2677" xr:uid="{00000000-0005-0000-0000-0000BE290000}"/>
    <cellStyle name="20% - Accent6 9 2 3" xfId="1356" xr:uid="{00000000-0005-0000-0000-0000BF290000}"/>
    <cellStyle name="20% - Accent6 9 2 3 2" xfId="4886" xr:uid="{00000000-0005-0000-0000-0000C0290000}"/>
    <cellStyle name="20% - Accent6 9 2 3 2 2" xfId="8477" xr:uid="{00000000-0005-0000-0000-0000C1290000}"/>
    <cellStyle name="20% - Accent6 9 2 3 2 2 2" xfId="16448" xr:uid="{00000000-0005-0000-0000-0000C2290000}"/>
    <cellStyle name="20% - Accent6 9 2 3 2 2 3" xfId="24394" xr:uid="{00000000-0005-0000-0000-0000C3290000}"/>
    <cellStyle name="20% - Accent6 9 2 3 2 3" xfId="12910" xr:uid="{00000000-0005-0000-0000-0000C4290000}"/>
    <cellStyle name="20% - Accent6 9 2 3 2 4" xfId="20865" xr:uid="{00000000-0005-0000-0000-0000C5290000}"/>
    <cellStyle name="20% - Accent6 9 2 3 3" xfId="6718" xr:uid="{00000000-0005-0000-0000-0000C6290000}"/>
    <cellStyle name="20% - Accent6 9 2 3 3 2" xfId="14690" xr:uid="{00000000-0005-0000-0000-0000C7290000}"/>
    <cellStyle name="20% - Accent6 9 2 3 3 3" xfId="22637" xr:uid="{00000000-0005-0000-0000-0000C8290000}"/>
    <cellStyle name="20% - Accent6 9 2 3 4" xfId="11154" xr:uid="{00000000-0005-0000-0000-0000C9290000}"/>
    <cellStyle name="20% - Accent6 9 2 3 5" xfId="19109" xr:uid="{00000000-0005-0000-0000-0000CA290000}"/>
    <cellStyle name="20% - Accent6 9 2 3_Exh G" xfId="2679" xr:uid="{00000000-0005-0000-0000-0000CB290000}"/>
    <cellStyle name="20% - Accent6 9 2 4" xfId="4007" xr:uid="{00000000-0005-0000-0000-0000CC290000}"/>
    <cellStyle name="20% - Accent6 9 2 4 2" xfId="7599" xr:uid="{00000000-0005-0000-0000-0000CD290000}"/>
    <cellStyle name="20% - Accent6 9 2 4 2 2" xfId="15570" xr:uid="{00000000-0005-0000-0000-0000CE290000}"/>
    <cellStyle name="20% - Accent6 9 2 4 2 3" xfId="23516" xr:uid="{00000000-0005-0000-0000-0000CF290000}"/>
    <cellStyle name="20% - Accent6 9 2 4 3" xfId="12032" xr:uid="{00000000-0005-0000-0000-0000D0290000}"/>
    <cellStyle name="20% - Accent6 9 2 4 4" xfId="19987" xr:uid="{00000000-0005-0000-0000-0000D1290000}"/>
    <cellStyle name="20% - Accent6 9 2 5" xfId="5827" xr:uid="{00000000-0005-0000-0000-0000D2290000}"/>
    <cellStyle name="20% - Accent6 9 2 5 2" xfId="13811" xr:uid="{00000000-0005-0000-0000-0000D3290000}"/>
    <cellStyle name="20% - Accent6 9 2 5 3" xfId="21759" xr:uid="{00000000-0005-0000-0000-0000D4290000}"/>
    <cellStyle name="20% - Accent6 9 2 6" xfId="9380" xr:uid="{00000000-0005-0000-0000-0000D5290000}"/>
    <cellStyle name="20% - Accent6 9 2 6 2" xfId="17338" xr:uid="{00000000-0005-0000-0000-0000D6290000}"/>
    <cellStyle name="20% - Accent6 9 2 6 3" xfId="25282" xr:uid="{00000000-0005-0000-0000-0000D7290000}"/>
    <cellStyle name="20% - Accent6 9 2 7" xfId="10276" xr:uid="{00000000-0005-0000-0000-0000D8290000}"/>
    <cellStyle name="20% - Accent6 9 2 8" xfId="18231" xr:uid="{00000000-0005-0000-0000-0000D9290000}"/>
    <cellStyle name="20% - Accent6 9 2_Exh G" xfId="2676" xr:uid="{00000000-0005-0000-0000-0000DA290000}"/>
    <cellStyle name="20% - Accent6 9 3" xfId="330" xr:uid="{00000000-0005-0000-0000-0000DB290000}"/>
    <cellStyle name="20% - Accent6 9 3 2" xfId="1358" xr:uid="{00000000-0005-0000-0000-0000DC290000}"/>
    <cellStyle name="20% - Accent6 9 3 2 2" xfId="4888" xr:uid="{00000000-0005-0000-0000-0000DD290000}"/>
    <cellStyle name="20% - Accent6 9 3 2 2 2" xfId="8479" xr:uid="{00000000-0005-0000-0000-0000DE290000}"/>
    <cellStyle name="20% - Accent6 9 3 2 2 2 2" xfId="16450" xr:uid="{00000000-0005-0000-0000-0000DF290000}"/>
    <cellStyle name="20% - Accent6 9 3 2 2 2 3" xfId="24396" xr:uid="{00000000-0005-0000-0000-0000E0290000}"/>
    <cellStyle name="20% - Accent6 9 3 2 2 3" xfId="12912" xr:uid="{00000000-0005-0000-0000-0000E1290000}"/>
    <cellStyle name="20% - Accent6 9 3 2 2 4" xfId="20867" xr:uid="{00000000-0005-0000-0000-0000E2290000}"/>
    <cellStyle name="20% - Accent6 9 3 2 3" xfId="6720" xr:uid="{00000000-0005-0000-0000-0000E3290000}"/>
    <cellStyle name="20% - Accent6 9 3 2 3 2" xfId="14692" xr:uid="{00000000-0005-0000-0000-0000E4290000}"/>
    <cellStyle name="20% - Accent6 9 3 2 3 3" xfId="22639" xr:uid="{00000000-0005-0000-0000-0000E5290000}"/>
    <cellStyle name="20% - Accent6 9 3 2 4" xfId="11156" xr:uid="{00000000-0005-0000-0000-0000E6290000}"/>
    <cellStyle name="20% - Accent6 9 3 2 5" xfId="19111" xr:uid="{00000000-0005-0000-0000-0000E7290000}"/>
    <cellStyle name="20% - Accent6 9 3 2_Exh G" xfId="2681" xr:uid="{00000000-0005-0000-0000-0000E8290000}"/>
    <cellStyle name="20% - Accent6 9 3 3" xfId="4009" xr:uid="{00000000-0005-0000-0000-0000E9290000}"/>
    <cellStyle name="20% - Accent6 9 3 3 2" xfId="7601" xr:uid="{00000000-0005-0000-0000-0000EA290000}"/>
    <cellStyle name="20% - Accent6 9 3 3 2 2" xfId="15572" xr:uid="{00000000-0005-0000-0000-0000EB290000}"/>
    <cellStyle name="20% - Accent6 9 3 3 2 3" xfId="23518" xr:uid="{00000000-0005-0000-0000-0000EC290000}"/>
    <cellStyle name="20% - Accent6 9 3 3 3" xfId="12034" xr:uid="{00000000-0005-0000-0000-0000ED290000}"/>
    <cellStyle name="20% - Accent6 9 3 3 4" xfId="19989" xr:uid="{00000000-0005-0000-0000-0000EE290000}"/>
    <cellStyle name="20% - Accent6 9 3 4" xfId="5829" xr:uid="{00000000-0005-0000-0000-0000EF290000}"/>
    <cellStyle name="20% - Accent6 9 3 4 2" xfId="13813" xr:uid="{00000000-0005-0000-0000-0000F0290000}"/>
    <cellStyle name="20% - Accent6 9 3 4 3" xfId="21761" xr:uid="{00000000-0005-0000-0000-0000F1290000}"/>
    <cellStyle name="20% - Accent6 9 3 5" xfId="9382" xr:uid="{00000000-0005-0000-0000-0000F2290000}"/>
    <cellStyle name="20% - Accent6 9 3 5 2" xfId="17340" xr:uid="{00000000-0005-0000-0000-0000F3290000}"/>
    <cellStyle name="20% - Accent6 9 3 5 3" xfId="25284" xr:uid="{00000000-0005-0000-0000-0000F4290000}"/>
    <cellStyle name="20% - Accent6 9 3 6" xfId="10278" xr:uid="{00000000-0005-0000-0000-0000F5290000}"/>
    <cellStyle name="20% - Accent6 9 3 7" xfId="18233" xr:uid="{00000000-0005-0000-0000-0000F6290000}"/>
    <cellStyle name="20% - Accent6 9 3_Exh G" xfId="2680" xr:uid="{00000000-0005-0000-0000-0000F7290000}"/>
    <cellStyle name="20% - Accent6 9 4" xfId="933" xr:uid="{00000000-0005-0000-0000-0000F8290000}"/>
    <cellStyle name="20% - Accent6 9 4 2" xfId="1858" xr:uid="{00000000-0005-0000-0000-0000F9290000}"/>
    <cellStyle name="20% - Accent6 9 4 2 2" xfId="5376" xr:uid="{00000000-0005-0000-0000-0000FA290000}"/>
    <cellStyle name="20% - Accent6 9 4 2 2 2" xfId="8967" xr:uid="{00000000-0005-0000-0000-0000FB290000}"/>
    <cellStyle name="20% - Accent6 9 4 2 2 2 2" xfId="16938" xr:uid="{00000000-0005-0000-0000-0000FC290000}"/>
    <cellStyle name="20% - Accent6 9 4 2 2 2 3" xfId="24884" xr:uid="{00000000-0005-0000-0000-0000FD290000}"/>
    <cellStyle name="20% - Accent6 9 4 2 2 3" xfId="13400" xr:uid="{00000000-0005-0000-0000-0000FE290000}"/>
    <cellStyle name="20% - Accent6 9 4 2 2 4" xfId="21355" xr:uid="{00000000-0005-0000-0000-0000FF290000}"/>
    <cellStyle name="20% - Accent6 9 4 2 3" xfId="7208" xr:uid="{00000000-0005-0000-0000-0000002A0000}"/>
    <cellStyle name="20% - Accent6 9 4 2 3 2" xfId="15180" xr:uid="{00000000-0005-0000-0000-0000012A0000}"/>
    <cellStyle name="20% - Accent6 9 4 2 3 3" xfId="23127" xr:uid="{00000000-0005-0000-0000-0000022A0000}"/>
    <cellStyle name="20% - Accent6 9 4 2 4" xfId="11644" xr:uid="{00000000-0005-0000-0000-0000032A0000}"/>
    <cellStyle name="20% - Accent6 9 4 2 5" xfId="19599" xr:uid="{00000000-0005-0000-0000-0000042A0000}"/>
    <cellStyle name="20% - Accent6 9 4 2_Exh G" xfId="2683" xr:uid="{00000000-0005-0000-0000-0000052A0000}"/>
    <cellStyle name="20% - Accent6 9 4 3" xfId="4497" xr:uid="{00000000-0005-0000-0000-0000062A0000}"/>
    <cellStyle name="20% - Accent6 9 4 3 2" xfId="8089" xr:uid="{00000000-0005-0000-0000-0000072A0000}"/>
    <cellStyle name="20% - Accent6 9 4 3 2 2" xfId="16060" xr:uid="{00000000-0005-0000-0000-0000082A0000}"/>
    <cellStyle name="20% - Accent6 9 4 3 2 3" xfId="24006" xr:uid="{00000000-0005-0000-0000-0000092A0000}"/>
    <cellStyle name="20% - Accent6 9 4 3 3" xfId="12522" xr:uid="{00000000-0005-0000-0000-00000A2A0000}"/>
    <cellStyle name="20% - Accent6 9 4 3 4" xfId="20477" xr:uid="{00000000-0005-0000-0000-00000B2A0000}"/>
    <cellStyle name="20% - Accent6 9 4 4" xfId="6327" xr:uid="{00000000-0005-0000-0000-00000C2A0000}"/>
    <cellStyle name="20% - Accent6 9 4 4 2" xfId="14302" xr:uid="{00000000-0005-0000-0000-00000D2A0000}"/>
    <cellStyle name="20% - Accent6 9 4 4 3" xfId="22249" xr:uid="{00000000-0005-0000-0000-00000E2A0000}"/>
    <cellStyle name="20% - Accent6 9 4 5" xfId="9870" xr:uid="{00000000-0005-0000-0000-00000F2A0000}"/>
    <cellStyle name="20% - Accent6 9 4 5 2" xfId="17828" xr:uid="{00000000-0005-0000-0000-0000102A0000}"/>
    <cellStyle name="20% - Accent6 9 4 5 3" xfId="25772" xr:uid="{00000000-0005-0000-0000-0000112A0000}"/>
    <cellStyle name="20% - Accent6 9 4 6" xfId="10766" xr:uid="{00000000-0005-0000-0000-0000122A0000}"/>
    <cellStyle name="20% - Accent6 9 4 7" xfId="18721" xr:uid="{00000000-0005-0000-0000-0000132A0000}"/>
    <cellStyle name="20% - Accent6 9 4_Exh G" xfId="2682" xr:uid="{00000000-0005-0000-0000-0000142A0000}"/>
    <cellStyle name="20% - Accent6 9 5" xfId="1355" xr:uid="{00000000-0005-0000-0000-0000152A0000}"/>
    <cellStyle name="20% - Accent6 9 5 2" xfId="4885" xr:uid="{00000000-0005-0000-0000-0000162A0000}"/>
    <cellStyle name="20% - Accent6 9 5 2 2" xfId="8476" xr:uid="{00000000-0005-0000-0000-0000172A0000}"/>
    <cellStyle name="20% - Accent6 9 5 2 2 2" xfId="16447" xr:uid="{00000000-0005-0000-0000-0000182A0000}"/>
    <cellStyle name="20% - Accent6 9 5 2 2 3" xfId="24393" xr:uid="{00000000-0005-0000-0000-0000192A0000}"/>
    <cellStyle name="20% - Accent6 9 5 2 3" xfId="12909" xr:uid="{00000000-0005-0000-0000-00001A2A0000}"/>
    <cellStyle name="20% - Accent6 9 5 2 4" xfId="20864" xr:uid="{00000000-0005-0000-0000-00001B2A0000}"/>
    <cellStyle name="20% - Accent6 9 5 3" xfId="6717" xr:uid="{00000000-0005-0000-0000-00001C2A0000}"/>
    <cellStyle name="20% - Accent6 9 5 3 2" xfId="14689" xr:uid="{00000000-0005-0000-0000-00001D2A0000}"/>
    <cellStyle name="20% - Accent6 9 5 3 3" xfId="22636" xr:uid="{00000000-0005-0000-0000-00001E2A0000}"/>
    <cellStyle name="20% - Accent6 9 5 4" xfId="11153" xr:uid="{00000000-0005-0000-0000-00001F2A0000}"/>
    <cellStyle name="20% - Accent6 9 5 5" xfId="19108" xr:uid="{00000000-0005-0000-0000-0000202A0000}"/>
    <cellStyle name="20% - Accent6 9 5_Exh G" xfId="2684" xr:uid="{00000000-0005-0000-0000-0000212A0000}"/>
    <cellStyle name="20% - Accent6 9 6" xfId="4006" xr:uid="{00000000-0005-0000-0000-0000222A0000}"/>
    <cellStyle name="20% - Accent6 9 6 2" xfId="7598" xr:uid="{00000000-0005-0000-0000-0000232A0000}"/>
    <cellStyle name="20% - Accent6 9 6 2 2" xfId="15569" xr:uid="{00000000-0005-0000-0000-0000242A0000}"/>
    <cellStyle name="20% - Accent6 9 6 2 3" xfId="23515" xr:uid="{00000000-0005-0000-0000-0000252A0000}"/>
    <cellStyle name="20% - Accent6 9 6 3" xfId="12031" xr:uid="{00000000-0005-0000-0000-0000262A0000}"/>
    <cellStyle name="20% - Accent6 9 6 4" xfId="19986" xr:uid="{00000000-0005-0000-0000-0000272A0000}"/>
    <cellStyle name="20% - Accent6 9 7" xfId="5826" xr:uid="{00000000-0005-0000-0000-0000282A0000}"/>
    <cellStyle name="20% - Accent6 9 7 2" xfId="13810" xr:uid="{00000000-0005-0000-0000-0000292A0000}"/>
    <cellStyle name="20% - Accent6 9 7 3" xfId="21758" xr:uid="{00000000-0005-0000-0000-00002A2A0000}"/>
    <cellStyle name="20% - Accent6 9 8" xfId="9379" xr:uid="{00000000-0005-0000-0000-00002B2A0000}"/>
    <cellStyle name="20% - Accent6 9 8 2" xfId="17337" xr:uid="{00000000-0005-0000-0000-00002C2A0000}"/>
    <cellStyle name="20% - Accent6 9 8 3" xfId="25281" xr:uid="{00000000-0005-0000-0000-00002D2A0000}"/>
    <cellStyle name="20% - Accent6 9 9" xfId="10275" xr:uid="{00000000-0005-0000-0000-00002E2A0000}"/>
    <cellStyle name="20% - Accent6 9_Exh G" xfId="2675" xr:uid="{00000000-0005-0000-0000-00002F2A0000}"/>
    <cellStyle name="40% - Accent1 10" xfId="331" xr:uid="{00000000-0005-0000-0000-0000302A0000}"/>
    <cellStyle name="40% - Accent1 10 10" xfId="18234" xr:uid="{00000000-0005-0000-0000-0000312A0000}"/>
    <cellStyle name="40% - Accent1 10 2" xfId="332" xr:uid="{00000000-0005-0000-0000-0000322A0000}"/>
    <cellStyle name="40% - Accent1 10 2 2" xfId="333" xr:uid="{00000000-0005-0000-0000-0000332A0000}"/>
    <cellStyle name="40% - Accent1 10 2 2 2" xfId="1361" xr:uid="{00000000-0005-0000-0000-0000342A0000}"/>
    <cellStyle name="40% - Accent1 10 2 2 2 2" xfId="4891" xr:uid="{00000000-0005-0000-0000-0000352A0000}"/>
    <cellStyle name="40% - Accent1 10 2 2 2 2 2" xfId="8482" xr:uid="{00000000-0005-0000-0000-0000362A0000}"/>
    <cellStyle name="40% - Accent1 10 2 2 2 2 2 2" xfId="16453" xr:uid="{00000000-0005-0000-0000-0000372A0000}"/>
    <cellStyle name="40% - Accent1 10 2 2 2 2 2 3" xfId="24399" xr:uid="{00000000-0005-0000-0000-0000382A0000}"/>
    <cellStyle name="40% - Accent1 10 2 2 2 2 3" xfId="12915" xr:uid="{00000000-0005-0000-0000-0000392A0000}"/>
    <cellStyle name="40% - Accent1 10 2 2 2 2 4" xfId="20870" xr:uid="{00000000-0005-0000-0000-00003A2A0000}"/>
    <cellStyle name="40% - Accent1 10 2 2 2 3" xfId="6723" xr:uid="{00000000-0005-0000-0000-00003B2A0000}"/>
    <cellStyle name="40% - Accent1 10 2 2 2 3 2" xfId="14695" xr:uid="{00000000-0005-0000-0000-00003C2A0000}"/>
    <cellStyle name="40% - Accent1 10 2 2 2 3 3" xfId="22642" xr:uid="{00000000-0005-0000-0000-00003D2A0000}"/>
    <cellStyle name="40% - Accent1 10 2 2 2 4" xfId="11159" xr:uid="{00000000-0005-0000-0000-00003E2A0000}"/>
    <cellStyle name="40% - Accent1 10 2 2 2 5" xfId="19114" xr:uid="{00000000-0005-0000-0000-00003F2A0000}"/>
    <cellStyle name="40% - Accent1 10 2 2 2_Exh G" xfId="2688" xr:uid="{00000000-0005-0000-0000-0000402A0000}"/>
    <cellStyle name="40% - Accent1 10 2 2 3" xfId="4012" xr:uid="{00000000-0005-0000-0000-0000412A0000}"/>
    <cellStyle name="40% - Accent1 10 2 2 3 2" xfId="7604" xr:uid="{00000000-0005-0000-0000-0000422A0000}"/>
    <cellStyle name="40% - Accent1 10 2 2 3 2 2" xfId="15575" xr:uid="{00000000-0005-0000-0000-0000432A0000}"/>
    <cellStyle name="40% - Accent1 10 2 2 3 2 3" xfId="23521" xr:uid="{00000000-0005-0000-0000-0000442A0000}"/>
    <cellStyle name="40% - Accent1 10 2 2 3 3" xfId="12037" xr:uid="{00000000-0005-0000-0000-0000452A0000}"/>
    <cellStyle name="40% - Accent1 10 2 2 3 4" xfId="19992" xr:uid="{00000000-0005-0000-0000-0000462A0000}"/>
    <cellStyle name="40% - Accent1 10 2 2 4" xfId="5832" xr:uid="{00000000-0005-0000-0000-0000472A0000}"/>
    <cellStyle name="40% - Accent1 10 2 2 4 2" xfId="13816" xr:uid="{00000000-0005-0000-0000-0000482A0000}"/>
    <cellStyle name="40% - Accent1 10 2 2 4 3" xfId="21764" xr:uid="{00000000-0005-0000-0000-0000492A0000}"/>
    <cellStyle name="40% - Accent1 10 2 2 5" xfId="9385" xr:uid="{00000000-0005-0000-0000-00004A2A0000}"/>
    <cellStyle name="40% - Accent1 10 2 2 5 2" xfId="17343" xr:uid="{00000000-0005-0000-0000-00004B2A0000}"/>
    <cellStyle name="40% - Accent1 10 2 2 5 3" xfId="25287" xr:uid="{00000000-0005-0000-0000-00004C2A0000}"/>
    <cellStyle name="40% - Accent1 10 2 2 6" xfId="10281" xr:uid="{00000000-0005-0000-0000-00004D2A0000}"/>
    <cellStyle name="40% - Accent1 10 2 2 7" xfId="18236" xr:uid="{00000000-0005-0000-0000-00004E2A0000}"/>
    <cellStyle name="40% - Accent1 10 2 2_Exh G" xfId="2687" xr:uid="{00000000-0005-0000-0000-00004F2A0000}"/>
    <cellStyle name="40% - Accent1 10 2 3" xfId="1360" xr:uid="{00000000-0005-0000-0000-0000502A0000}"/>
    <cellStyle name="40% - Accent1 10 2 3 2" xfId="4890" xr:uid="{00000000-0005-0000-0000-0000512A0000}"/>
    <cellStyle name="40% - Accent1 10 2 3 2 2" xfId="8481" xr:uid="{00000000-0005-0000-0000-0000522A0000}"/>
    <cellStyle name="40% - Accent1 10 2 3 2 2 2" xfId="16452" xr:uid="{00000000-0005-0000-0000-0000532A0000}"/>
    <cellStyle name="40% - Accent1 10 2 3 2 2 3" xfId="24398" xr:uid="{00000000-0005-0000-0000-0000542A0000}"/>
    <cellStyle name="40% - Accent1 10 2 3 2 3" xfId="12914" xr:uid="{00000000-0005-0000-0000-0000552A0000}"/>
    <cellStyle name="40% - Accent1 10 2 3 2 4" xfId="20869" xr:uid="{00000000-0005-0000-0000-0000562A0000}"/>
    <cellStyle name="40% - Accent1 10 2 3 3" xfId="6722" xr:uid="{00000000-0005-0000-0000-0000572A0000}"/>
    <cellStyle name="40% - Accent1 10 2 3 3 2" xfId="14694" xr:uid="{00000000-0005-0000-0000-0000582A0000}"/>
    <cellStyle name="40% - Accent1 10 2 3 3 3" xfId="22641" xr:uid="{00000000-0005-0000-0000-0000592A0000}"/>
    <cellStyle name="40% - Accent1 10 2 3 4" xfId="11158" xr:uid="{00000000-0005-0000-0000-00005A2A0000}"/>
    <cellStyle name="40% - Accent1 10 2 3 5" xfId="19113" xr:uid="{00000000-0005-0000-0000-00005B2A0000}"/>
    <cellStyle name="40% - Accent1 10 2 3_Exh G" xfId="2689" xr:uid="{00000000-0005-0000-0000-00005C2A0000}"/>
    <cellStyle name="40% - Accent1 10 2 4" xfId="4011" xr:uid="{00000000-0005-0000-0000-00005D2A0000}"/>
    <cellStyle name="40% - Accent1 10 2 4 2" xfId="7603" xr:uid="{00000000-0005-0000-0000-00005E2A0000}"/>
    <cellStyle name="40% - Accent1 10 2 4 2 2" xfId="15574" xr:uid="{00000000-0005-0000-0000-00005F2A0000}"/>
    <cellStyle name="40% - Accent1 10 2 4 2 3" xfId="23520" xr:uid="{00000000-0005-0000-0000-0000602A0000}"/>
    <cellStyle name="40% - Accent1 10 2 4 3" xfId="12036" xr:uid="{00000000-0005-0000-0000-0000612A0000}"/>
    <cellStyle name="40% - Accent1 10 2 4 4" xfId="19991" xr:uid="{00000000-0005-0000-0000-0000622A0000}"/>
    <cellStyle name="40% - Accent1 10 2 5" xfId="5831" xr:uid="{00000000-0005-0000-0000-0000632A0000}"/>
    <cellStyle name="40% - Accent1 10 2 5 2" xfId="13815" xr:uid="{00000000-0005-0000-0000-0000642A0000}"/>
    <cellStyle name="40% - Accent1 10 2 5 3" xfId="21763" xr:uid="{00000000-0005-0000-0000-0000652A0000}"/>
    <cellStyle name="40% - Accent1 10 2 6" xfId="9384" xr:uid="{00000000-0005-0000-0000-0000662A0000}"/>
    <cellStyle name="40% - Accent1 10 2 6 2" xfId="17342" xr:uid="{00000000-0005-0000-0000-0000672A0000}"/>
    <cellStyle name="40% - Accent1 10 2 6 3" xfId="25286" xr:uid="{00000000-0005-0000-0000-0000682A0000}"/>
    <cellStyle name="40% - Accent1 10 2 7" xfId="10280" xr:uid="{00000000-0005-0000-0000-0000692A0000}"/>
    <cellStyle name="40% - Accent1 10 2 8" xfId="18235" xr:uid="{00000000-0005-0000-0000-00006A2A0000}"/>
    <cellStyle name="40% - Accent1 10 2_Exh G" xfId="2686" xr:uid="{00000000-0005-0000-0000-00006B2A0000}"/>
    <cellStyle name="40% - Accent1 10 3" xfId="334" xr:uid="{00000000-0005-0000-0000-00006C2A0000}"/>
    <cellStyle name="40% - Accent1 10 3 2" xfId="1362" xr:uid="{00000000-0005-0000-0000-00006D2A0000}"/>
    <cellStyle name="40% - Accent1 10 3 2 2" xfId="4892" xr:uid="{00000000-0005-0000-0000-00006E2A0000}"/>
    <cellStyle name="40% - Accent1 10 3 2 2 2" xfId="8483" xr:uid="{00000000-0005-0000-0000-00006F2A0000}"/>
    <cellStyle name="40% - Accent1 10 3 2 2 2 2" xfId="16454" xr:uid="{00000000-0005-0000-0000-0000702A0000}"/>
    <cellStyle name="40% - Accent1 10 3 2 2 2 3" xfId="24400" xr:uid="{00000000-0005-0000-0000-0000712A0000}"/>
    <cellStyle name="40% - Accent1 10 3 2 2 3" xfId="12916" xr:uid="{00000000-0005-0000-0000-0000722A0000}"/>
    <cellStyle name="40% - Accent1 10 3 2 2 4" xfId="20871" xr:uid="{00000000-0005-0000-0000-0000732A0000}"/>
    <cellStyle name="40% - Accent1 10 3 2 3" xfId="6724" xr:uid="{00000000-0005-0000-0000-0000742A0000}"/>
    <cellStyle name="40% - Accent1 10 3 2 3 2" xfId="14696" xr:uid="{00000000-0005-0000-0000-0000752A0000}"/>
    <cellStyle name="40% - Accent1 10 3 2 3 3" xfId="22643" xr:uid="{00000000-0005-0000-0000-0000762A0000}"/>
    <cellStyle name="40% - Accent1 10 3 2 4" xfId="11160" xr:uid="{00000000-0005-0000-0000-0000772A0000}"/>
    <cellStyle name="40% - Accent1 10 3 2 5" xfId="19115" xr:uid="{00000000-0005-0000-0000-0000782A0000}"/>
    <cellStyle name="40% - Accent1 10 3 2_Exh G" xfId="2691" xr:uid="{00000000-0005-0000-0000-0000792A0000}"/>
    <cellStyle name="40% - Accent1 10 3 3" xfId="4013" xr:uid="{00000000-0005-0000-0000-00007A2A0000}"/>
    <cellStyle name="40% - Accent1 10 3 3 2" xfId="7605" xr:uid="{00000000-0005-0000-0000-00007B2A0000}"/>
    <cellStyle name="40% - Accent1 10 3 3 2 2" xfId="15576" xr:uid="{00000000-0005-0000-0000-00007C2A0000}"/>
    <cellStyle name="40% - Accent1 10 3 3 2 3" xfId="23522" xr:uid="{00000000-0005-0000-0000-00007D2A0000}"/>
    <cellStyle name="40% - Accent1 10 3 3 3" xfId="12038" xr:uid="{00000000-0005-0000-0000-00007E2A0000}"/>
    <cellStyle name="40% - Accent1 10 3 3 4" xfId="19993" xr:uid="{00000000-0005-0000-0000-00007F2A0000}"/>
    <cellStyle name="40% - Accent1 10 3 4" xfId="5833" xr:uid="{00000000-0005-0000-0000-0000802A0000}"/>
    <cellStyle name="40% - Accent1 10 3 4 2" xfId="13817" xr:uid="{00000000-0005-0000-0000-0000812A0000}"/>
    <cellStyle name="40% - Accent1 10 3 4 3" xfId="21765" xr:uid="{00000000-0005-0000-0000-0000822A0000}"/>
    <cellStyle name="40% - Accent1 10 3 5" xfId="9386" xr:uid="{00000000-0005-0000-0000-0000832A0000}"/>
    <cellStyle name="40% - Accent1 10 3 5 2" xfId="17344" xr:uid="{00000000-0005-0000-0000-0000842A0000}"/>
    <cellStyle name="40% - Accent1 10 3 5 3" xfId="25288" xr:uid="{00000000-0005-0000-0000-0000852A0000}"/>
    <cellStyle name="40% - Accent1 10 3 6" xfId="10282" xr:uid="{00000000-0005-0000-0000-0000862A0000}"/>
    <cellStyle name="40% - Accent1 10 3 7" xfId="18237" xr:uid="{00000000-0005-0000-0000-0000872A0000}"/>
    <cellStyle name="40% - Accent1 10 3_Exh G" xfId="2690" xr:uid="{00000000-0005-0000-0000-0000882A0000}"/>
    <cellStyle name="40% - Accent1 10 4" xfId="934" xr:uid="{00000000-0005-0000-0000-0000892A0000}"/>
    <cellStyle name="40% - Accent1 10 5" xfId="1359" xr:uid="{00000000-0005-0000-0000-00008A2A0000}"/>
    <cellStyle name="40% - Accent1 10 5 2" xfId="4889" xr:uid="{00000000-0005-0000-0000-00008B2A0000}"/>
    <cellStyle name="40% - Accent1 10 5 2 2" xfId="8480" xr:uid="{00000000-0005-0000-0000-00008C2A0000}"/>
    <cellStyle name="40% - Accent1 10 5 2 2 2" xfId="16451" xr:uid="{00000000-0005-0000-0000-00008D2A0000}"/>
    <cellStyle name="40% - Accent1 10 5 2 2 3" xfId="24397" xr:uid="{00000000-0005-0000-0000-00008E2A0000}"/>
    <cellStyle name="40% - Accent1 10 5 2 3" xfId="12913" xr:uid="{00000000-0005-0000-0000-00008F2A0000}"/>
    <cellStyle name="40% - Accent1 10 5 2 4" xfId="20868" xr:uid="{00000000-0005-0000-0000-0000902A0000}"/>
    <cellStyle name="40% - Accent1 10 5 3" xfId="6721" xr:uid="{00000000-0005-0000-0000-0000912A0000}"/>
    <cellStyle name="40% - Accent1 10 5 3 2" xfId="14693" xr:uid="{00000000-0005-0000-0000-0000922A0000}"/>
    <cellStyle name="40% - Accent1 10 5 3 3" xfId="22640" xr:uid="{00000000-0005-0000-0000-0000932A0000}"/>
    <cellStyle name="40% - Accent1 10 5 4" xfId="11157" xr:uid="{00000000-0005-0000-0000-0000942A0000}"/>
    <cellStyle name="40% - Accent1 10 5 5" xfId="19112" xr:uid="{00000000-0005-0000-0000-0000952A0000}"/>
    <cellStyle name="40% - Accent1 10 5_Exh G" xfId="2692" xr:uid="{00000000-0005-0000-0000-0000962A0000}"/>
    <cellStyle name="40% - Accent1 10 6" xfId="4010" xr:uid="{00000000-0005-0000-0000-0000972A0000}"/>
    <cellStyle name="40% - Accent1 10 6 2" xfId="7602" xr:uid="{00000000-0005-0000-0000-0000982A0000}"/>
    <cellStyle name="40% - Accent1 10 6 2 2" xfId="15573" xr:uid="{00000000-0005-0000-0000-0000992A0000}"/>
    <cellStyle name="40% - Accent1 10 6 2 3" xfId="23519" xr:uid="{00000000-0005-0000-0000-00009A2A0000}"/>
    <cellStyle name="40% - Accent1 10 6 3" xfId="12035" xr:uid="{00000000-0005-0000-0000-00009B2A0000}"/>
    <cellStyle name="40% - Accent1 10 6 4" xfId="19990" xr:uid="{00000000-0005-0000-0000-00009C2A0000}"/>
    <cellStyle name="40% - Accent1 10 7" xfId="5830" xr:uid="{00000000-0005-0000-0000-00009D2A0000}"/>
    <cellStyle name="40% - Accent1 10 7 2" xfId="13814" xr:uid="{00000000-0005-0000-0000-00009E2A0000}"/>
    <cellStyle name="40% - Accent1 10 7 3" xfId="21762" xr:uid="{00000000-0005-0000-0000-00009F2A0000}"/>
    <cellStyle name="40% - Accent1 10 8" xfId="9383" xr:uid="{00000000-0005-0000-0000-0000A02A0000}"/>
    <cellStyle name="40% - Accent1 10 8 2" xfId="17341" xr:uid="{00000000-0005-0000-0000-0000A12A0000}"/>
    <cellStyle name="40% - Accent1 10 8 3" xfId="25285" xr:uid="{00000000-0005-0000-0000-0000A22A0000}"/>
    <cellStyle name="40% - Accent1 10 9" xfId="10279" xr:uid="{00000000-0005-0000-0000-0000A32A0000}"/>
    <cellStyle name="40% - Accent1 10_Exh G" xfId="2685" xr:uid="{00000000-0005-0000-0000-0000A42A0000}"/>
    <cellStyle name="40% - Accent1 11" xfId="335" xr:uid="{00000000-0005-0000-0000-0000A52A0000}"/>
    <cellStyle name="40% - Accent1 11 2" xfId="336" xr:uid="{00000000-0005-0000-0000-0000A62A0000}"/>
    <cellStyle name="40% - Accent1 11 2 2" xfId="337" xr:uid="{00000000-0005-0000-0000-0000A72A0000}"/>
    <cellStyle name="40% - Accent1 11 2 2 2" xfId="1365" xr:uid="{00000000-0005-0000-0000-0000A82A0000}"/>
    <cellStyle name="40% - Accent1 11 2 2 2 2" xfId="4895" xr:uid="{00000000-0005-0000-0000-0000A92A0000}"/>
    <cellStyle name="40% - Accent1 11 2 2 2 2 2" xfId="8486" xr:uid="{00000000-0005-0000-0000-0000AA2A0000}"/>
    <cellStyle name="40% - Accent1 11 2 2 2 2 2 2" xfId="16457" xr:uid="{00000000-0005-0000-0000-0000AB2A0000}"/>
    <cellStyle name="40% - Accent1 11 2 2 2 2 2 3" xfId="24403" xr:uid="{00000000-0005-0000-0000-0000AC2A0000}"/>
    <cellStyle name="40% - Accent1 11 2 2 2 2 3" xfId="12919" xr:uid="{00000000-0005-0000-0000-0000AD2A0000}"/>
    <cellStyle name="40% - Accent1 11 2 2 2 2 4" xfId="20874" xr:uid="{00000000-0005-0000-0000-0000AE2A0000}"/>
    <cellStyle name="40% - Accent1 11 2 2 2 3" xfId="6727" xr:uid="{00000000-0005-0000-0000-0000AF2A0000}"/>
    <cellStyle name="40% - Accent1 11 2 2 2 3 2" xfId="14699" xr:uid="{00000000-0005-0000-0000-0000B02A0000}"/>
    <cellStyle name="40% - Accent1 11 2 2 2 3 3" xfId="22646" xr:uid="{00000000-0005-0000-0000-0000B12A0000}"/>
    <cellStyle name="40% - Accent1 11 2 2 2 4" xfId="11163" xr:uid="{00000000-0005-0000-0000-0000B22A0000}"/>
    <cellStyle name="40% - Accent1 11 2 2 2 5" xfId="19118" xr:uid="{00000000-0005-0000-0000-0000B32A0000}"/>
    <cellStyle name="40% - Accent1 11 2 2 2_Exh G" xfId="2696" xr:uid="{00000000-0005-0000-0000-0000B42A0000}"/>
    <cellStyle name="40% - Accent1 11 2 2 3" xfId="4016" xr:uid="{00000000-0005-0000-0000-0000B52A0000}"/>
    <cellStyle name="40% - Accent1 11 2 2 3 2" xfId="7608" xr:uid="{00000000-0005-0000-0000-0000B62A0000}"/>
    <cellStyle name="40% - Accent1 11 2 2 3 2 2" xfId="15579" xr:uid="{00000000-0005-0000-0000-0000B72A0000}"/>
    <cellStyle name="40% - Accent1 11 2 2 3 2 3" xfId="23525" xr:uid="{00000000-0005-0000-0000-0000B82A0000}"/>
    <cellStyle name="40% - Accent1 11 2 2 3 3" xfId="12041" xr:uid="{00000000-0005-0000-0000-0000B92A0000}"/>
    <cellStyle name="40% - Accent1 11 2 2 3 4" xfId="19996" xr:uid="{00000000-0005-0000-0000-0000BA2A0000}"/>
    <cellStyle name="40% - Accent1 11 2 2 4" xfId="5836" xr:uid="{00000000-0005-0000-0000-0000BB2A0000}"/>
    <cellStyle name="40% - Accent1 11 2 2 4 2" xfId="13820" xr:uid="{00000000-0005-0000-0000-0000BC2A0000}"/>
    <cellStyle name="40% - Accent1 11 2 2 4 3" xfId="21768" xr:uid="{00000000-0005-0000-0000-0000BD2A0000}"/>
    <cellStyle name="40% - Accent1 11 2 2 5" xfId="9389" xr:uid="{00000000-0005-0000-0000-0000BE2A0000}"/>
    <cellStyle name="40% - Accent1 11 2 2 5 2" xfId="17347" xr:uid="{00000000-0005-0000-0000-0000BF2A0000}"/>
    <cellStyle name="40% - Accent1 11 2 2 5 3" xfId="25291" xr:uid="{00000000-0005-0000-0000-0000C02A0000}"/>
    <cellStyle name="40% - Accent1 11 2 2 6" xfId="10285" xr:uid="{00000000-0005-0000-0000-0000C12A0000}"/>
    <cellStyle name="40% - Accent1 11 2 2 7" xfId="18240" xr:uid="{00000000-0005-0000-0000-0000C22A0000}"/>
    <cellStyle name="40% - Accent1 11 2 2_Exh G" xfId="2695" xr:uid="{00000000-0005-0000-0000-0000C32A0000}"/>
    <cellStyle name="40% - Accent1 11 2 3" xfId="1364" xr:uid="{00000000-0005-0000-0000-0000C42A0000}"/>
    <cellStyle name="40% - Accent1 11 2 3 2" xfId="4894" xr:uid="{00000000-0005-0000-0000-0000C52A0000}"/>
    <cellStyle name="40% - Accent1 11 2 3 2 2" xfId="8485" xr:uid="{00000000-0005-0000-0000-0000C62A0000}"/>
    <cellStyle name="40% - Accent1 11 2 3 2 2 2" xfId="16456" xr:uid="{00000000-0005-0000-0000-0000C72A0000}"/>
    <cellStyle name="40% - Accent1 11 2 3 2 2 3" xfId="24402" xr:uid="{00000000-0005-0000-0000-0000C82A0000}"/>
    <cellStyle name="40% - Accent1 11 2 3 2 3" xfId="12918" xr:uid="{00000000-0005-0000-0000-0000C92A0000}"/>
    <cellStyle name="40% - Accent1 11 2 3 2 4" xfId="20873" xr:uid="{00000000-0005-0000-0000-0000CA2A0000}"/>
    <cellStyle name="40% - Accent1 11 2 3 3" xfId="6726" xr:uid="{00000000-0005-0000-0000-0000CB2A0000}"/>
    <cellStyle name="40% - Accent1 11 2 3 3 2" xfId="14698" xr:uid="{00000000-0005-0000-0000-0000CC2A0000}"/>
    <cellStyle name="40% - Accent1 11 2 3 3 3" xfId="22645" xr:uid="{00000000-0005-0000-0000-0000CD2A0000}"/>
    <cellStyle name="40% - Accent1 11 2 3 4" xfId="11162" xr:uid="{00000000-0005-0000-0000-0000CE2A0000}"/>
    <cellStyle name="40% - Accent1 11 2 3 5" xfId="19117" xr:uid="{00000000-0005-0000-0000-0000CF2A0000}"/>
    <cellStyle name="40% - Accent1 11 2 3_Exh G" xfId="2697" xr:uid="{00000000-0005-0000-0000-0000D02A0000}"/>
    <cellStyle name="40% - Accent1 11 2 4" xfId="4015" xr:uid="{00000000-0005-0000-0000-0000D12A0000}"/>
    <cellStyle name="40% - Accent1 11 2 4 2" xfId="7607" xr:uid="{00000000-0005-0000-0000-0000D22A0000}"/>
    <cellStyle name="40% - Accent1 11 2 4 2 2" xfId="15578" xr:uid="{00000000-0005-0000-0000-0000D32A0000}"/>
    <cellStyle name="40% - Accent1 11 2 4 2 3" xfId="23524" xr:uid="{00000000-0005-0000-0000-0000D42A0000}"/>
    <cellStyle name="40% - Accent1 11 2 4 3" xfId="12040" xr:uid="{00000000-0005-0000-0000-0000D52A0000}"/>
    <cellStyle name="40% - Accent1 11 2 4 4" xfId="19995" xr:uid="{00000000-0005-0000-0000-0000D62A0000}"/>
    <cellStyle name="40% - Accent1 11 2 5" xfId="5835" xr:uid="{00000000-0005-0000-0000-0000D72A0000}"/>
    <cellStyle name="40% - Accent1 11 2 5 2" xfId="13819" xr:uid="{00000000-0005-0000-0000-0000D82A0000}"/>
    <cellStyle name="40% - Accent1 11 2 5 3" xfId="21767" xr:uid="{00000000-0005-0000-0000-0000D92A0000}"/>
    <cellStyle name="40% - Accent1 11 2 6" xfId="9388" xr:uid="{00000000-0005-0000-0000-0000DA2A0000}"/>
    <cellStyle name="40% - Accent1 11 2 6 2" xfId="17346" xr:uid="{00000000-0005-0000-0000-0000DB2A0000}"/>
    <cellStyle name="40% - Accent1 11 2 6 3" xfId="25290" xr:uid="{00000000-0005-0000-0000-0000DC2A0000}"/>
    <cellStyle name="40% - Accent1 11 2 7" xfId="10284" xr:uid="{00000000-0005-0000-0000-0000DD2A0000}"/>
    <cellStyle name="40% - Accent1 11 2 8" xfId="18239" xr:uid="{00000000-0005-0000-0000-0000DE2A0000}"/>
    <cellStyle name="40% - Accent1 11 2_Exh G" xfId="2694" xr:uid="{00000000-0005-0000-0000-0000DF2A0000}"/>
    <cellStyle name="40% - Accent1 11 3" xfId="338" xr:uid="{00000000-0005-0000-0000-0000E02A0000}"/>
    <cellStyle name="40% - Accent1 11 3 2" xfId="1366" xr:uid="{00000000-0005-0000-0000-0000E12A0000}"/>
    <cellStyle name="40% - Accent1 11 3 2 2" xfId="4896" xr:uid="{00000000-0005-0000-0000-0000E22A0000}"/>
    <cellStyle name="40% - Accent1 11 3 2 2 2" xfId="8487" xr:uid="{00000000-0005-0000-0000-0000E32A0000}"/>
    <cellStyle name="40% - Accent1 11 3 2 2 2 2" xfId="16458" xr:uid="{00000000-0005-0000-0000-0000E42A0000}"/>
    <cellStyle name="40% - Accent1 11 3 2 2 2 3" xfId="24404" xr:uid="{00000000-0005-0000-0000-0000E52A0000}"/>
    <cellStyle name="40% - Accent1 11 3 2 2 3" xfId="12920" xr:uid="{00000000-0005-0000-0000-0000E62A0000}"/>
    <cellStyle name="40% - Accent1 11 3 2 2 4" xfId="20875" xr:uid="{00000000-0005-0000-0000-0000E72A0000}"/>
    <cellStyle name="40% - Accent1 11 3 2 3" xfId="6728" xr:uid="{00000000-0005-0000-0000-0000E82A0000}"/>
    <cellStyle name="40% - Accent1 11 3 2 3 2" xfId="14700" xr:uid="{00000000-0005-0000-0000-0000E92A0000}"/>
    <cellStyle name="40% - Accent1 11 3 2 3 3" xfId="22647" xr:uid="{00000000-0005-0000-0000-0000EA2A0000}"/>
    <cellStyle name="40% - Accent1 11 3 2 4" xfId="11164" xr:uid="{00000000-0005-0000-0000-0000EB2A0000}"/>
    <cellStyle name="40% - Accent1 11 3 2 5" xfId="19119" xr:uid="{00000000-0005-0000-0000-0000EC2A0000}"/>
    <cellStyle name="40% - Accent1 11 3 2_Exh G" xfId="2699" xr:uid="{00000000-0005-0000-0000-0000ED2A0000}"/>
    <cellStyle name="40% - Accent1 11 3 3" xfId="4017" xr:uid="{00000000-0005-0000-0000-0000EE2A0000}"/>
    <cellStyle name="40% - Accent1 11 3 3 2" xfId="7609" xr:uid="{00000000-0005-0000-0000-0000EF2A0000}"/>
    <cellStyle name="40% - Accent1 11 3 3 2 2" xfId="15580" xr:uid="{00000000-0005-0000-0000-0000F02A0000}"/>
    <cellStyle name="40% - Accent1 11 3 3 2 3" xfId="23526" xr:uid="{00000000-0005-0000-0000-0000F12A0000}"/>
    <cellStyle name="40% - Accent1 11 3 3 3" xfId="12042" xr:uid="{00000000-0005-0000-0000-0000F22A0000}"/>
    <cellStyle name="40% - Accent1 11 3 3 4" xfId="19997" xr:uid="{00000000-0005-0000-0000-0000F32A0000}"/>
    <cellStyle name="40% - Accent1 11 3 4" xfId="5837" xr:uid="{00000000-0005-0000-0000-0000F42A0000}"/>
    <cellStyle name="40% - Accent1 11 3 4 2" xfId="13821" xr:uid="{00000000-0005-0000-0000-0000F52A0000}"/>
    <cellStyle name="40% - Accent1 11 3 4 3" xfId="21769" xr:uid="{00000000-0005-0000-0000-0000F62A0000}"/>
    <cellStyle name="40% - Accent1 11 3 5" xfId="9390" xr:uid="{00000000-0005-0000-0000-0000F72A0000}"/>
    <cellStyle name="40% - Accent1 11 3 5 2" xfId="17348" xr:uid="{00000000-0005-0000-0000-0000F82A0000}"/>
    <cellStyle name="40% - Accent1 11 3 5 3" xfId="25292" xr:uid="{00000000-0005-0000-0000-0000F92A0000}"/>
    <cellStyle name="40% - Accent1 11 3 6" xfId="10286" xr:uid="{00000000-0005-0000-0000-0000FA2A0000}"/>
    <cellStyle name="40% - Accent1 11 3 7" xfId="18241" xr:uid="{00000000-0005-0000-0000-0000FB2A0000}"/>
    <cellStyle name="40% - Accent1 11 3_Exh G" xfId="2698" xr:uid="{00000000-0005-0000-0000-0000FC2A0000}"/>
    <cellStyle name="40% - Accent1 11 4" xfId="1363" xr:uid="{00000000-0005-0000-0000-0000FD2A0000}"/>
    <cellStyle name="40% - Accent1 11 4 2" xfId="4893" xr:uid="{00000000-0005-0000-0000-0000FE2A0000}"/>
    <cellStyle name="40% - Accent1 11 4 2 2" xfId="8484" xr:uid="{00000000-0005-0000-0000-0000FF2A0000}"/>
    <cellStyle name="40% - Accent1 11 4 2 2 2" xfId="16455" xr:uid="{00000000-0005-0000-0000-0000002B0000}"/>
    <cellStyle name="40% - Accent1 11 4 2 2 3" xfId="24401" xr:uid="{00000000-0005-0000-0000-0000012B0000}"/>
    <cellStyle name="40% - Accent1 11 4 2 3" xfId="12917" xr:uid="{00000000-0005-0000-0000-0000022B0000}"/>
    <cellStyle name="40% - Accent1 11 4 2 4" xfId="20872" xr:uid="{00000000-0005-0000-0000-0000032B0000}"/>
    <cellStyle name="40% - Accent1 11 4 3" xfId="6725" xr:uid="{00000000-0005-0000-0000-0000042B0000}"/>
    <cellStyle name="40% - Accent1 11 4 3 2" xfId="14697" xr:uid="{00000000-0005-0000-0000-0000052B0000}"/>
    <cellStyle name="40% - Accent1 11 4 3 3" xfId="22644" xr:uid="{00000000-0005-0000-0000-0000062B0000}"/>
    <cellStyle name="40% - Accent1 11 4 4" xfId="11161" xr:uid="{00000000-0005-0000-0000-0000072B0000}"/>
    <cellStyle name="40% - Accent1 11 4 5" xfId="19116" xr:uid="{00000000-0005-0000-0000-0000082B0000}"/>
    <cellStyle name="40% - Accent1 11 4_Exh G" xfId="2700" xr:uid="{00000000-0005-0000-0000-0000092B0000}"/>
    <cellStyle name="40% - Accent1 11 5" xfId="4014" xr:uid="{00000000-0005-0000-0000-00000A2B0000}"/>
    <cellStyle name="40% - Accent1 11 5 2" xfId="7606" xr:uid="{00000000-0005-0000-0000-00000B2B0000}"/>
    <cellStyle name="40% - Accent1 11 5 2 2" xfId="15577" xr:uid="{00000000-0005-0000-0000-00000C2B0000}"/>
    <cellStyle name="40% - Accent1 11 5 2 3" xfId="23523" xr:uid="{00000000-0005-0000-0000-00000D2B0000}"/>
    <cellStyle name="40% - Accent1 11 5 3" xfId="12039" xr:uid="{00000000-0005-0000-0000-00000E2B0000}"/>
    <cellStyle name="40% - Accent1 11 5 4" xfId="19994" xr:uid="{00000000-0005-0000-0000-00000F2B0000}"/>
    <cellStyle name="40% - Accent1 11 6" xfId="5834" xr:uid="{00000000-0005-0000-0000-0000102B0000}"/>
    <cellStyle name="40% - Accent1 11 6 2" xfId="13818" xr:uid="{00000000-0005-0000-0000-0000112B0000}"/>
    <cellStyle name="40% - Accent1 11 6 3" xfId="21766" xr:uid="{00000000-0005-0000-0000-0000122B0000}"/>
    <cellStyle name="40% - Accent1 11 7" xfId="9387" xr:uid="{00000000-0005-0000-0000-0000132B0000}"/>
    <cellStyle name="40% - Accent1 11 7 2" xfId="17345" xr:uid="{00000000-0005-0000-0000-0000142B0000}"/>
    <cellStyle name="40% - Accent1 11 7 3" xfId="25289" xr:uid="{00000000-0005-0000-0000-0000152B0000}"/>
    <cellStyle name="40% - Accent1 11 8" xfId="10283" xr:uid="{00000000-0005-0000-0000-0000162B0000}"/>
    <cellStyle name="40% - Accent1 11 9" xfId="18238" xr:uid="{00000000-0005-0000-0000-0000172B0000}"/>
    <cellStyle name="40% - Accent1 11_Exh G" xfId="2693" xr:uid="{00000000-0005-0000-0000-0000182B0000}"/>
    <cellStyle name="40% - Accent1 12" xfId="339" xr:uid="{00000000-0005-0000-0000-0000192B0000}"/>
    <cellStyle name="40% - Accent1 12 2" xfId="340" xr:uid="{00000000-0005-0000-0000-00001A2B0000}"/>
    <cellStyle name="40% - Accent1 12 2 2" xfId="341" xr:uid="{00000000-0005-0000-0000-00001B2B0000}"/>
    <cellStyle name="40% - Accent1 12 2 2 2" xfId="1369" xr:uid="{00000000-0005-0000-0000-00001C2B0000}"/>
    <cellStyle name="40% - Accent1 12 2 2 2 2" xfId="4899" xr:uid="{00000000-0005-0000-0000-00001D2B0000}"/>
    <cellStyle name="40% - Accent1 12 2 2 2 2 2" xfId="8490" xr:uid="{00000000-0005-0000-0000-00001E2B0000}"/>
    <cellStyle name="40% - Accent1 12 2 2 2 2 2 2" xfId="16461" xr:uid="{00000000-0005-0000-0000-00001F2B0000}"/>
    <cellStyle name="40% - Accent1 12 2 2 2 2 2 3" xfId="24407" xr:uid="{00000000-0005-0000-0000-0000202B0000}"/>
    <cellStyle name="40% - Accent1 12 2 2 2 2 3" xfId="12923" xr:uid="{00000000-0005-0000-0000-0000212B0000}"/>
    <cellStyle name="40% - Accent1 12 2 2 2 2 4" xfId="20878" xr:uid="{00000000-0005-0000-0000-0000222B0000}"/>
    <cellStyle name="40% - Accent1 12 2 2 2 3" xfId="6731" xr:uid="{00000000-0005-0000-0000-0000232B0000}"/>
    <cellStyle name="40% - Accent1 12 2 2 2 3 2" xfId="14703" xr:uid="{00000000-0005-0000-0000-0000242B0000}"/>
    <cellStyle name="40% - Accent1 12 2 2 2 3 3" xfId="22650" xr:uid="{00000000-0005-0000-0000-0000252B0000}"/>
    <cellStyle name="40% - Accent1 12 2 2 2 4" xfId="11167" xr:uid="{00000000-0005-0000-0000-0000262B0000}"/>
    <cellStyle name="40% - Accent1 12 2 2 2 5" xfId="19122" xr:uid="{00000000-0005-0000-0000-0000272B0000}"/>
    <cellStyle name="40% - Accent1 12 2 2 2_Exh G" xfId="2704" xr:uid="{00000000-0005-0000-0000-0000282B0000}"/>
    <cellStyle name="40% - Accent1 12 2 2 3" xfId="4020" xr:uid="{00000000-0005-0000-0000-0000292B0000}"/>
    <cellStyle name="40% - Accent1 12 2 2 3 2" xfId="7612" xr:uid="{00000000-0005-0000-0000-00002A2B0000}"/>
    <cellStyle name="40% - Accent1 12 2 2 3 2 2" xfId="15583" xr:uid="{00000000-0005-0000-0000-00002B2B0000}"/>
    <cellStyle name="40% - Accent1 12 2 2 3 2 3" xfId="23529" xr:uid="{00000000-0005-0000-0000-00002C2B0000}"/>
    <cellStyle name="40% - Accent1 12 2 2 3 3" xfId="12045" xr:uid="{00000000-0005-0000-0000-00002D2B0000}"/>
    <cellStyle name="40% - Accent1 12 2 2 3 4" xfId="20000" xr:uid="{00000000-0005-0000-0000-00002E2B0000}"/>
    <cellStyle name="40% - Accent1 12 2 2 4" xfId="5840" xr:uid="{00000000-0005-0000-0000-00002F2B0000}"/>
    <cellStyle name="40% - Accent1 12 2 2 4 2" xfId="13824" xr:uid="{00000000-0005-0000-0000-0000302B0000}"/>
    <cellStyle name="40% - Accent1 12 2 2 4 3" xfId="21772" xr:uid="{00000000-0005-0000-0000-0000312B0000}"/>
    <cellStyle name="40% - Accent1 12 2 2 5" xfId="9393" xr:uid="{00000000-0005-0000-0000-0000322B0000}"/>
    <cellStyle name="40% - Accent1 12 2 2 5 2" xfId="17351" xr:uid="{00000000-0005-0000-0000-0000332B0000}"/>
    <cellStyle name="40% - Accent1 12 2 2 5 3" xfId="25295" xr:uid="{00000000-0005-0000-0000-0000342B0000}"/>
    <cellStyle name="40% - Accent1 12 2 2 6" xfId="10289" xr:uid="{00000000-0005-0000-0000-0000352B0000}"/>
    <cellStyle name="40% - Accent1 12 2 2 7" xfId="18244" xr:uid="{00000000-0005-0000-0000-0000362B0000}"/>
    <cellStyle name="40% - Accent1 12 2 2_Exh G" xfId="2703" xr:uid="{00000000-0005-0000-0000-0000372B0000}"/>
    <cellStyle name="40% - Accent1 12 2 3" xfId="1368" xr:uid="{00000000-0005-0000-0000-0000382B0000}"/>
    <cellStyle name="40% - Accent1 12 2 3 2" xfId="4898" xr:uid="{00000000-0005-0000-0000-0000392B0000}"/>
    <cellStyle name="40% - Accent1 12 2 3 2 2" xfId="8489" xr:uid="{00000000-0005-0000-0000-00003A2B0000}"/>
    <cellStyle name="40% - Accent1 12 2 3 2 2 2" xfId="16460" xr:uid="{00000000-0005-0000-0000-00003B2B0000}"/>
    <cellStyle name="40% - Accent1 12 2 3 2 2 3" xfId="24406" xr:uid="{00000000-0005-0000-0000-00003C2B0000}"/>
    <cellStyle name="40% - Accent1 12 2 3 2 3" xfId="12922" xr:uid="{00000000-0005-0000-0000-00003D2B0000}"/>
    <cellStyle name="40% - Accent1 12 2 3 2 4" xfId="20877" xr:uid="{00000000-0005-0000-0000-00003E2B0000}"/>
    <cellStyle name="40% - Accent1 12 2 3 3" xfId="6730" xr:uid="{00000000-0005-0000-0000-00003F2B0000}"/>
    <cellStyle name="40% - Accent1 12 2 3 3 2" xfId="14702" xr:uid="{00000000-0005-0000-0000-0000402B0000}"/>
    <cellStyle name="40% - Accent1 12 2 3 3 3" xfId="22649" xr:uid="{00000000-0005-0000-0000-0000412B0000}"/>
    <cellStyle name="40% - Accent1 12 2 3 4" xfId="11166" xr:uid="{00000000-0005-0000-0000-0000422B0000}"/>
    <cellStyle name="40% - Accent1 12 2 3 5" xfId="19121" xr:uid="{00000000-0005-0000-0000-0000432B0000}"/>
    <cellStyle name="40% - Accent1 12 2 3_Exh G" xfId="2705" xr:uid="{00000000-0005-0000-0000-0000442B0000}"/>
    <cellStyle name="40% - Accent1 12 2 4" xfId="4019" xr:uid="{00000000-0005-0000-0000-0000452B0000}"/>
    <cellStyle name="40% - Accent1 12 2 4 2" xfId="7611" xr:uid="{00000000-0005-0000-0000-0000462B0000}"/>
    <cellStyle name="40% - Accent1 12 2 4 2 2" xfId="15582" xr:uid="{00000000-0005-0000-0000-0000472B0000}"/>
    <cellStyle name="40% - Accent1 12 2 4 2 3" xfId="23528" xr:uid="{00000000-0005-0000-0000-0000482B0000}"/>
    <cellStyle name="40% - Accent1 12 2 4 3" xfId="12044" xr:uid="{00000000-0005-0000-0000-0000492B0000}"/>
    <cellStyle name="40% - Accent1 12 2 4 4" xfId="19999" xr:uid="{00000000-0005-0000-0000-00004A2B0000}"/>
    <cellStyle name="40% - Accent1 12 2 5" xfId="5839" xr:uid="{00000000-0005-0000-0000-00004B2B0000}"/>
    <cellStyle name="40% - Accent1 12 2 5 2" xfId="13823" xr:uid="{00000000-0005-0000-0000-00004C2B0000}"/>
    <cellStyle name="40% - Accent1 12 2 5 3" xfId="21771" xr:uid="{00000000-0005-0000-0000-00004D2B0000}"/>
    <cellStyle name="40% - Accent1 12 2 6" xfId="9392" xr:uid="{00000000-0005-0000-0000-00004E2B0000}"/>
    <cellStyle name="40% - Accent1 12 2 6 2" xfId="17350" xr:uid="{00000000-0005-0000-0000-00004F2B0000}"/>
    <cellStyle name="40% - Accent1 12 2 6 3" xfId="25294" xr:uid="{00000000-0005-0000-0000-0000502B0000}"/>
    <cellStyle name="40% - Accent1 12 2 7" xfId="10288" xr:uid="{00000000-0005-0000-0000-0000512B0000}"/>
    <cellStyle name="40% - Accent1 12 2 8" xfId="18243" xr:uid="{00000000-0005-0000-0000-0000522B0000}"/>
    <cellStyle name="40% - Accent1 12 2_Exh G" xfId="2702" xr:uid="{00000000-0005-0000-0000-0000532B0000}"/>
    <cellStyle name="40% - Accent1 12 3" xfId="342" xr:uid="{00000000-0005-0000-0000-0000542B0000}"/>
    <cellStyle name="40% - Accent1 12 3 2" xfId="1370" xr:uid="{00000000-0005-0000-0000-0000552B0000}"/>
    <cellStyle name="40% - Accent1 12 3 2 2" xfId="4900" xr:uid="{00000000-0005-0000-0000-0000562B0000}"/>
    <cellStyle name="40% - Accent1 12 3 2 2 2" xfId="8491" xr:uid="{00000000-0005-0000-0000-0000572B0000}"/>
    <cellStyle name="40% - Accent1 12 3 2 2 2 2" xfId="16462" xr:uid="{00000000-0005-0000-0000-0000582B0000}"/>
    <cellStyle name="40% - Accent1 12 3 2 2 2 3" xfId="24408" xr:uid="{00000000-0005-0000-0000-0000592B0000}"/>
    <cellStyle name="40% - Accent1 12 3 2 2 3" xfId="12924" xr:uid="{00000000-0005-0000-0000-00005A2B0000}"/>
    <cellStyle name="40% - Accent1 12 3 2 2 4" xfId="20879" xr:uid="{00000000-0005-0000-0000-00005B2B0000}"/>
    <cellStyle name="40% - Accent1 12 3 2 3" xfId="6732" xr:uid="{00000000-0005-0000-0000-00005C2B0000}"/>
    <cellStyle name="40% - Accent1 12 3 2 3 2" xfId="14704" xr:uid="{00000000-0005-0000-0000-00005D2B0000}"/>
    <cellStyle name="40% - Accent1 12 3 2 3 3" xfId="22651" xr:uid="{00000000-0005-0000-0000-00005E2B0000}"/>
    <cellStyle name="40% - Accent1 12 3 2 4" xfId="11168" xr:uid="{00000000-0005-0000-0000-00005F2B0000}"/>
    <cellStyle name="40% - Accent1 12 3 2 5" xfId="19123" xr:uid="{00000000-0005-0000-0000-0000602B0000}"/>
    <cellStyle name="40% - Accent1 12 3 2_Exh G" xfId="2707" xr:uid="{00000000-0005-0000-0000-0000612B0000}"/>
    <cellStyle name="40% - Accent1 12 3 3" xfId="4021" xr:uid="{00000000-0005-0000-0000-0000622B0000}"/>
    <cellStyle name="40% - Accent1 12 3 3 2" xfId="7613" xr:uid="{00000000-0005-0000-0000-0000632B0000}"/>
    <cellStyle name="40% - Accent1 12 3 3 2 2" xfId="15584" xr:uid="{00000000-0005-0000-0000-0000642B0000}"/>
    <cellStyle name="40% - Accent1 12 3 3 2 3" xfId="23530" xr:uid="{00000000-0005-0000-0000-0000652B0000}"/>
    <cellStyle name="40% - Accent1 12 3 3 3" xfId="12046" xr:uid="{00000000-0005-0000-0000-0000662B0000}"/>
    <cellStyle name="40% - Accent1 12 3 3 4" xfId="20001" xr:uid="{00000000-0005-0000-0000-0000672B0000}"/>
    <cellStyle name="40% - Accent1 12 3 4" xfId="5841" xr:uid="{00000000-0005-0000-0000-0000682B0000}"/>
    <cellStyle name="40% - Accent1 12 3 4 2" xfId="13825" xr:uid="{00000000-0005-0000-0000-0000692B0000}"/>
    <cellStyle name="40% - Accent1 12 3 4 3" xfId="21773" xr:uid="{00000000-0005-0000-0000-00006A2B0000}"/>
    <cellStyle name="40% - Accent1 12 3 5" xfId="9394" xr:uid="{00000000-0005-0000-0000-00006B2B0000}"/>
    <cellStyle name="40% - Accent1 12 3 5 2" xfId="17352" xr:uid="{00000000-0005-0000-0000-00006C2B0000}"/>
    <cellStyle name="40% - Accent1 12 3 5 3" xfId="25296" xr:uid="{00000000-0005-0000-0000-00006D2B0000}"/>
    <cellStyle name="40% - Accent1 12 3 6" xfId="10290" xr:uid="{00000000-0005-0000-0000-00006E2B0000}"/>
    <cellStyle name="40% - Accent1 12 3 7" xfId="18245" xr:uid="{00000000-0005-0000-0000-00006F2B0000}"/>
    <cellStyle name="40% - Accent1 12 3_Exh G" xfId="2706" xr:uid="{00000000-0005-0000-0000-0000702B0000}"/>
    <cellStyle name="40% - Accent1 12 4" xfId="1367" xr:uid="{00000000-0005-0000-0000-0000712B0000}"/>
    <cellStyle name="40% - Accent1 12 4 2" xfId="4897" xr:uid="{00000000-0005-0000-0000-0000722B0000}"/>
    <cellStyle name="40% - Accent1 12 4 2 2" xfId="8488" xr:uid="{00000000-0005-0000-0000-0000732B0000}"/>
    <cellStyle name="40% - Accent1 12 4 2 2 2" xfId="16459" xr:uid="{00000000-0005-0000-0000-0000742B0000}"/>
    <cellStyle name="40% - Accent1 12 4 2 2 3" xfId="24405" xr:uid="{00000000-0005-0000-0000-0000752B0000}"/>
    <cellStyle name="40% - Accent1 12 4 2 3" xfId="12921" xr:uid="{00000000-0005-0000-0000-0000762B0000}"/>
    <cellStyle name="40% - Accent1 12 4 2 4" xfId="20876" xr:uid="{00000000-0005-0000-0000-0000772B0000}"/>
    <cellStyle name="40% - Accent1 12 4 3" xfId="6729" xr:uid="{00000000-0005-0000-0000-0000782B0000}"/>
    <cellStyle name="40% - Accent1 12 4 3 2" xfId="14701" xr:uid="{00000000-0005-0000-0000-0000792B0000}"/>
    <cellStyle name="40% - Accent1 12 4 3 3" xfId="22648" xr:uid="{00000000-0005-0000-0000-00007A2B0000}"/>
    <cellStyle name="40% - Accent1 12 4 4" xfId="11165" xr:uid="{00000000-0005-0000-0000-00007B2B0000}"/>
    <cellStyle name="40% - Accent1 12 4 5" xfId="19120" xr:uid="{00000000-0005-0000-0000-00007C2B0000}"/>
    <cellStyle name="40% - Accent1 12 4_Exh G" xfId="2708" xr:uid="{00000000-0005-0000-0000-00007D2B0000}"/>
    <cellStyle name="40% - Accent1 12 5" xfId="4018" xr:uid="{00000000-0005-0000-0000-00007E2B0000}"/>
    <cellStyle name="40% - Accent1 12 5 2" xfId="7610" xr:uid="{00000000-0005-0000-0000-00007F2B0000}"/>
    <cellStyle name="40% - Accent1 12 5 2 2" xfId="15581" xr:uid="{00000000-0005-0000-0000-0000802B0000}"/>
    <cellStyle name="40% - Accent1 12 5 2 3" xfId="23527" xr:uid="{00000000-0005-0000-0000-0000812B0000}"/>
    <cellStyle name="40% - Accent1 12 5 3" xfId="12043" xr:uid="{00000000-0005-0000-0000-0000822B0000}"/>
    <cellStyle name="40% - Accent1 12 5 4" xfId="19998" xr:uid="{00000000-0005-0000-0000-0000832B0000}"/>
    <cellStyle name="40% - Accent1 12 6" xfId="5838" xr:uid="{00000000-0005-0000-0000-0000842B0000}"/>
    <cellStyle name="40% - Accent1 12 6 2" xfId="13822" xr:uid="{00000000-0005-0000-0000-0000852B0000}"/>
    <cellStyle name="40% - Accent1 12 6 3" xfId="21770" xr:uid="{00000000-0005-0000-0000-0000862B0000}"/>
    <cellStyle name="40% - Accent1 12 7" xfId="9391" xr:uid="{00000000-0005-0000-0000-0000872B0000}"/>
    <cellStyle name="40% - Accent1 12 7 2" xfId="17349" xr:uid="{00000000-0005-0000-0000-0000882B0000}"/>
    <cellStyle name="40% - Accent1 12 7 3" xfId="25293" xr:uid="{00000000-0005-0000-0000-0000892B0000}"/>
    <cellStyle name="40% - Accent1 12 8" xfId="10287" xr:uid="{00000000-0005-0000-0000-00008A2B0000}"/>
    <cellStyle name="40% - Accent1 12 9" xfId="18242" xr:uid="{00000000-0005-0000-0000-00008B2B0000}"/>
    <cellStyle name="40% - Accent1 12_Exh G" xfId="2701" xr:uid="{00000000-0005-0000-0000-00008C2B0000}"/>
    <cellStyle name="40% - Accent1 13" xfId="343" xr:uid="{00000000-0005-0000-0000-00008D2B0000}"/>
    <cellStyle name="40% - Accent1 13 2" xfId="344" xr:uid="{00000000-0005-0000-0000-00008E2B0000}"/>
    <cellStyle name="40% - Accent1 13 2 2" xfId="345" xr:uid="{00000000-0005-0000-0000-00008F2B0000}"/>
    <cellStyle name="40% - Accent1 13 2 2 2" xfId="1373" xr:uid="{00000000-0005-0000-0000-0000902B0000}"/>
    <cellStyle name="40% - Accent1 13 2 2 2 2" xfId="4903" xr:uid="{00000000-0005-0000-0000-0000912B0000}"/>
    <cellStyle name="40% - Accent1 13 2 2 2 2 2" xfId="8494" xr:uid="{00000000-0005-0000-0000-0000922B0000}"/>
    <cellStyle name="40% - Accent1 13 2 2 2 2 2 2" xfId="16465" xr:uid="{00000000-0005-0000-0000-0000932B0000}"/>
    <cellStyle name="40% - Accent1 13 2 2 2 2 2 3" xfId="24411" xr:uid="{00000000-0005-0000-0000-0000942B0000}"/>
    <cellStyle name="40% - Accent1 13 2 2 2 2 3" xfId="12927" xr:uid="{00000000-0005-0000-0000-0000952B0000}"/>
    <cellStyle name="40% - Accent1 13 2 2 2 2 4" xfId="20882" xr:uid="{00000000-0005-0000-0000-0000962B0000}"/>
    <cellStyle name="40% - Accent1 13 2 2 2 3" xfId="6735" xr:uid="{00000000-0005-0000-0000-0000972B0000}"/>
    <cellStyle name="40% - Accent1 13 2 2 2 3 2" xfId="14707" xr:uid="{00000000-0005-0000-0000-0000982B0000}"/>
    <cellStyle name="40% - Accent1 13 2 2 2 3 3" xfId="22654" xr:uid="{00000000-0005-0000-0000-0000992B0000}"/>
    <cellStyle name="40% - Accent1 13 2 2 2 4" xfId="11171" xr:uid="{00000000-0005-0000-0000-00009A2B0000}"/>
    <cellStyle name="40% - Accent1 13 2 2 2 5" xfId="19126" xr:uid="{00000000-0005-0000-0000-00009B2B0000}"/>
    <cellStyle name="40% - Accent1 13 2 2 2_Exh G" xfId="2712" xr:uid="{00000000-0005-0000-0000-00009C2B0000}"/>
    <cellStyle name="40% - Accent1 13 2 2 3" xfId="4024" xr:uid="{00000000-0005-0000-0000-00009D2B0000}"/>
    <cellStyle name="40% - Accent1 13 2 2 3 2" xfId="7616" xr:uid="{00000000-0005-0000-0000-00009E2B0000}"/>
    <cellStyle name="40% - Accent1 13 2 2 3 2 2" xfId="15587" xr:uid="{00000000-0005-0000-0000-00009F2B0000}"/>
    <cellStyle name="40% - Accent1 13 2 2 3 2 3" xfId="23533" xr:uid="{00000000-0005-0000-0000-0000A02B0000}"/>
    <cellStyle name="40% - Accent1 13 2 2 3 3" xfId="12049" xr:uid="{00000000-0005-0000-0000-0000A12B0000}"/>
    <cellStyle name="40% - Accent1 13 2 2 3 4" xfId="20004" xr:uid="{00000000-0005-0000-0000-0000A22B0000}"/>
    <cellStyle name="40% - Accent1 13 2 2 4" xfId="5844" xr:uid="{00000000-0005-0000-0000-0000A32B0000}"/>
    <cellStyle name="40% - Accent1 13 2 2 4 2" xfId="13828" xr:uid="{00000000-0005-0000-0000-0000A42B0000}"/>
    <cellStyle name="40% - Accent1 13 2 2 4 3" xfId="21776" xr:uid="{00000000-0005-0000-0000-0000A52B0000}"/>
    <cellStyle name="40% - Accent1 13 2 2 5" xfId="9397" xr:uid="{00000000-0005-0000-0000-0000A62B0000}"/>
    <cellStyle name="40% - Accent1 13 2 2 5 2" xfId="17355" xr:uid="{00000000-0005-0000-0000-0000A72B0000}"/>
    <cellStyle name="40% - Accent1 13 2 2 5 3" xfId="25299" xr:uid="{00000000-0005-0000-0000-0000A82B0000}"/>
    <cellStyle name="40% - Accent1 13 2 2 6" xfId="10293" xr:uid="{00000000-0005-0000-0000-0000A92B0000}"/>
    <cellStyle name="40% - Accent1 13 2 2 7" xfId="18248" xr:uid="{00000000-0005-0000-0000-0000AA2B0000}"/>
    <cellStyle name="40% - Accent1 13 2 2_Exh G" xfId="2711" xr:uid="{00000000-0005-0000-0000-0000AB2B0000}"/>
    <cellStyle name="40% - Accent1 13 2 3" xfId="1372" xr:uid="{00000000-0005-0000-0000-0000AC2B0000}"/>
    <cellStyle name="40% - Accent1 13 2 3 2" xfId="4902" xr:uid="{00000000-0005-0000-0000-0000AD2B0000}"/>
    <cellStyle name="40% - Accent1 13 2 3 2 2" xfId="8493" xr:uid="{00000000-0005-0000-0000-0000AE2B0000}"/>
    <cellStyle name="40% - Accent1 13 2 3 2 2 2" xfId="16464" xr:uid="{00000000-0005-0000-0000-0000AF2B0000}"/>
    <cellStyle name="40% - Accent1 13 2 3 2 2 3" xfId="24410" xr:uid="{00000000-0005-0000-0000-0000B02B0000}"/>
    <cellStyle name="40% - Accent1 13 2 3 2 3" xfId="12926" xr:uid="{00000000-0005-0000-0000-0000B12B0000}"/>
    <cellStyle name="40% - Accent1 13 2 3 2 4" xfId="20881" xr:uid="{00000000-0005-0000-0000-0000B22B0000}"/>
    <cellStyle name="40% - Accent1 13 2 3 3" xfId="6734" xr:uid="{00000000-0005-0000-0000-0000B32B0000}"/>
    <cellStyle name="40% - Accent1 13 2 3 3 2" xfId="14706" xr:uid="{00000000-0005-0000-0000-0000B42B0000}"/>
    <cellStyle name="40% - Accent1 13 2 3 3 3" xfId="22653" xr:uid="{00000000-0005-0000-0000-0000B52B0000}"/>
    <cellStyle name="40% - Accent1 13 2 3 4" xfId="11170" xr:uid="{00000000-0005-0000-0000-0000B62B0000}"/>
    <cellStyle name="40% - Accent1 13 2 3 5" xfId="19125" xr:uid="{00000000-0005-0000-0000-0000B72B0000}"/>
    <cellStyle name="40% - Accent1 13 2 3_Exh G" xfId="2713" xr:uid="{00000000-0005-0000-0000-0000B82B0000}"/>
    <cellStyle name="40% - Accent1 13 2 4" xfId="4023" xr:uid="{00000000-0005-0000-0000-0000B92B0000}"/>
    <cellStyle name="40% - Accent1 13 2 4 2" xfId="7615" xr:uid="{00000000-0005-0000-0000-0000BA2B0000}"/>
    <cellStyle name="40% - Accent1 13 2 4 2 2" xfId="15586" xr:uid="{00000000-0005-0000-0000-0000BB2B0000}"/>
    <cellStyle name="40% - Accent1 13 2 4 2 3" xfId="23532" xr:uid="{00000000-0005-0000-0000-0000BC2B0000}"/>
    <cellStyle name="40% - Accent1 13 2 4 3" xfId="12048" xr:uid="{00000000-0005-0000-0000-0000BD2B0000}"/>
    <cellStyle name="40% - Accent1 13 2 4 4" xfId="20003" xr:uid="{00000000-0005-0000-0000-0000BE2B0000}"/>
    <cellStyle name="40% - Accent1 13 2 5" xfId="5843" xr:uid="{00000000-0005-0000-0000-0000BF2B0000}"/>
    <cellStyle name="40% - Accent1 13 2 5 2" xfId="13827" xr:uid="{00000000-0005-0000-0000-0000C02B0000}"/>
    <cellStyle name="40% - Accent1 13 2 5 3" xfId="21775" xr:uid="{00000000-0005-0000-0000-0000C12B0000}"/>
    <cellStyle name="40% - Accent1 13 2 6" xfId="9396" xr:uid="{00000000-0005-0000-0000-0000C22B0000}"/>
    <cellStyle name="40% - Accent1 13 2 6 2" xfId="17354" xr:uid="{00000000-0005-0000-0000-0000C32B0000}"/>
    <cellStyle name="40% - Accent1 13 2 6 3" xfId="25298" xr:uid="{00000000-0005-0000-0000-0000C42B0000}"/>
    <cellStyle name="40% - Accent1 13 2 7" xfId="10292" xr:uid="{00000000-0005-0000-0000-0000C52B0000}"/>
    <cellStyle name="40% - Accent1 13 2 8" xfId="18247" xr:uid="{00000000-0005-0000-0000-0000C62B0000}"/>
    <cellStyle name="40% - Accent1 13 2_Exh G" xfId="2710" xr:uid="{00000000-0005-0000-0000-0000C72B0000}"/>
    <cellStyle name="40% - Accent1 13 3" xfId="346" xr:uid="{00000000-0005-0000-0000-0000C82B0000}"/>
    <cellStyle name="40% - Accent1 13 3 2" xfId="1374" xr:uid="{00000000-0005-0000-0000-0000C92B0000}"/>
    <cellStyle name="40% - Accent1 13 3 2 2" xfId="4904" xr:uid="{00000000-0005-0000-0000-0000CA2B0000}"/>
    <cellStyle name="40% - Accent1 13 3 2 2 2" xfId="8495" xr:uid="{00000000-0005-0000-0000-0000CB2B0000}"/>
    <cellStyle name="40% - Accent1 13 3 2 2 2 2" xfId="16466" xr:uid="{00000000-0005-0000-0000-0000CC2B0000}"/>
    <cellStyle name="40% - Accent1 13 3 2 2 2 3" xfId="24412" xr:uid="{00000000-0005-0000-0000-0000CD2B0000}"/>
    <cellStyle name="40% - Accent1 13 3 2 2 3" xfId="12928" xr:uid="{00000000-0005-0000-0000-0000CE2B0000}"/>
    <cellStyle name="40% - Accent1 13 3 2 2 4" xfId="20883" xr:uid="{00000000-0005-0000-0000-0000CF2B0000}"/>
    <cellStyle name="40% - Accent1 13 3 2 3" xfId="6736" xr:uid="{00000000-0005-0000-0000-0000D02B0000}"/>
    <cellStyle name="40% - Accent1 13 3 2 3 2" xfId="14708" xr:uid="{00000000-0005-0000-0000-0000D12B0000}"/>
    <cellStyle name="40% - Accent1 13 3 2 3 3" xfId="22655" xr:uid="{00000000-0005-0000-0000-0000D22B0000}"/>
    <cellStyle name="40% - Accent1 13 3 2 4" xfId="11172" xr:uid="{00000000-0005-0000-0000-0000D32B0000}"/>
    <cellStyle name="40% - Accent1 13 3 2 5" xfId="19127" xr:uid="{00000000-0005-0000-0000-0000D42B0000}"/>
    <cellStyle name="40% - Accent1 13 3 2_Exh G" xfId="2715" xr:uid="{00000000-0005-0000-0000-0000D52B0000}"/>
    <cellStyle name="40% - Accent1 13 3 3" xfId="4025" xr:uid="{00000000-0005-0000-0000-0000D62B0000}"/>
    <cellStyle name="40% - Accent1 13 3 3 2" xfId="7617" xr:uid="{00000000-0005-0000-0000-0000D72B0000}"/>
    <cellStyle name="40% - Accent1 13 3 3 2 2" xfId="15588" xr:uid="{00000000-0005-0000-0000-0000D82B0000}"/>
    <cellStyle name="40% - Accent1 13 3 3 2 3" xfId="23534" xr:uid="{00000000-0005-0000-0000-0000D92B0000}"/>
    <cellStyle name="40% - Accent1 13 3 3 3" xfId="12050" xr:uid="{00000000-0005-0000-0000-0000DA2B0000}"/>
    <cellStyle name="40% - Accent1 13 3 3 4" xfId="20005" xr:uid="{00000000-0005-0000-0000-0000DB2B0000}"/>
    <cellStyle name="40% - Accent1 13 3 4" xfId="5845" xr:uid="{00000000-0005-0000-0000-0000DC2B0000}"/>
    <cellStyle name="40% - Accent1 13 3 4 2" xfId="13829" xr:uid="{00000000-0005-0000-0000-0000DD2B0000}"/>
    <cellStyle name="40% - Accent1 13 3 4 3" xfId="21777" xr:uid="{00000000-0005-0000-0000-0000DE2B0000}"/>
    <cellStyle name="40% - Accent1 13 3 5" xfId="9398" xr:uid="{00000000-0005-0000-0000-0000DF2B0000}"/>
    <cellStyle name="40% - Accent1 13 3 5 2" xfId="17356" xr:uid="{00000000-0005-0000-0000-0000E02B0000}"/>
    <cellStyle name="40% - Accent1 13 3 5 3" xfId="25300" xr:uid="{00000000-0005-0000-0000-0000E12B0000}"/>
    <cellStyle name="40% - Accent1 13 3 6" xfId="10294" xr:uid="{00000000-0005-0000-0000-0000E22B0000}"/>
    <cellStyle name="40% - Accent1 13 3 7" xfId="18249" xr:uid="{00000000-0005-0000-0000-0000E32B0000}"/>
    <cellStyle name="40% - Accent1 13 3_Exh G" xfId="2714" xr:uid="{00000000-0005-0000-0000-0000E42B0000}"/>
    <cellStyle name="40% - Accent1 13 4" xfId="1371" xr:uid="{00000000-0005-0000-0000-0000E52B0000}"/>
    <cellStyle name="40% - Accent1 13 4 2" xfId="4901" xr:uid="{00000000-0005-0000-0000-0000E62B0000}"/>
    <cellStyle name="40% - Accent1 13 4 2 2" xfId="8492" xr:uid="{00000000-0005-0000-0000-0000E72B0000}"/>
    <cellStyle name="40% - Accent1 13 4 2 2 2" xfId="16463" xr:uid="{00000000-0005-0000-0000-0000E82B0000}"/>
    <cellStyle name="40% - Accent1 13 4 2 2 3" xfId="24409" xr:uid="{00000000-0005-0000-0000-0000E92B0000}"/>
    <cellStyle name="40% - Accent1 13 4 2 3" xfId="12925" xr:uid="{00000000-0005-0000-0000-0000EA2B0000}"/>
    <cellStyle name="40% - Accent1 13 4 2 4" xfId="20880" xr:uid="{00000000-0005-0000-0000-0000EB2B0000}"/>
    <cellStyle name="40% - Accent1 13 4 3" xfId="6733" xr:uid="{00000000-0005-0000-0000-0000EC2B0000}"/>
    <cellStyle name="40% - Accent1 13 4 3 2" xfId="14705" xr:uid="{00000000-0005-0000-0000-0000ED2B0000}"/>
    <cellStyle name="40% - Accent1 13 4 3 3" xfId="22652" xr:uid="{00000000-0005-0000-0000-0000EE2B0000}"/>
    <cellStyle name="40% - Accent1 13 4 4" xfId="11169" xr:uid="{00000000-0005-0000-0000-0000EF2B0000}"/>
    <cellStyle name="40% - Accent1 13 4 5" xfId="19124" xr:uid="{00000000-0005-0000-0000-0000F02B0000}"/>
    <cellStyle name="40% - Accent1 13 4_Exh G" xfId="2716" xr:uid="{00000000-0005-0000-0000-0000F12B0000}"/>
    <cellStyle name="40% - Accent1 13 5" xfId="4022" xr:uid="{00000000-0005-0000-0000-0000F22B0000}"/>
    <cellStyle name="40% - Accent1 13 5 2" xfId="7614" xr:uid="{00000000-0005-0000-0000-0000F32B0000}"/>
    <cellStyle name="40% - Accent1 13 5 2 2" xfId="15585" xr:uid="{00000000-0005-0000-0000-0000F42B0000}"/>
    <cellStyle name="40% - Accent1 13 5 2 3" xfId="23531" xr:uid="{00000000-0005-0000-0000-0000F52B0000}"/>
    <cellStyle name="40% - Accent1 13 5 3" xfId="12047" xr:uid="{00000000-0005-0000-0000-0000F62B0000}"/>
    <cellStyle name="40% - Accent1 13 5 4" xfId="20002" xr:uid="{00000000-0005-0000-0000-0000F72B0000}"/>
    <cellStyle name="40% - Accent1 13 6" xfId="5842" xr:uid="{00000000-0005-0000-0000-0000F82B0000}"/>
    <cellStyle name="40% - Accent1 13 6 2" xfId="13826" xr:uid="{00000000-0005-0000-0000-0000F92B0000}"/>
    <cellStyle name="40% - Accent1 13 6 3" xfId="21774" xr:uid="{00000000-0005-0000-0000-0000FA2B0000}"/>
    <cellStyle name="40% - Accent1 13 7" xfId="9395" xr:uid="{00000000-0005-0000-0000-0000FB2B0000}"/>
    <cellStyle name="40% - Accent1 13 7 2" xfId="17353" xr:uid="{00000000-0005-0000-0000-0000FC2B0000}"/>
    <cellStyle name="40% - Accent1 13 7 3" xfId="25297" xr:uid="{00000000-0005-0000-0000-0000FD2B0000}"/>
    <cellStyle name="40% - Accent1 13 8" xfId="10291" xr:uid="{00000000-0005-0000-0000-0000FE2B0000}"/>
    <cellStyle name="40% - Accent1 13 9" xfId="18246" xr:uid="{00000000-0005-0000-0000-0000FF2B0000}"/>
    <cellStyle name="40% - Accent1 13_Exh G" xfId="2709" xr:uid="{00000000-0005-0000-0000-0000002C0000}"/>
    <cellStyle name="40% - Accent1 14" xfId="347" xr:uid="{00000000-0005-0000-0000-0000012C0000}"/>
    <cellStyle name="40% - Accent1 14 2" xfId="348" xr:uid="{00000000-0005-0000-0000-0000022C0000}"/>
    <cellStyle name="40% - Accent1 14 2 2" xfId="1376" xr:uid="{00000000-0005-0000-0000-0000032C0000}"/>
    <cellStyle name="40% - Accent1 14 2 2 2" xfId="4906" xr:uid="{00000000-0005-0000-0000-0000042C0000}"/>
    <cellStyle name="40% - Accent1 14 2 2 2 2" xfId="8497" xr:uid="{00000000-0005-0000-0000-0000052C0000}"/>
    <cellStyle name="40% - Accent1 14 2 2 2 2 2" xfId="16468" xr:uid="{00000000-0005-0000-0000-0000062C0000}"/>
    <cellStyle name="40% - Accent1 14 2 2 2 2 3" xfId="24414" xr:uid="{00000000-0005-0000-0000-0000072C0000}"/>
    <cellStyle name="40% - Accent1 14 2 2 2 3" xfId="12930" xr:uid="{00000000-0005-0000-0000-0000082C0000}"/>
    <cellStyle name="40% - Accent1 14 2 2 2 4" xfId="20885" xr:uid="{00000000-0005-0000-0000-0000092C0000}"/>
    <cellStyle name="40% - Accent1 14 2 2 3" xfId="6738" xr:uid="{00000000-0005-0000-0000-00000A2C0000}"/>
    <cellStyle name="40% - Accent1 14 2 2 3 2" xfId="14710" xr:uid="{00000000-0005-0000-0000-00000B2C0000}"/>
    <cellStyle name="40% - Accent1 14 2 2 3 3" xfId="22657" xr:uid="{00000000-0005-0000-0000-00000C2C0000}"/>
    <cellStyle name="40% - Accent1 14 2 2 4" xfId="11174" xr:uid="{00000000-0005-0000-0000-00000D2C0000}"/>
    <cellStyle name="40% - Accent1 14 2 2 5" xfId="19129" xr:uid="{00000000-0005-0000-0000-00000E2C0000}"/>
    <cellStyle name="40% - Accent1 14 2 2_Exh G" xfId="2719" xr:uid="{00000000-0005-0000-0000-00000F2C0000}"/>
    <cellStyle name="40% - Accent1 14 2 3" xfId="4027" xr:uid="{00000000-0005-0000-0000-0000102C0000}"/>
    <cellStyle name="40% - Accent1 14 2 3 2" xfId="7619" xr:uid="{00000000-0005-0000-0000-0000112C0000}"/>
    <cellStyle name="40% - Accent1 14 2 3 2 2" xfId="15590" xr:uid="{00000000-0005-0000-0000-0000122C0000}"/>
    <cellStyle name="40% - Accent1 14 2 3 2 3" xfId="23536" xr:uid="{00000000-0005-0000-0000-0000132C0000}"/>
    <cellStyle name="40% - Accent1 14 2 3 3" xfId="12052" xr:uid="{00000000-0005-0000-0000-0000142C0000}"/>
    <cellStyle name="40% - Accent1 14 2 3 4" xfId="20007" xr:uid="{00000000-0005-0000-0000-0000152C0000}"/>
    <cellStyle name="40% - Accent1 14 2 4" xfId="5847" xr:uid="{00000000-0005-0000-0000-0000162C0000}"/>
    <cellStyle name="40% - Accent1 14 2 4 2" xfId="13831" xr:uid="{00000000-0005-0000-0000-0000172C0000}"/>
    <cellStyle name="40% - Accent1 14 2 4 3" xfId="21779" xr:uid="{00000000-0005-0000-0000-0000182C0000}"/>
    <cellStyle name="40% - Accent1 14 2 5" xfId="9400" xr:uid="{00000000-0005-0000-0000-0000192C0000}"/>
    <cellStyle name="40% - Accent1 14 2 5 2" xfId="17358" xr:uid="{00000000-0005-0000-0000-00001A2C0000}"/>
    <cellStyle name="40% - Accent1 14 2 5 3" xfId="25302" xr:uid="{00000000-0005-0000-0000-00001B2C0000}"/>
    <cellStyle name="40% - Accent1 14 2 6" xfId="10296" xr:uid="{00000000-0005-0000-0000-00001C2C0000}"/>
    <cellStyle name="40% - Accent1 14 2 7" xfId="18251" xr:uid="{00000000-0005-0000-0000-00001D2C0000}"/>
    <cellStyle name="40% - Accent1 14 2_Exh G" xfId="2718" xr:uid="{00000000-0005-0000-0000-00001E2C0000}"/>
    <cellStyle name="40% - Accent1 14 3" xfId="1375" xr:uid="{00000000-0005-0000-0000-00001F2C0000}"/>
    <cellStyle name="40% - Accent1 14 3 2" xfId="4905" xr:uid="{00000000-0005-0000-0000-0000202C0000}"/>
    <cellStyle name="40% - Accent1 14 3 2 2" xfId="8496" xr:uid="{00000000-0005-0000-0000-0000212C0000}"/>
    <cellStyle name="40% - Accent1 14 3 2 2 2" xfId="16467" xr:uid="{00000000-0005-0000-0000-0000222C0000}"/>
    <cellStyle name="40% - Accent1 14 3 2 2 3" xfId="24413" xr:uid="{00000000-0005-0000-0000-0000232C0000}"/>
    <cellStyle name="40% - Accent1 14 3 2 3" xfId="12929" xr:uid="{00000000-0005-0000-0000-0000242C0000}"/>
    <cellStyle name="40% - Accent1 14 3 2 4" xfId="20884" xr:uid="{00000000-0005-0000-0000-0000252C0000}"/>
    <cellStyle name="40% - Accent1 14 3 3" xfId="6737" xr:uid="{00000000-0005-0000-0000-0000262C0000}"/>
    <cellStyle name="40% - Accent1 14 3 3 2" xfId="14709" xr:uid="{00000000-0005-0000-0000-0000272C0000}"/>
    <cellStyle name="40% - Accent1 14 3 3 3" xfId="22656" xr:uid="{00000000-0005-0000-0000-0000282C0000}"/>
    <cellStyle name="40% - Accent1 14 3 4" xfId="11173" xr:uid="{00000000-0005-0000-0000-0000292C0000}"/>
    <cellStyle name="40% - Accent1 14 3 5" xfId="19128" xr:uid="{00000000-0005-0000-0000-00002A2C0000}"/>
    <cellStyle name="40% - Accent1 14 3_Exh G" xfId="2720" xr:uid="{00000000-0005-0000-0000-00002B2C0000}"/>
    <cellStyle name="40% - Accent1 14 4" xfId="4026" xr:uid="{00000000-0005-0000-0000-00002C2C0000}"/>
    <cellStyle name="40% - Accent1 14 4 2" xfId="7618" xr:uid="{00000000-0005-0000-0000-00002D2C0000}"/>
    <cellStyle name="40% - Accent1 14 4 2 2" xfId="15589" xr:uid="{00000000-0005-0000-0000-00002E2C0000}"/>
    <cellStyle name="40% - Accent1 14 4 2 3" xfId="23535" xr:uid="{00000000-0005-0000-0000-00002F2C0000}"/>
    <cellStyle name="40% - Accent1 14 4 3" xfId="12051" xr:uid="{00000000-0005-0000-0000-0000302C0000}"/>
    <cellStyle name="40% - Accent1 14 4 4" xfId="20006" xr:uid="{00000000-0005-0000-0000-0000312C0000}"/>
    <cellStyle name="40% - Accent1 14 5" xfId="5846" xr:uid="{00000000-0005-0000-0000-0000322C0000}"/>
    <cellStyle name="40% - Accent1 14 5 2" xfId="13830" xr:uid="{00000000-0005-0000-0000-0000332C0000}"/>
    <cellStyle name="40% - Accent1 14 5 3" xfId="21778" xr:uid="{00000000-0005-0000-0000-0000342C0000}"/>
    <cellStyle name="40% - Accent1 14 6" xfId="9399" xr:uid="{00000000-0005-0000-0000-0000352C0000}"/>
    <cellStyle name="40% - Accent1 14 6 2" xfId="17357" xr:uid="{00000000-0005-0000-0000-0000362C0000}"/>
    <cellStyle name="40% - Accent1 14 6 3" xfId="25301" xr:uid="{00000000-0005-0000-0000-0000372C0000}"/>
    <cellStyle name="40% - Accent1 14 7" xfId="10295" xr:uid="{00000000-0005-0000-0000-0000382C0000}"/>
    <cellStyle name="40% - Accent1 14 8" xfId="18250" xr:uid="{00000000-0005-0000-0000-0000392C0000}"/>
    <cellStyle name="40% - Accent1 14_Exh G" xfId="2717" xr:uid="{00000000-0005-0000-0000-00003A2C0000}"/>
    <cellStyle name="40% - Accent1 15" xfId="349" xr:uid="{00000000-0005-0000-0000-00003B2C0000}"/>
    <cellStyle name="40% - Accent1 15 2" xfId="1377" xr:uid="{00000000-0005-0000-0000-00003C2C0000}"/>
    <cellStyle name="40% - Accent1 15 2 2" xfId="4907" xr:uid="{00000000-0005-0000-0000-00003D2C0000}"/>
    <cellStyle name="40% - Accent1 15 2 2 2" xfId="8498" xr:uid="{00000000-0005-0000-0000-00003E2C0000}"/>
    <cellStyle name="40% - Accent1 15 2 2 2 2" xfId="16469" xr:uid="{00000000-0005-0000-0000-00003F2C0000}"/>
    <cellStyle name="40% - Accent1 15 2 2 2 3" xfId="24415" xr:uid="{00000000-0005-0000-0000-0000402C0000}"/>
    <cellStyle name="40% - Accent1 15 2 2 3" xfId="12931" xr:uid="{00000000-0005-0000-0000-0000412C0000}"/>
    <cellStyle name="40% - Accent1 15 2 2 4" xfId="20886" xr:uid="{00000000-0005-0000-0000-0000422C0000}"/>
    <cellStyle name="40% - Accent1 15 2 3" xfId="6739" xr:uid="{00000000-0005-0000-0000-0000432C0000}"/>
    <cellStyle name="40% - Accent1 15 2 3 2" xfId="14711" xr:uid="{00000000-0005-0000-0000-0000442C0000}"/>
    <cellStyle name="40% - Accent1 15 2 3 3" xfId="22658" xr:uid="{00000000-0005-0000-0000-0000452C0000}"/>
    <cellStyle name="40% - Accent1 15 2 4" xfId="11175" xr:uid="{00000000-0005-0000-0000-0000462C0000}"/>
    <cellStyle name="40% - Accent1 15 2 5" xfId="19130" xr:uid="{00000000-0005-0000-0000-0000472C0000}"/>
    <cellStyle name="40% - Accent1 15 2_Exh G" xfId="2722" xr:uid="{00000000-0005-0000-0000-0000482C0000}"/>
    <cellStyle name="40% - Accent1 15 3" xfId="4028" xr:uid="{00000000-0005-0000-0000-0000492C0000}"/>
    <cellStyle name="40% - Accent1 15 3 2" xfId="7620" xr:uid="{00000000-0005-0000-0000-00004A2C0000}"/>
    <cellStyle name="40% - Accent1 15 3 2 2" xfId="15591" xr:uid="{00000000-0005-0000-0000-00004B2C0000}"/>
    <cellStyle name="40% - Accent1 15 3 2 3" xfId="23537" xr:uid="{00000000-0005-0000-0000-00004C2C0000}"/>
    <cellStyle name="40% - Accent1 15 3 3" xfId="12053" xr:uid="{00000000-0005-0000-0000-00004D2C0000}"/>
    <cellStyle name="40% - Accent1 15 3 4" xfId="20008" xr:uid="{00000000-0005-0000-0000-00004E2C0000}"/>
    <cellStyle name="40% - Accent1 15 4" xfId="5848" xr:uid="{00000000-0005-0000-0000-00004F2C0000}"/>
    <cellStyle name="40% - Accent1 15 4 2" xfId="13832" xr:uid="{00000000-0005-0000-0000-0000502C0000}"/>
    <cellStyle name="40% - Accent1 15 4 3" xfId="21780" xr:uid="{00000000-0005-0000-0000-0000512C0000}"/>
    <cellStyle name="40% - Accent1 15 5" xfId="9401" xr:uid="{00000000-0005-0000-0000-0000522C0000}"/>
    <cellStyle name="40% - Accent1 15 5 2" xfId="17359" xr:uid="{00000000-0005-0000-0000-0000532C0000}"/>
    <cellStyle name="40% - Accent1 15 5 3" xfId="25303" xr:uid="{00000000-0005-0000-0000-0000542C0000}"/>
    <cellStyle name="40% - Accent1 15 6" xfId="10297" xr:uid="{00000000-0005-0000-0000-0000552C0000}"/>
    <cellStyle name="40% - Accent1 15 7" xfId="18252" xr:uid="{00000000-0005-0000-0000-0000562C0000}"/>
    <cellStyle name="40% - Accent1 15_Exh G" xfId="2721" xr:uid="{00000000-0005-0000-0000-0000572C0000}"/>
    <cellStyle name="40% - Accent1 16" xfId="849" xr:uid="{00000000-0005-0000-0000-0000582C0000}"/>
    <cellStyle name="40% - Accent1 16 2" xfId="1788" xr:uid="{00000000-0005-0000-0000-0000592C0000}"/>
    <cellStyle name="40% - Accent1 16 2 2" xfId="5309" xr:uid="{00000000-0005-0000-0000-00005A2C0000}"/>
    <cellStyle name="40% - Accent1 16 2 2 2" xfId="8900" xr:uid="{00000000-0005-0000-0000-00005B2C0000}"/>
    <cellStyle name="40% - Accent1 16 2 2 2 2" xfId="16871" xr:uid="{00000000-0005-0000-0000-00005C2C0000}"/>
    <cellStyle name="40% - Accent1 16 2 2 2 3" xfId="24817" xr:uid="{00000000-0005-0000-0000-00005D2C0000}"/>
    <cellStyle name="40% - Accent1 16 2 2 3" xfId="13333" xr:uid="{00000000-0005-0000-0000-00005E2C0000}"/>
    <cellStyle name="40% - Accent1 16 2 2 4" xfId="21288" xr:uid="{00000000-0005-0000-0000-00005F2C0000}"/>
    <cellStyle name="40% - Accent1 16 2 3" xfId="7141" xr:uid="{00000000-0005-0000-0000-0000602C0000}"/>
    <cellStyle name="40% - Accent1 16 2 3 2" xfId="15113" xr:uid="{00000000-0005-0000-0000-0000612C0000}"/>
    <cellStyle name="40% - Accent1 16 2 3 3" xfId="23060" xr:uid="{00000000-0005-0000-0000-0000622C0000}"/>
    <cellStyle name="40% - Accent1 16 2 4" xfId="11577" xr:uid="{00000000-0005-0000-0000-0000632C0000}"/>
    <cellStyle name="40% - Accent1 16 2 5" xfId="19532" xr:uid="{00000000-0005-0000-0000-0000642C0000}"/>
    <cellStyle name="40% - Accent1 16 2_Exh G" xfId="2724" xr:uid="{00000000-0005-0000-0000-0000652C0000}"/>
    <cellStyle name="40% - Accent1 16 3" xfId="4430" xr:uid="{00000000-0005-0000-0000-0000662C0000}"/>
    <cellStyle name="40% - Accent1 16 3 2" xfId="8022" xr:uid="{00000000-0005-0000-0000-0000672C0000}"/>
    <cellStyle name="40% - Accent1 16 3 2 2" xfId="15993" xr:uid="{00000000-0005-0000-0000-0000682C0000}"/>
    <cellStyle name="40% - Accent1 16 3 2 3" xfId="23939" xr:uid="{00000000-0005-0000-0000-0000692C0000}"/>
    <cellStyle name="40% - Accent1 16 3 3" xfId="12455" xr:uid="{00000000-0005-0000-0000-00006A2C0000}"/>
    <cellStyle name="40% - Accent1 16 3 4" xfId="20410" xr:uid="{00000000-0005-0000-0000-00006B2C0000}"/>
    <cellStyle name="40% - Accent1 16 4" xfId="6260" xr:uid="{00000000-0005-0000-0000-00006C2C0000}"/>
    <cellStyle name="40% - Accent1 16 4 2" xfId="14235" xr:uid="{00000000-0005-0000-0000-00006D2C0000}"/>
    <cellStyle name="40% - Accent1 16 4 3" xfId="22182" xr:uid="{00000000-0005-0000-0000-00006E2C0000}"/>
    <cellStyle name="40% - Accent1 16 5" xfId="9803" xr:uid="{00000000-0005-0000-0000-00006F2C0000}"/>
    <cellStyle name="40% - Accent1 16 5 2" xfId="17761" xr:uid="{00000000-0005-0000-0000-0000702C0000}"/>
    <cellStyle name="40% - Accent1 16 5 3" xfId="25705" xr:uid="{00000000-0005-0000-0000-0000712C0000}"/>
    <cellStyle name="40% - Accent1 16 6" xfId="10699" xr:uid="{00000000-0005-0000-0000-0000722C0000}"/>
    <cellStyle name="40% - Accent1 16 7" xfId="18654" xr:uid="{00000000-0005-0000-0000-0000732C0000}"/>
    <cellStyle name="40% - Accent1 16_Exh G" xfId="2723" xr:uid="{00000000-0005-0000-0000-0000742C0000}"/>
    <cellStyle name="40% - Accent1 2" xfId="350" xr:uid="{00000000-0005-0000-0000-0000752C0000}"/>
    <cellStyle name="40% - Accent1 2 10" xfId="18253" xr:uid="{00000000-0005-0000-0000-0000762C0000}"/>
    <cellStyle name="40% - Accent1 2 2" xfId="351" xr:uid="{00000000-0005-0000-0000-0000772C0000}"/>
    <cellStyle name="40% - Accent1 2 2 2" xfId="352" xr:uid="{00000000-0005-0000-0000-0000782C0000}"/>
    <cellStyle name="40% - Accent1 2 2 2 2" xfId="1380" xr:uid="{00000000-0005-0000-0000-0000792C0000}"/>
    <cellStyle name="40% - Accent1 2 2 2 2 2" xfId="4910" xr:uid="{00000000-0005-0000-0000-00007A2C0000}"/>
    <cellStyle name="40% - Accent1 2 2 2 2 2 2" xfId="8501" xr:uid="{00000000-0005-0000-0000-00007B2C0000}"/>
    <cellStyle name="40% - Accent1 2 2 2 2 2 2 2" xfId="16472" xr:uid="{00000000-0005-0000-0000-00007C2C0000}"/>
    <cellStyle name="40% - Accent1 2 2 2 2 2 2 3" xfId="24418" xr:uid="{00000000-0005-0000-0000-00007D2C0000}"/>
    <cellStyle name="40% - Accent1 2 2 2 2 2 3" xfId="12934" xr:uid="{00000000-0005-0000-0000-00007E2C0000}"/>
    <cellStyle name="40% - Accent1 2 2 2 2 2 4" xfId="20889" xr:uid="{00000000-0005-0000-0000-00007F2C0000}"/>
    <cellStyle name="40% - Accent1 2 2 2 2 3" xfId="6742" xr:uid="{00000000-0005-0000-0000-0000802C0000}"/>
    <cellStyle name="40% - Accent1 2 2 2 2 3 2" xfId="14714" xr:uid="{00000000-0005-0000-0000-0000812C0000}"/>
    <cellStyle name="40% - Accent1 2 2 2 2 3 3" xfId="22661" xr:uid="{00000000-0005-0000-0000-0000822C0000}"/>
    <cellStyle name="40% - Accent1 2 2 2 2 4" xfId="11178" xr:uid="{00000000-0005-0000-0000-0000832C0000}"/>
    <cellStyle name="40% - Accent1 2 2 2 2 5" xfId="19133" xr:uid="{00000000-0005-0000-0000-0000842C0000}"/>
    <cellStyle name="40% - Accent1 2 2 2 2_Exh G" xfId="2728" xr:uid="{00000000-0005-0000-0000-0000852C0000}"/>
    <cellStyle name="40% - Accent1 2 2 2 3" xfId="4031" xr:uid="{00000000-0005-0000-0000-0000862C0000}"/>
    <cellStyle name="40% - Accent1 2 2 2 3 2" xfId="7623" xr:uid="{00000000-0005-0000-0000-0000872C0000}"/>
    <cellStyle name="40% - Accent1 2 2 2 3 2 2" xfId="15594" xr:uid="{00000000-0005-0000-0000-0000882C0000}"/>
    <cellStyle name="40% - Accent1 2 2 2 3 2 3" xfId="23540" xr:uid="{00000000-0005-0000-0000-0000892C0000}"/>
    <cellStyle name="40% - Accent1 2 2 2 3 3" xfId="12056" xr:uid="{00000000-0005-0000-0000-00008A2C0000}"/>
    <cellStyle name="40% - Accent1 2 2 2 3 4" xfId="20011" xr:uid="{00000000-0005-0000-0000-00008B2C0000}"/>
    <cellStyle name="40% - Accent1 2 2 2 4" xfId="5851" xr:uid="{00000000-0005-0000-0000-00008C2C0000}"/>
    <cellStyle name="40% - Accent1 2 2 2 4 2" xfId="13835" xr:uid="{00000000-0005-0000-0000-00008D2C0000}"/>
    <cellStyle name="40% - Accent1 2 2 2 4 3" xfId="21783" xr:uid="{00000000-0005-0000-0000-00008E2C0000}"/>
    <cellStyle name="40% - Accent1 2 2 2 5" xfId="9404" xr:uid="{00000000-0005-0000-0000-00008F2C0000}"/>
    <cellStyle name="40% - Accent1 2 2 2 5 2" xfId="17362" xr:uid="{00000000-0005-0000-0000-0000902C0000}"/>
    <cellStyle name="40% - Accent1 2 2 2 5 3" xfId="25306" xr:uid="{00000000-0005-0000-0000-0000912C0000}"/>
    <cellStyle name="40% - Accent1 2 2 2 6" xfId="10300" xr:uid="{00000000-0005-0000-0000-0000922C0000}"/>
    <cellStyle name="40% - Accent1 2 2 2 7" xfId="18255" xr:uid="{00000000-0005-0000-0000-0000932C0000}"/>
    <cellStyle name="40% - Accent1 2 2 2_Exh G" xfId="2727" xr:uid="{00000000-0005-0000-0000-0000942C0000}"/>
    <cellStyle name="40% - Accent1 2 2 3" xfId="936" xr:uid="{00000000-0005-0000-0000-0000952C0000}"/>
    <cellStyle name="40% - Accent1 2 2 3 2" xfId="1860" xr:uid="{00000000-0005-0000-0000-0000962C0000}"/>
    <cellStyle name="40% - Accent1 2 2 3 2 2" xfId="5378" xr:uid="{00000000-0005-0000-0000-0000972C0000}"/>
    <cellStyle name="40% - Accent1 2 2 3 2 2 2" xfId="8969" xr:uid="{00000000-0005-0000-0000-0000982C0000}"/>
    <cellStyle name="40% - Accent1 2 2 3 2 2 2 2" xfId="16940" xr:uid="{00000000-0005-0000-0000-0000992C0000}"/>
    <cellStyle name="40% - Accent1 2 2 3 2 2 2 3" xfId="24886" xr:uid="{00000000-0005-0000-0000-00009A2C0000}"/>
    <cellStyle name="40% - Accent1 2 2 3 2 2 3" xfId="13402" xr:uid="{00000000-0005-0000-0000-00009B2C0000}"/>
    <cellStyle name="40% - Accent1 2 2 3 2 2 4" xfId="21357" xr:uid="{00000000-0005-0000-0000-00009C2C0000}"/>
    <cellStyle name="40% - Accent1 2 2 3 2 3" xfId="7210" xr:uid="{00000000-0005-0000-0000-00009D2C0000}"/>
    <cellStyle name="40% - Accent1 2 2 3 2 3 2" xfId="15182" xr:uid="{00000000-0005-0000-0000-00009E2C0000}"/>
    <cellStyle name="40% - Accent1 2 2 3 2 3 3" xfId="23129" xr:uid="{00000000-0005-0000-0000-00009F2C0000}"/>
    <cellStyle name="40% - Accent1 2 2 3 2 4" xfId="11646" xr:uid="{00000000-0005-0000-0000-0000A02C0000}"/>
    <cellStyle name="40% - Accent1 2 2 3 2 5" xfId="19601" xr:uid="{00000000-0005-0000-0000-0000A12C0000}"/>
    <cellStyle name="40% - Accent1 2 2 3 2_Exh G" xfId="2730" xr:uid="{00000000-0005-0000-0000-0000A22C0000}"/>
    <cellStyle name="40% - Accent1 2 2 3 3" xfId="4499" xr:uid="{00000000-0005-0000-0000-0000A32C0000}"/>
    <cellStyle name="40% - Accent1 2 2 3 3 2" xfId="8091" xr:uid="{00000000-0005-0000-0000-0000A42C0000}"/>
    <cellStyle name="40% - Accent1 2 2 3 3 2 2" xfId="16062" xr:uid="{00000000-0005-0000-0000-0000A52C0000}"/>
    <cellStyle name="40% - Accent1 2 2 3 3 2 3" xfId="24008" xr:uid="{00000000-0005-0000-0000-0000A62C0000}"/>
    <cellStyle name="40% - Accent1 2 2 3 3 3" xfId="12524" xr:uid="{00000000-0005-0000-0000-0000A72C0000}"/>
    <cellStyle name="40% - Accent1 2 2 3 3 4" xfId="20479" xr:uid="{00000000-0005-0000-0000-0000A82C0000}"/>
    <cellStyle name="40% - Accent1 2 2 3 4" xfId="6329" xr:uid="{00000000-0005-0000-0000-0000A92C0000}"/>
    <cellStyle name="40% - Accent1 2 2 3 4 2" xfId="14304" xr:uid="{00000000-0005-0000-0000-0000AA2C0000}"/>
    <cellStyle name="40% - Accent1 2 2 3 4 3" xfId="22251" xr:uid="{00000000-0005-0000-0000-0000AB2C0000}"/>
    <cellStyle name="40% - Accent1 2 2 3 5" xfId="9872" xr:uid="{00000000-0005-0000-0000-0000AC2C0000}"/>
    <cellStyle name="40% - Accent1 2 2 3 5 2" xfId="17830" xr:uid="{00000000-0005-0000-0000-0000AD2C0000}"/>
    <cellStyle name="40% - Accent1 2 2 3 5 3" xfId="25774" xr:uid="{00000000-0005-0000-0000-0000AE2C0000}"/>
    <cellStyle name="40% - Accent1 2 2 3 6" xfId="10768" xr:uid="{00000000-0005-0000-0000-0000AF2C0000}"/>
    <cellStyle name="40% - Accent1 2 2 3 7" xfId="18723" xr:uid="{00000000-0005-0000-0000-0000B02C0000}"/>
    <cellStyle name="40% - Accent1 2 2 3_Exh G" xfId="2729" xr:uid="{00000000-0005-0000-0000-0000B12C0000}"/>
    <cellStyle name="40% - Accent1 2 2 4" xfId="1379" xr:uid="{00000000-0005-0000-0000-0000B22C0000}"/>
    <cellStyle name="40% - Accent1 2 2 4 2" xfId="4909" xr:uid="{00000000-0005-0000-0000-0000B32C0000}"/>
    <cellStyle name="40% - Accent1 2 2 4 2 2" xfId="8500" xr:uid="{00000000-0005-0000-0000-0000B42C0000}"/>
    <cellStyle name="40% - Accent1 2 2 4 2 2 2" xfId="16471" xr:uid="{00000000-0005-0000-0000-0000B52C0000}"/>
    <cellStyle name="40% - Accent1 2 2 4 2 2 3" xfId="24417" xr:uid="{00000000-0005-0000-0000-0000B62C0000}"/>
    <cellStyle name="40% - Accent1 2 2 4 2 3" xfId="12933" xr:uid="{00000000-0005-0000-0000-0000B72C0000}"/>
    <cellStyle name="40% - Accent1 2 2 4 2 4" xfId="20888" xr:uid="{00000000-0005-0000-0000-0000B82C0000}"/>
    <cellStyle name="40% - Accent1 2 2 4 3" xfId="6741" xr:uid="{00000000-0005-0000-0000-0000B92C0000}"/>
    <cellStyle name="40% - Accent1 2 2 4 3 2" xfId="14713" xr:uid="{00000000-0005-0000-0000-0000BA2C0000}"/>
    <cellStyle name="40% - Accent1 2 2 4 3 3" xfId="22660" xr:uid="{00000000-0005-0000-0000-0000BB2C0000}"/>
    <cellStyle name="40% - Accent1 2 2 4 4" xfId="11177" xr:uid="{00000000-0005-0000-0000-0000BC2C0000}"/>
    <cellStyle name="40% - Accent1 2 2 4 5" xfId="19132" xr:uid="{00000000-0005-0000-0000-0000BD2C0000}"/>
    <cellStyle name="40% - Accent1 2 2 4_Exh G" xfId="2731" xr:uid="{00000000-0005-0000-0000-0000BE2C0000}"/>
    <cellStyle name="40% - Accent1 2 2 5" xfId="4030" xr:uid="{00000000-0005-0000-0000-0000BF2C0000}"/>
    <cellStyle name="40% - Accent1 2 2 5 2" xfId="7622" xr:uid="{00000000-0005-0000-0000-0000C02C0000}"/>
    <cellStyle name="40% - Accent1 2 2 5 2 2" xfId="15593" xr:uid="{00000000-0005-0000-0000-0000C12C0000}"/>
    <cellStyle name="40% - Accent1 2 2 5 2 3" xfId="23539" xr:uid="{00000000-0005-0000-0000-0000C22C0000}"/>
    <cellStyle name="40% - Accent1 2 2 5 3" xfId="12055" xr:uid="{00000000-0005-0000-0000-0000C32C0000}"/>
    <cellStyle name="40% - Accent1 2 2 5 4" xfId="20010" xr:uid="{00000000-0005-0000-0000-0000C42C0000}"/>
    <cellStyle name="40% - Accent1 2 2 6" xfId="5850" xr:uid="{00000000-0005-0000-0000-0000C52C0000}"/>
    <cellStyle name="40% - Accent1 2 2 6 2" xfId="13834" xr:uid="{00000000-0005-0000-0000-0000C62C0000}"/>
    <cellStyle name="40% - Accent1 2 2 6 3" xfId="21782" xr:uid="{00000000-0005-0000-0000-0000C72C0000}"/>
    <cellStyle name="40% - Accent1 2 2 7" xfId="9403" xr:uid="{00000000-0005-0000-0000-0000C82C0000}"/>
    <cellStyle name="40% - Accent1 2 2 7 2" xfId="17361" xr:uid="{00000000-0005-0000-0000-0000C92C0000}"/>
    <cellStyle name="40% - Accent1 2 2 7 3" xfId="25305" xr:uid="{00000000-0005-0000-0000-0000CA2C0000}"/>
    <cellStyle name="40% - Accent1 2 2 8" xfId="10299" xr:uid="{00000000-0005-0000-0000-0000CB2C0000}"/>
    <cellStyle name="40% - Accent1 2 2 9" xfId="18254" xr:uid="{00000000-0005-0000-0000-0000CC2C0000}"/>
    <cellStyle name="40% - Accent1 2 2_Exh G" xfId="2726" xr:uid="{00000000-0005-0000-0000-0000CD2C0000}"/>
    <cellStyle name="40% - Accent1 2 3" xfId="353" xr:uid="{00000000-0005-0000-0000-0000CE2C0000}"/>
    <cellStyle name="40% - Accent1 2 3 2" xfId="1381" xr:uid="{00000000-0005-0000-0000-0000CF2C0000}"/>
    <cellStyle name="40% - Accent1 2 3 2 2" xfId="4911" xr:uid="{00000000-0005-0000-0000-0000D02C0000}"/>
    <cellStyle name="40% - Accent1 2 3 2 2 2" xfId="8502" xr:uid="{00000000-0005-0000-0000-0000D12C0000}"/>
    <cellStyle name="40% - Accent1 2 3 2 2 2 2" xfId="16473" xr:uid="{00000000-0005-0000-0000-0000D22C0000}"/>
    <cellStyle name="40% - Accent1 2 3 2 2 2 3" xfId="24419" xr:uid="{00000000-0005-0000-0000-0000D32C0000}"/>
    <cellStyle name="40% - Accent1 2 3 2 2 3" xfId="12935" xr:uid="{00000000-0005-0000-0000-0000D42C0000}"/>
    <cellStyle name="40% - Accent1 2 3 2 2 4" xfId="20890" xr:uid="{00000000-0005-0000-0000-0000D52C0000}"/>
    <cellStyle name="40% - Accent1 2 3 2 3" xfId="6743" xr:uid="{00000000-0005-0000-0000-0000D62C0000}"/>
    <cellStyle name="40% - Accent1 2 3 2 3 2" xfId="14715" xr:uid="{00000000-0005-0000-0000-0000D72C0000}"/>
    <cellStyle name="40% - Accent1 2 3 2 3 3" xfId="22662" xr:uid="{00000000-0005-0000-0000-0000D82C0000}"/>
    <cellStyle name="40% - Accent1 2 3 2 4" xfId="11179" xr:uid="{00000000-0005-0000-0000-0000D92C0000}"/>
    <cellStyle name="40% - Accent1 2 3 2 5" xfId="19134" xr:uid="{00000000-0005-0000-0000-0000DA2C0000}"/>
    <cellStyle name="40% - Accent1 2 3 2_Exh G" xfId="2733" xr:uid="{00000000-0005-0000-0000-0000DB2C0000}"/>
    <cellStyle name="40% - Accent1 2 3 3" xfId="4032" xr:uid="{00000000-0005-0000-0000-0000DC2C0000}"/>
    <cellStyle name="40% - Accent1 2 3 3 2" xfId="7624" xr:uid="{00000000-0005-0000-0000-0000DD2C0000}"/>
    <cellStyle name="40% - Accent1 2 3 3 2 2" xfId="15595" xr:uid="{00000000-0005-0000-0000-0000DE2C0000}"/>
    <cellStyle name="40% - Accent1 2 3 3 2 3" xfId="23541" xr:uid="{00000000-0005-0000-0000-0000DF2C0000}"/>
    <cellStyle name="40% - Accent1 2 3 3 3" xfId="12057" xr:uid="{00000000-0005-0000-0000-0000E02C0000}"/>
    <cellStyle name="40% - Accent1 2 3 3 4" xfId="20012" xr:uid="{00000000-0005-0000-0000-0000E12C0000}"/>
    <cellStyle name="40% - Accent1 2 3 4" xfId="5852" xr:uid="{00000000-0005-0000-0000-0000E22C0000}"/>
    <cellStyle name="40% - Accent1 2 3 4 2" xfId="13836" xr:uid="{00000000-0005-0000-0000-0000E32C0000}"/>
    <cellStyle name="40% - Accent1 2 3 4 3" xfId="21784" xr:uid="{00000000-0005-0000-0000-0000E42C0000}"/>
    <cellStyle name="40% - Accent1 2 3 5" xfId="9405" xr:uid="{00000000-0005-0000-0000-0000E52C0000}"/>
    <cellStyle name="40% - Accent1 2 3 5 2" xfId="17363" xr:uid="{00000000-0005-0000-0000-0000E62C0000}"/>
    <cellStyle name="40% - Accent1 2 3 5 3" xfId="25307" xr:uid="{00000000-0005-0000-0000-0000E72C0000}"/>
    <cellStyle name="40% - Accent1 2 3 6" xfId="10301" xr:uid="{00000000-0005-0000-0000-0000E82C0000}"/>
    <cellStyle name="40% - Accent1 2 3 7" xfId="18256" xr:uid="{00000000-0005-0000-0000-0000E92C0000}"/>
    <cellStyle name="40% - Accent1 2 3_Exh G" xfId="2732" xr:uid="{00000000-0005-0000-0000-0000EA2C0000}"/>
    <cellStyle name="40% - Accent1 2 4" xfId="935" xr:uid="{00000000-0005-0000-0000-0000EB2C0000}"/>
    <cellStyle name="40% - Accent1 2 4 2" xfId="1859" xr:uid="{00000000-0005-0000-0000-0000EC2C0000}"/>
    <cellStyle name="40% - Accent1 2 4 2 2" xfId="5377" xr:uid="{00000000-0005-0000-0000-0000ED2C0000}"/>
    <cellStyle name="40% - Accent1 2 4 2 2 2" xfId="8968" xr:uid="{00000000-0005-0000-0000-0000EE2C0000}"/>
    <cellStyle name="40% - Accent1 2 4 2 2 2 2" xfId="16939" xr:uid="{00000000-0005-0000-0000-0000EF2C0000}"/>
    <cellStyle name="40% - Accent1 2 4 2 2 2 3" xfId="24885" xr:uid="{00000000-0005-0000-0000-0000F02C0000}"/>
    <cellStyle name="40% - Accent1 2 4 2 2 3" xfId="13401" xr:uid="{00000000-0005-0000-0000-0000F12C0000}"/>
    <cellStyle name="40% - Accent1 2 4 2 2 4" xfId="21356" xr:uid="{00000000-0005-0000-0000-0000F22C0000}"/>
    <cellStyle name="40% - Accent1 2 4 2 3" xfId="7209" xr:uid="{00000000-0005-0000-0000-0000F32C0000}"/>
    <cellStyle name="40% - Accent1 2 4 2 3 2" xfId="15181" xr:uid="{00000000-0005-0000-0000-0000F42C0000}"/>
    <cellStyle name="40% - Accent1 2 4 2 3 3" xfId="23128" xr:uid="{00000000-0005-0000-0000-0000F52C0000}"/>
    <cellStyle name="40% - Accent1 2 4 2 4" xfId="11645" xr:uid="{00000000-0005-0000-0000-0000F62C0000}"/>
    <cellStyle name="40% - Accent1 2 4 2 5" xfId="19600" xr:uid="{00000000-0005-0000-0000-0000F72C0000}"/>
    <cellStyle name="40% - Accent1 2 4 2_Exh G" xfId="2735" xr:uid="{00000000-0005-0000-0000-0000F82C0000}"/>
    <cellStyle name="40% - Accent1 2 4 3" xfId="4498" xr:uid="{00000000-0005-0000-0000-0000F92C0000}"/>
    <cellStyle name="40% - Accent1 2 4 3 2" xfId="8090" xr:uid="{00000000-0005-0000-0000-0000FA2C0000}"/>
    <cellStyle name="40% - Accent1 2 4 3 2 2" xfId="16061" xr:uid="{00000000-0005-0000-0000-0000FB2C0000}"/>
    <cellStyle name="40% - Accent1 2 4 3 2 3" xfId="24007" xr:uid="{00000000-0005-0000-0000-0000FC2C0000}"/>
    <cellStyle name="40% - Accent1 2 4 3 3" xfId="12523" xr:uid="{00000000-0005-0000-0000-0000FD2C0000}"/>
    <cellStyle name="40% - Accent1 2 4 3 4" xfId="20478" xr:uid="{00000000-0005-0000-0000-0000FE2C0000}"/>
    <cellStyle name="40% - Accent1 2 4 4" xfId="6328" xr:uid="{00000000-0005-0000-0000-0000FF2C0000}"/>
    <cellStyle name="40% - Accent1 2 4 4 2" xfId="14303" xr:uid="{00000000-0005-0000-0000-0000002D0000}"/>
    <cellStyle name="40% - Accent1 2 4 4 3" xfId="22250" xr:uid="{00000000-0005-0000-0000-0000012D0000}"/>
    <cellStyle name="40% - Accent1 2 4 5" xfId="9871" xr:uid="{00000000-0005-0000-0000-0000022D0000}"/>
    <cellStyle name="40% - Accent1 2 4 5 2" xfId="17829" xr:uid="{00000000-0005-0000-0000-0000032D0000}"/>
    <cellStyle name="40% - Accent1 2 4 5 3" xfId="25773" xr:uid="{00000000-0005-0000-0000-0000042D0000}"/>
    <cellStyle name="40% - Accent1 2 4 6" xfId="10767" xr:uid="{00000000-0005-0000-0000-0000052D0000}"/>
    <cellStyle name="40% - Accent1 2 4 7" xfId="18722" xr:uid="{00000000-0005-0000-0000-0000062D0000}"/>
    <cellStyle name="40% - Accent1 2 4_Exh G" xfId="2734" xr:uid="{00000000-0005-0000-0000-0000072D0000}"/>
    <cellStyle name="40% - Accent1 2 5" xfId="1378" xr:uid="{00000000-0005-0000-0000-0000082D0000}"/>
    <cellStyle name="40% - Accent1 2 5 2" xfId="4908" xr:uid="{00000000-0005-0000-0000-0000092D0000}"/>
    <cellStyle name="40% - Accent1 2 5 2 2" xfId="8499" xr:uid="{00000000-0005-0000-0000-00000A2D0000}"/>
    <cellStyle name="40% - Accent1 2 5 2 2 2" xfId="16470" xr:uid="{00000000-0005-0000-0000-00000B2D0000}"/>
    <cellStyle name="40% - Accent1 2 5 2 2 3" xfId="24416" xr:uid="{00000000-0005-0000-0000-00000C2D0000}"/>
    <cellStyle name="40% - Accent1 2 5 2 3" xfId="12932" xr:uid="{00000000-0005-0000-0000-00000D2D0000}"/>
    <cellStyle name="40% - Accent1 2 5 2 4" xfId="20887" xr:uid="{00000000-0005-0000-0000-00000E2D0000}"/>
    <cellStyle name="40% - Accent1 2 5 3" xfId="6740" xr:uid="{00000000-0005-0000-0000-00000F2D0000}"/>
    <cellStyle name="40% - Accent1 2 5 3 2" xfId="14712" xr:uid="{00000000-0005-0000-0000-0000102D0000}"/>
    <cellStyle name="40% - Accent1 2 5 3 3" xfId="22659" xr:uid="{00000000-0005-0000-0000-0000112D0000}"/>
    <cellStyle name="40% - Accent1 2 5 4" xfId="11176" xr:uid="{00000000-0005-0000-0000-0000122D0000}"/>
    <cellStyle name="40% - Accent1 2 5 5" xfId="19131" xr:uid="{00000000-0005-0000-0000-0000132D0000}"/>
    <cellStyle name="40% - Accent1 2 5_Exh G" xfId="2736" xr:uid="{00000000-0005-0000-0000-0000142D0000}"/>
    <cellStyle name="40% - Accent1 2 6" xfId="4029" xr:uid="{00000000-0005-0000-0000-0000152D0000}"/>
    <cellStyle name="40% - Accent1 2 6 2" xfId="7621" xr:uid="{00000000-0005-0000-0000-0000162D0000}"/>
    <cellStyle name="40% - Accent1 2 6 2 2" xfId="15592" xr:uid="{00000000-0005-0000-0000-0000172D0000}"/>
    <cellStyle name="40% - Accent1 2 6 2 3" xfId="23538" xr:uid="{00000000-0005-0000-0000-0000182D0000}"/>
    <cellStyle name="40% - Accent1 2 6 3" xfId="12054" xr:uid="{00000000-0005-0000-0000-0000192D0000}"/>
    <cellStyle name="40% - Accent1 2 6 4" xfId="20009" xr:uid="{00000000-0005-0000-0000-00001A2D0000}"/>
    <cellStyle name="40% - Accent1 2 7" xfId="5849" xr:uid="{00000000-0005-0000-0000-00001B2D0000}"/>
    <cellStyle name="40% - Accent1 2 7 2" xfId="13833" xr:uid="{00000000-0005-0000-0000-00001C2D0000}"/>
    <cellStyle name="40% - Accent1 2 7 3" xfId="21781" xr:uid="{00000000-0005-0000-0000-00001D2D0000}"/>
    <cellStyle name="40% - Accent1 2 8" xfId="9402" xr:uid="{00000000-0005-0000-0000-00001E2D0000}"/>
    <cellStyle name="40% - Accent1 2 8 2" xfId="17360" xr:uid="{00000000-0005-0000-0000-00001F2D0000}"/>
    <cellStyle name="40% - Accent1 2 8 3" xfId="25304" xr:uid="{00000000-0005-0000-0000-0000202D0000}"/>
    <cellStyle name="40% - Accent1 2 9" xfId="10298" xr:uid="{00000000-0005-0000-0000-0000212D0000}"/>
    <cellStyle name="40% - Accent1 2_Exh G" xfId="2725" xr:uid="{00000000-0005-0000-0000-0000222D0000}"/>
    <cellStyle name="40% - Accent1 3" xfId="354" xr:uid="{00000000-0005-0000-0000-0000232D0000}"/>
    <cellStyle name="40% - Accent1 3 10" xfId="18257" xr:uid="{00000000-0005-0000-0000-0000242D0000}"/>
    <cellStyle name="40% - Accent1 3 2" xfId="355" xr:uid="{00000000-0005-0000-0000-0000252D0000}"/>
    <cellStyle name="40% - Accent1 3 2 2" xfId="356" xr:uid="{00000000-0005-0000-0000-0000262D0000}"/>
    <cellStyle name="40% - Accent1 3 2 2 2" xfId="1384" xr:uid="{00000000-0005-0000-0000-0000272D0000}"/>
    <cellStyle name="40% - Accent1 3 2 2 2 2" xfId="4914" xr:uid="{00000000-0005-0000-0000-0000282D0000}"/>
    <cellStyle name="40% - Accent1 3 2 2 2 2 2" xfId="8505" xr:uid="{00000000-0005-0000-0000-0000292D0000}"/>
    <cellStyle name="40% - Accent1 3 2 2 2 2 2 2" xfId="16476" xr:uid="{00000000-0005-0000-0000-00002A2D0000}"/>
    <cellStyle name="40% - Accent1 3 2 2 2 2 2 3" xfId="24422" xr:uid="{00000000-0005-0000-0000-00002B2D0000}"/>
    <cellStyle name="40% - Accent1 3 2 2 2 2 3" xfId="12938" xr:uid="{00000000-0005-0000-0000-00002C2D0000}"/>
    <cellStyle name="40% - Accent1 3 2 2 2 2 4" xfId="20893" xr:uid="{00000000-0005-0000-0000-00002D2D0000}"/>
    <cellStyle name="40% - Accent1 3 2 2 2 3" xfId="6746" xr:uid="{00000000-0005-0000-0000-00002E2D0000}"/>
    <cellStyle name="40% - Accent1 3 2 2 2 3 2" xfId="14718" xr:uid="{00000000-0005-0000-0000-00002F2D0000}"/>
    <cellStyle name="40% - Accent1 3 2 2 2 3 3" xfId="22665" xr:uid="{00000000-0005-0000-0000-0000302D0000}"/>
    <cellStyle name="40% - Accent1 3 2 2 2 4" xfId="11182" xr:uid="{00000000-0005-0000-0000-0000312D0000}"/>
    <cellStyle name="40% - Accent1 3 2 2 2 5" xfId="19137" xr:uid="{00000000-0005-0000-0000-0000322D0000}"/>
    <cellStyle name="40% - Accent1 3 2 2 2_Exh G" xfId="2740" xr:uid="{00000000-0005-0000-0000-0000332D0000}"/>
    <cellStyle name="40% - Accent1 3 2 2 3" xfId="4035" xr:uid="{00000000-0005-0000-0000-0000342D0000}"/>
    <cellStyle name="40% - Accent1 3 2 2 3 2" xfId="7627" xr:uid="{00000000-0005-0000-0000-0000352D0000}"/>
    <cellStyle name="40% - Accent1 3 2 2 3 2 2" xfId="15598" xr:uid="{00000000-0005-0000-0000-0000362D0000}"/>
    <cellStyle name="40% - Accent1 3 2 2 3 2 3" xfId="23544" xr:uid="{00000000-0005-0000-0000-0000372D0000}"/>
    <cellStyle name="40% - Accent1 3 2 2 3 3" xfId="12060" xr:uid="{00000000-0005-0000-0000-0000382D0000}"/>
    <cellStyle name="40% - Accent1 3 2 2 3 4" xfId="20015" xr:uid="{00000000-0005-0000-0000-0000392D0000}"/>
    <cellStyle name="40% - Accent1 3 2 2 4" xfId="5855" xr:uid="{00000000-0005-0000-0000-00003A2D0000}"/>
    <cellStyle name="40% - Accent1 3 2 2 4 2" xfId="13839" xr:uid="{00000000-0005-0000-0000-00003B2D0000}"/>
    <cellStyle name="40% - Accent1 3 2 2 4 3" xfId="21787" xr:uid="{00000000-0005-0000-0000-00003C2D0000}"/>
    <cellStyle name="40% - Accent1 3 2 2 5" xfId="9408" xr:uid="{00000000-0005-0000-0000-00003D2D0000}"/>
    <cellStyle name="40% - Accent1 3 2 2 5 2" xfId="17366" xr:uid="{00000000-0005-0000-0000-00003E2D0000}"/>
    <cellStyle name="40% - Accent1 3 2 2 5 3" xfId="25310" xr:uid="{00000000-0005-0000-0000-00003F2D0000}"/>
    <cellStyle name="40% - Accent1 3 2 2 6" xfId="10304" xr:uid="{00000000-0005-0000-0000-0000402D0000}"/>
    <cellStyle name="40% - Accent1 3 2 2 7" xfId="18259" xr:uid="{00000000-0005-0000-0000-0000412D0000}"/>
    <cellStyle name="40% - Accent1 3 2 2_Exh G" xfId="2739" xr:uid="{00000000-0005-0000-0000-0000422D0000}"/>
    <cellStyle name="40% - Accent1 3 2 3" xfId="938" xr:uid="{00000000-0005-0000-0000-0000432D0000}"/>
    <cellStyle name="40% - Accent1 3 2 3 2" xfId="1862" xr:uid="{00000000-0005-0000-0000-0000442D0000}"/>
    <cellStyle name="40% - Accent1 3 2 3 2 2" xfId="5380" xr:uid="{00000000-0005-0000-0000-0000452D0000}"/>
    <cellStyle name="40% - Accent1 3 2 3 2 2 2" xfId="8971" xr:uid="{00000000-0005-0000-0000-0000462D0000}"/>
    <cellStyle name="40% - Accent1 3 2 3 2 2 2 2" xfId="16942" xr:uid="{00000000-0005-0000-0000-0000472D0000}"/>
    <cellStyle name="40% - Accent1 3 2 3 2 2 2 3" xfId="24888" xr:uid="{00000000-0005-0000-0000-0000482D0000}"/>
    <cellStyle name="40% - Accent1 3 2 3 2 2 3" xfId="13404" xr:uid="{00000000-0005-0000-0000-0000492D0000}"/>
    <cellStyle name="40% - Accent1 3 2 3 2 2 4" xfId="21359" xr:uid="{00000000-0005-0000-0000-00004A2D0000}"/>
    <cellStyle name="40% - Accent1 3 2 3 2 3" xfId="7212" xr:uid="{00000000-0005-0000-0000-00004B2D0000}"/>
    <cellStyle name="40% - Accent1 3 2 3 2 3 2" xfId="15184" xr:uid="{00000000-0005-0000-0000-00004C2D0000}"/>
    <cellStyle name="40% - Accent1 3 2 3 2 3 3" xfId="23131" xr:uid="{00000000-0005-0000-0000-00004D2D0000}"/>
    <cellStyle name="40% - Accent1 3 2 3 2 4" xfId="11648" xr:uid="{00000000-0005-0000-0000-00004E2D0000}"/>
    <cellStyle name="40% - Accent1 3 2 3 2 5" xfId="19603" xr:uid="{00000000-0005-0000-0000-00004F2D0000}"/>
    <cellStyle name="40% - Accent1 3 2 3 2_Exh G" xfId="2742" xr:uid="{00000000-0005-0000-0000-0000502D0000}"/>
    <cellStyle name="40% - Accent1 3 2 3 3" xfId="4501" xr:uid="{00000000-0005-0000-0000-0000512D0000}"/>
    <cellStyle name="40% - Accent1 3 2 3 3 2" xfId="8093" xr:uid="{00000000-0005-0000-0000-0000522D0000}"/>
    <cellStyle name="40% - Accent1 3 2 3 3 2 2" xfId="16064" xr:uid="{00000000-0005-0000-0000-0000532D0000}"/>
    <cellStyle name="40% - Accent1 3 2 3 3 2 3" xfId="24010" xr:uid="{00000000-0005-0000-0000-0000542D0000}"/>
    <cellStyle name="40% - Accent1 3 2 3 3 3" xfId="12526" xr:uid="{00000000-0005-0000-0000-0000552D0000}"/>
    <cellStyle name="40% - Accent1 3 2 3 3 4" xfId="20481" xr:uid="{00000000-0005-0000-0000-0000562D0000}"/>
    <cellStyle name="40% - Accent1 3 2 3 4" xfId="6331" xr:uid="{00000000-0005-0000-0000-0000572D0000}"/>
    <cellStyle name="40% - Accent1 3 2 3 4 2" xfId="14306" xr:uid="{00000000-0005-0000-0000-0000582D0000}"/>
    <cellStyle name="40% - Accent1 3 2 3 4 3" xfId="22253" xr:uid="{00000000-0005-0000-0000-0000592D0000}"/>
    <cellStyle name="40% - Accent1 3 2 3 5" xfId="9874" xr:uid="{00000000-0005-0000-0000-00005A2D0000}"/>
    <cellStyle name="40% - Accent1 3 2 3 5 2" xfId="17832" xr:uid="{00000000-0005-0000-0000-00005B2D0000}"/>
    <cellStyle name="40% - Accent1 3 2 3 5 3" xfId="25776" xr:uid="{00000000-0005-0000-0000-00005C2D0000}"/>
    <cellStyle name="40% - Accent1 3 2 3 6" xfId="10770" xr:uid="{00000000-0005-0000-0000-00005D2D0000}"/>
    <cellStyle name="40% - Accent1 3 2 3 7" xfId="18725" xr:uid="{00000000-0005-0000-0000-00005E2D0000}"/>
    <cellStyle name="40% - Accent1 3 2 3_Exh G" xfId="2741" xr:uid="{00000000-0005-0000-0000-00005F2D0000}"/>
    <cellStyle name="40% - Accent1 3 2 4" xfId="1383" xr:uid="{00000000-0005-0000-0000-0000602D0000}"/>
    <cellStyle name="40% - Accent1 3 2 4 2" xfId="4913" xr:uid="{00000000-0005-0000-0000-0000612D0000}"/>
    <cellStyle name="40% - Accent1 3 2 4 2 2" xfId="8504" xr:uid="{00000000-0005-0000-0000-0000622D0000}"/>
    <cellStyle name="40% - Accent1 3 2 4 2 2 2" xfId="16475" xr:uid="{00000000-0005-0000-0000-0000632D0000}"/>
    <cellStyle name="40% - Accent1 3 2 4 2 2 3" xfId="24421" xr:uid="{00000000-0005-0000-0000-0000642D0000}"/>
    <cellStyle name="40% - Accent1 3 2 4 2 3" xfId="12937" xr:uid="{00000000-0005-0000-0000-0000652D0000}"/>
    <cellStyle name="40% - Accent1 3 2 4 2 4" xfId="20892" xr:uid="{00000000-0005-0000-0000-0000662D0000}"/>
    <cellStyle name="40% - Accent1 3 2 4 3" xfId="6745" xr:uid="{00000000-0005-0000-0000-0000672D0000}"/>
    <cellStyle name="40% - Accent1 3 2 4 3 2" xfId="14717" xr:uid="{00000000-0005-0000-0000-0000682D0000}"/>
    <cellStyle name="40% - Accent1 3 2 4 3 3" xfId="22664" xr:uid="{00000000-0005-0000-0000-0000692D0000}"/>
    <cellStyle name="40% - Accent1 3 2 4 4" xfId="11181" xr:uid="{00000000-0005-0000-0000-00006A2D0000}"/>
    <cellStyle name="40% - Accent1 3 2 4 5" xfId="19136" xr:uid="{00000000-0005-0000-0000-00006B2D0000}"/>
    <cellStyle name="40% - Accent1 3 2 4_Exh G" xfId="2743" xr:uid="{00000000-0005-0000-0000-00006C2D0000}"/>
    <cellStyle name="40% - Accent1 3 2 5" xfId="4034" xr:uid="{00000000-0005-0000-0000-00006D2D0000}"/>
    <cellStyle name="40% - Accent1 3 2 5 2" xfId="7626" xr:uid="{00000000-0005-0000-0000-00006E2D0000}"/>
    <cellStyle name="40% - Accent1 3 2 5 2 2" xfId="15597" xr:uid="{00000000-0005-0000-0000-00006F2D0000}"/>
    <cellStyle name="40% - Accent1 3 2 5 2 3" xfId="23543" xr:uid="{00000000-0005-0000-0000-0000702D0000}"/>
    <cellStyle name="40% - Accent1 3 2 5 3" xfId="12059" xr:uid="{00000000-0005-0000-0000-0000712D0000}"/>
    <cellStyle name="40% - Accent1 3 2 5 4" xfId="20014" xr:uid="{00000000-0005-0000-0000-0000722D0000}"/>
    <cellStyle name="40% - Accent1 3 2 6" xfId="5854" xr:uid="{00000000-0005-0000-0000-0000732D0000}"/>
    <cellStyle name="40% - Accent1 3 2 6 2" xfId="13838" xr:uid="{00000000-0005-0000-0000-0000742D0000}"/>
    <cellStyle name="40% - Accent1 3 2 6 3" xfId="21786" xr:uid="{00000000-0005-0000-0000-0000752D0000}"/>
    <cellStyle name="40% - Accent1 3 2 7" xfId="9407" xr:uid="{00000000-0005-0000-0000-0000762D0000}"/>
    <cellStyle name="40% - Accent1 3 2 7 2" xfId="17365" xr:uid="{00000000-0005-0000-0000-0000772D0000}"/>
    <cellStyle name="40% - Accent1 3 2 7 3" xfId="25309" xr:uid="{00000000-0005-0000-0000-0000782D0000}"/>
    <cellStyle name="40% - Accent1 3 2 8" xfId="10303" xr:uid="{00000000-0005-0000-0000-0000792D0000}"/>
    <cellStyle name="40% - Accent1 3 2 9" xfId="18258" xr:uid="{00000000-0005-0000-0000-00007A2D0000}"/>
    <cellStyle name="40% - Accent1 3 2_Exh G" xfId="2738" xr:uid="{00000000-0005-0000-0000-00007B2D0000}"/>
    <cellStyle name="40% - Accent1 3 3" xfId="357" xr:uid="{00000000-0005-0000-0000-00007C2D0000}"/>
    <cellStyle name="40% - Accent1 3 3 2" xfId="1385" xr:uid="{00000000-0005-0000-0000-00007D2D0000}"/>
    <cellStyle name="40% - Accent1 3 3 2 2" xfId="4915" xr:uid="{00000000-0005-0000-0000-00007E2D0000}"/>
    <cellStyle name="40% - Accent1 3 3 2 2 2" xfId="8506" xr:uid="{00000000-0005-0000-0000-00007F2D0000}"/>
    <cellStyle name="40% - Accent1 3 3 2 2 2 2" xfId="16477" xr:uid="{00000000-0005-0000-0000-0000802D0000}"/>
    <cellStyle name="40% - Accent1 3 3 2 2 2 3" xfId="24423" xr:uid="{00000000-0005-0000-0000-0000812D0000}"/>
    <cellStyle name="40% - Accent1 3 3 2 2 3" xfId="12939" xr:uid="{00000000-0005-0000-0000-0000822D0000}"/>
    <cellStyle name="40% - Accent1 3 3 2 2 4" xfId="20894" xr:uid="{00000000-0005-0000-0000-0000832D0000}"/>
    <cellStyle name="40% - Accent1 3 3 2 3" xfId="6747" xr:uid="{00000000-0005-0000-0000-0000842D0000}"/>
    <cellStyle name="40% - Accent1 3 3 2 3 2" xfId="14719" xr:uid="{00000000-0005-0000-0000-0000852D0000}"/>
    <cellStyle name="40% - Accent1 3 3 2 3 3" xfId="22666" xr:uid="{00000000-0005-0000-0000-0000862D0000}"/>
    <cellStyle name="40% - Accent1 3 3 2 4" xfId="11183" xr:uid="{00000000-0005-0000-0000-0000872D0000}"/>
    <cellStyle name="40% - Accent1 3 3 2 5" xfId="19138" xr:uid="{00000000-0005-0000-0000-0000882D0000}"/>
    <cellStyle name="40% - Accent1 3 3 2_Exh G" xfId="2745" xr:uid="{00000000-0005-0000-0000-0000892D0000}"/>
    <cellStyle name="40% - Accent1 3 3 3" xfId="4036" xr:uid="{00000000-0005-0000-0000-00008A2D0000}"/>
    <cellStyle name="40% - Accent1 3 3 3 2" xfId="7628" xr:uid="{00000000-0005-0000-0000-00008B2D0000}"/>
    <cellStyle name="40% - Accent1 3 3 3 2 2" xfId="15599" xr:uid="{00000000-0005-0000-0000-00008C2D0000}"/>
    <cellStyle name="40% - Accent1 3 3 3 2 3" xfId="23545" xr:uid="{00000000-0005-0000-0000-00008D2D0000}"/>
    <cellStyle name="40% - Accent1 3 3 3 3" xfId="12061" xr:uid="{00000000-0005-0000-0000-00008E2D0000}"/>
    <cellStyle name="40% - Accent1 3 3 3 4" xfId="20016" xr:uid="{00000000-0005-0000-0000-00008F2D0000}"/>
    <cellStyle name="40% - Accent1 3 3 4" xfId="5856" xr:uid="{00000000-0005-0000-0000-0000902D0000}"/>
    <cellStyle name="40% - Accent1 3 3 4 2" xfId="13840" xr:uid="{00000000-0005-0000-0000-0000912D0000}"/>
    <cellStyle name="40% - Accent1 3 3 4 3" xfId="21788" xr:uid="{00000000-0005-0000-0000-0000922D0000}"/>
    <cellStyle name="40% - Accent1 3 3 5" xfId="9409" xr:uid="{00000000-0005-0000-0000-0000932D0000}"/>
    <cellStyle name="40% - Accent1 3 3 5 2" xfId="17367" xr:uid="{00000000-0005-0000-0000-0000942D0000}"/>
    <cellStyle name="40% - Accent1 3 3 5 3" xfId="25311" xr:uid="{00000000-0005-0000-0000-0000952D0000}"/>
    <cellStyle name="40% - Accent1 3 3 6" xfId="10305" xr:uid="{00000000-0005-0000-0000-0000962D0000}"/>
    <cellStyle name="40% - Accent1 3 3 7" xfId="18260" xr:uid="{00000000-0005-0000-0000-0000972D0000}"/>
    <cellStyle name="40% - Accent1 3 3_Exh G" xfId="2744" xr:uid="{00000000-0005-0000-0000-0000982D0000}"/>
    <cellStyle name="40% - Accent1 3 4" xfId="937" xr:uid="{00000000-0005-0000-0000-0000992D0000}"/>
    <cellStyle name="40% - Accent1 3 4 2" xfId="1861" xr:uid="{00000000-0005-0000-0000-00009A2D0000}"/>
    <cellStyle name="40% - Accent1 3 4 2 2" xfId="5379" xr:uid="{00000000-0005-0000-0000-00009B2D0000}"/>
    <cellStyle name="40% - Accent1 3 4 2 2 2" xfId="8970" xr:uid="{00000000-0005-0000-0000-00009C2D0000}"/>
    <cellStyle name="40% - Accent1 3 4 2 2 2 2" xfId="16941" xr:uid="{00000000-0005-0000-0000-00009D2D0000}"/>
    <cellStyle name="40% - Accent1 3 4 2 2 2 3" xfId="24887" xr:uid="{00000000-0005-0000-0000-00009E2D0000}"/>
    <cellStyle name="40% - Accent1 3 4 2 2 3" xfId="13403" xr:uid="{00000000-0005-0000-0000-00009F2D0000}"/>
    <cellStyle name="40% - Accent1 3 4 2 2 4" xfId="21358" xr:uid="{00000000-0005-0000-0000-0000A02D0000}"/>
    <cellStyle name="40% - Accent1 3 4 2 3" xfId="7211" xr:uid="{00000000-0005-0000-0000-0000A12D0000}"/>
    <cellStyle name="40% - Accent1 3 4 2 3 2" xfId="15183" xr:uid="{00000000-0005-0000-0000-0000A22D0000}"/>
    <cellStyle name="40% - Accent1 3 4 2 3 3" xfId="23130" xr:uid="{00000000-0005-0000-0000-0000A32D0000}"/>
    <cellStyle name="40% - Accent1 3 4 2 4" xfId="11647" xr:uid="{00000000-0005-0000-0000-0000A42D0000}"/>
    <cellStyle name="40% - Accent1 3 4 2 5" xfId="19602" xr:uid="{00000000-0005-0000-0000-0000A52D0000}"/>
    <cellStyle name="40% - Accent1 3 4 2_Exh G" xfId="2747" xr:uid="{00000000-0005-0000-0000-0000A62D0000}"/>
    <cellStyle name="40% - Accent1 3 4 3" xfId="4500" xr:uid="{00000000-0005-0000-0000-0000A72D0000}"/>
    <cellStyle name="40% - Accent1 3 4 3 2" xfId="8092" xr:uid="{00000000-0005-0000-0000-0000A82D0000}"/>
    <cellStyle name="40% - Accent1 3 4 3 2 2" xfId="16063" xr:uid="{00000000-0005-0000-0000-0000A92D0000}"/>
    <cellStyle name="40% - Accent1 3 4 3 2 3" xfId="24009" xr:uid="{00000000-0005-0000-0000-0000AA2D0000}"/>
    <cellStyle name="40% - Accent1 3 4 3 3" xfId="12525" xr:uid="{00000000-0005-0000-0000-0000AB2D0000}"/>
    <cellStyle name="40% - Accent1 3 4 3 4" xfId="20480" xr:uid="{00000000-0005-0000-0000-0000AC2D0000}"/>
    <cellStyle name="40% - Accent1 3 4 4" xfId="6330" xr:uid="{00000000-0005-0000-0000-0000AD2D0000}"/>
    <cellStyle name="40% - Accent1 3 4 4 2" xfId="14305" xr:uid="{00000000-0005-0000-0000-0000AE2D0000}"/>
    <cellStyle name="40% - Accent1 3 4 4 3" xfId="22252" xr:uid="{00000000-0005-0000-0000-0000AF2D0000}"/>
    <cellStyle name="40% - Accent1 3 4 5" xfId="9873" xr:uid="{00000000-0005-0000-0000-0000B02D0000}"/>
    <cellStyle name="40% - Accent1 3 4 5 2" xfId="17831" xr:uid="{00000000-0005-0000-0000-0000B12D0000}"/>
    <cellStyle name="40% - Accent1 3 4 5 3" xfId="25775" xr:uid="{00000000-0005-0000-0000-0000B22D0000}"/>
    <cellStyle name="40% - Accent1 3 4 6" xfId="10769" xr:uid="{00000000-0005-0000-0000-0000B32D0000}"/>
    <cellStyle name="40% - Accent1 3 4 7" xfId="18724" xr:uid="{00000000-0005-0000-0000-0000B42D0000}"/>
    <cellStyle name="40% - Accent1 3 4_Exh G" xfId="2746" xr:uid="{00000000-0005-0000-0000-0000B52D0000}"/>
    <cellStyle name="40% - Accent1 3 5" xfId="1382" xr:uid="{00000000-0005-0000-0000-0000B62D0000}"/>
    <cellStyle name="40% - Accent1 3 5 2" xfId="4912" xr:uid="{00000000-0005-0000-0000-0000B72D0000}"/>
    <cellStyle name="40% - Accent1 3 5 2 2" xfId="8503" xr:uid="{00000000-0005-0000-0000-0000B82D0000}"/>
    <cellStyle name="40% - Accent1 3 5 2 2 2" xfId="16474" xr:uid="{00000000-0005-0000-0000-0000B92D0000}"/>
    <cellStyle name="40% - Accent1 3 5 2 2 3" xfId="24420" xr:uid="{00000000-0005-0000-0000-0000BA2D0000}"/>
    <cellStyle name="40% - Accent1 3 5 2 3" xfId="12936" xr:uid="{00000000-0005-0000-0000-0000BB2D0000}"/>
    <cellStyle name="40% - Accent1 3 5 2 4" xfId="20891" xr:uid="{00000000-0005-0000-0000-0000BC2D0000}"/>
    <cellStyle name="40% - Accent1 3 5 3" xfId="6744" xr:uid="{00000000-0005-0000-0000-0000BD2D0000}"/>
    <cellStyle name="40% - Accent1 3 5 3 2" xfId="14716" xr:uid="{00000000-0005-0000-0000-0000BE2D0000}"/>
    <cellStyle name="40% - Accent1 3 5 3 3" xfId="22663" xr:uid="{00000000-0005-0000-0000-0000BF2D0000}"/>
    <cellStyle name="40% - Accent1 3 5 4" xfId="11180" xr:uid="{00000000-0005-0000-0000-0000C02D0000}"/>
    <cellStyle name="40% - Accent1 3 5 5" xfId="19135" xr:uid="{00000000-0005-0000-0000-0000C12D0000}"/>
    <cellStyle name="40% - Accent1 3 5_Exh G" xfId="2748" xr:uid="{00000000-0005-0000-0000-0000C22D0000}"/>
    <cellStyle name="40% - Accent1 3 6" xfId="4033" xr:uid="{00000000-0005-0000-0000-0000C32D0000}"/>
    <cellStyle name="40% - Accent1 3 6 2" xfId="7625" xr:uid="{00000000-0005-0000-0000-0000C42D0000}"/>
    <cellStyle name="40% - Accent1 3 6 2 2" xfId="15596" xr:uid="{00000000-0005-0000-0000-0000C52D0000}"/>
    <cellStyle name="40% - Accent1 3 6 2 3" xfId="23542" xr:uid="{00000000-0005-0000-0000-0000C62D0000}"/>
    <cellStyle name="40% - Accent1 3 6 3" xfId="12058" xr:uid="{00000000-0005-0000-0000-0000C72D0000}"/>
    <cellStyle name="40% - Accent1 3 6 4" xfId="20013" xr:uid="{00000000-0005-0000-0000-0000C82D0000}"/>
    <cellStyle name="40% - Accent1 3 7" xfId="5853" xr:uid="{00000000-0005-0000-0000-0000C92D0000}"/>
    <cellStyle name="40% - Accent1 3 7 2" xfId="13837" xr:uid="{00000000-0005-0000-0000-0000CA2D0000}"/>
    <cellStyle name="40% - Accent1 3 7 3" xfId="21785" xr:uid="{00000000-0005-0000-0000-0000CB2D0000}"/>
    <cellStyle name="40% - Accent1 3 8" xfId="9406" xr:uid="{00000000-0005-0000-0000-0000CC2D0000}"/>
    <cellStyle name="40% - Accent1 3 8 2" xfId="17364" xr:uid="{00000000-0005-0000-0000-0000CD2D0000}"/>
    <cellStyle name="40% - Accent1 3 8 3" xfId="25308" xr:uid="{00000000-0005-0000-0000-0000CE2D0000}"/>
    <cellStyle name="40% - Accent1 3 9" xfId="10302" xr:uid="{00000000-0005-0000-0000-0000CF2D0000}"/>
    <cellStyle name="40% - Accent1 3_Exh G" xfId="2737" xr:uid="{00000000-0005-0000-0000-0000D02D0000}"/>
    <cellStyle name="40% - Accent1 4" xfId="358" xr:uid="{00000000-0005-0000-0000-0000D12D0000}"/>
    <cellStyle name="40% - Accent1 4 10" xfId="18261" xr:uid="{00000000-0005-0000-0000-0000D22D0000}"/>
    <cellStyle name="40% - Accent1 4 2" xfId="359" xr:uid="{00000000-0005-0000-0000-0000D32D0000}"/>
    <cellStyle name="40% - Accent1 4 2 2" xfId="360" xr:uid="{00000000-0005-0000-0000-0000D42D0000}"/>
    <cellStyle name="40% - Accent1 4 2 2 2" xfId="1388" xr:uid="{00000000-0005-0000-0000-0000D52D0000}"/>
    <cellStyle name="40% - Accent1 4 2 2 2 2" xfId="4918" xr:uid="{00000000-0005-0000-0000-0000D62D0000}"/>
    <cellStyle name="40% - Accent1 4 2 2 2 2 2" xfId="8509" xr:uid="{00000000-0005-0000-0000-0000D72D0000}"/>
    <cellStyle name="40% - Accent1 4 2 2 2 2 2 2" xfId="16480" xr:uid="{00000000-0005-0000-0000-0000D82D0000}"/>
    <cellStyle name="40% - Accent1 4 2 2 2 2 2 3" xfId="24426" xr:uid="{00000000-0005-0000-0000-0000D92D0000}"/>
    <cellStyle name="40% - Accent1 4 2 2 2 2 3" xfId="12942" xr:uid="{00000000-0005-0000-0000-0000DA2D0000}"/>
    <cellStyle name="40% - Accent1 4 2 2 2 2 4" xfId="20897" xr:uid="{00000000-0005-0000-0000-0000DB2D0000}"/>
    <cellStyle name="40% - Accent1 4 2 2 2 3" xfId="6750" xr:uid="{00000000-0005-0000-0000-0000DC2D0000}"/>
    <cellStyle name="40% - Accent1 4 2 2 2 3 2" xfId="14722" xr:uid="{00000000-0005-0000-0000-0000DD2D0000}"/>
    <cellStyle name="40% - Accent1 4 2 2 2 3 3" xfId="22669" xr:uid="{00000000-0005-0000-0000-0000DE2D0000}"/>
    <cellStyle name="40% - Accent1 4 2 2 2 4" xfId="11186" xr:uid="{00000000-0005-0000-0000-0000DF2D0000}"/>
    <cellStyle name="40% - Accent1 4 2 2 2 5" xfId="19141" xr:uid="{00000000-0005-0000-0000-0000E02D0000}"/>
    <cellStyle name="40% - Accent1 4 2 2 2_Exh G" xfId="2752" xr:uid="{00000000-0005-0000-0000-0000E12D0000}"/>
    <cellStyle name="40% - Accent1 4 2 2 3" xfId="4039" xr:uid="{00000000-0005-0000-0000-0000E22D0000}"/>
    <cellStyle name="40% - Accent1 4 2 2 3 2" xfId="7631" xr:uid="{00000000-0005-0000-0000-0000E32D0000}"/>
    <cellStyle name="40% - Accent1 4 2 2 3 2 2" xfId="15602" xr:uid="{00000000-0005-0000-0000-0000E42D0000}"/>
    <cellStyle name="40% - Accent1 4 2 2 3 2 3" xfId="23548" xr:uid="{00000000-0005-0000-0000-0000E52D0000}"/>
    <cellStyle name="40% - Accent1 4 2 2 3 3" xfId="12064" xr:uid="{00000000-0005-0000-0000-0000E62D0000}"/>
    <cellStyle name="40% - Accent1 4 2 2 3 4" xfId="20019" xr:uid="{00000000-0005-0000-0000-0000E72D0000}"/>
    <cellStyle name="40% - Accent1 4 2 2 4" xfId="5859" xr:uid="{00000000-0005-0000-0000-0000E82D0000}"/>
    <cellStyle name="40% - Accent1 4 2 2 4 2" xfId="13843" xr:uid="{00000000-0005-0000-0000-0000E92D0000}"/>
    <cellStyle name="40% - Accent1 4 2 2 4 3" xfId="21791" xr:uid="{00000000-0005-0000-0000-0000EA2D0000}"/>
    <cellStyle name="40% - Accent1 4 2 2 5" xfId="9412" xr:uid="{00000000-0005-0000-0000-0000EB2D0000}"/>
    <cellStyle name="40% - Accent1 4 2 2 5 2" xfId="17370" xr:uid="{00000000-0005-0000-0000-0000EC2D0000}"/>
    <cellStyle name="40% - Accent1 4 2 2 5 3" xfId="25314" xr:uid="{00000000-0005-0000-0000-0000ED2D0000}"/>
    <cellStyle name="40% - Accent1 4 2 2 6" xfId="10308" xr:uid="{00000000-0005-0000-0000-0000EE2D0000}"/>
    <cellStyle name="40% - Accent1 4 2 2 7" xfId="18263" xr:uid="{00000000-0005-0000-0000-0000EF2D0000}"/>
    <cellStyle name="40% - Accent1 4 2 2_Exh G" xfId="2751" xr:uid="{00000000-0005-0000-0000-0000F02D0000}"/>
    <cellStyle name="40% - Accent1 4 2 3" xfId="940" xr:uid="{00000000-0005-0000-0000-0000F12D0000}"/>
    <cellStyle name="40% - Accent1 4 2 3 2" xfId="1864" xr:uid="{00000000-0005-0000-0000-0000F22D0000}"/>
    <cellStyle name="40% - Accent1 4 2 3 2 2" xfId="5382" xr:uid="{00000000-0005-0000-0000-0000F32D0000}"/>
    <cellStyle name="40% - Accent1 4 2 3 2 2 2" xfId="8973" xr:uid="{00000000-0005-0000-0000-0000F42D0000}"/>
    <cellStyle name="40% - Accent1 4 2 3 2 2 2 2" xfId="16944" xr:uid="{00000000-0005-0000-0000-0000F52D0000}"/>
    <cellStyle name="40% - Accent1 4 2 3 2 2 2 3" xfId="24890" xr:uid="{00000000-0005-0000-0000-0000F62D0000}"/>
    <cellStyle name="40% - Accent1 4 2 3 2 2 3" xfId="13406" xr:uid="{00000000-0005-0000-0000-0000F72D0000}"/>
    <cellStyle name="40% - Accent1 4 2 3 2 2 4" xfId="21361" xr:uid="{00000000-0005-0000-0000-0000F82D0000}"/>
    <cellStyle name="40% - Accent1 4 2 3 2 3" xfId="7214" xr:uid="{00000000-0005-0000-0000-0000F92D0000}"/>
    <cellStyle name="40% - Accent1 4 2 3 2 3 2" xfId="15186" xr:uid="{00000000-0005-0000-0000-0000FA2D0000}"/>
    <cellStyle name="40% - Accent1 4 2 3 2 3 3" xfId="23133" xr:uid="{00000000-0005-0000-0000-0000FB2D0000}"/>
    <cellStyle name="40% - Accent1 4 2 3 2 4" xfId="11650" xr:uid="{00000000-0005-0000-0000-0000FC2D0000}"/>
    <cellStyle name="40% - Accent1 4 2 3 2 5" xfId="19605" xr:uid="{00000000-0005-0000-0000-0000FD2D0000}"/>
    <cellStyle name="40% - Accent1 4 2 3 2_Exh G" xfId="2754" xr:uid="{00000000-0005-0000-0000-0000FE2D0000}"/>
    <cellStyle name="40% - Accent1 4 2 3 3" xfId="4503" xr:uid="{00000000-0005-0000-0000-0000FF2D0000}"/>
    <cellStyle name="40% - Accent1 4 2 3 3 2" xfId="8095" xr:uid="{00000000-0005-0000-0000-0000002E0000}"/>
    <cellStyle name="40% - Accent1 4 2 3 3 2 2" xfId="16066" xr:uid="{00000000-0005-0000-0000-0000012E0000}"/>
    <cellStyle name="40% - Accent1 4 2 3 3 2 3" xfId="24012" xr:uid="{00000000-0005-0000-0000-0000022E0000}"/>
    <cellStyle name="40% - Accent1 4 2 3 3 3" xfId="12528" xr:uid="{00000000-0005-0000-0000-0000032E0000}"/>
    <cellStyle name="40% - Accent1 4 2 3 3 4" xfId="20483" xr:uid="{00000000-0005-0000-0000-0000042E0000}"/>
    <cellStyle name="40% - Accent1 4 2 3 4" xfId="6333" xr:uid="{00000000-0005-0000-0000-0000052E0000}"/>
    <cellStyle name="40% - Accent1 4 2 3 4 2" xfId="14308" xr:uid="{00000000-0005-0000-0000-0000062E0000}"/>
    <cellStyle name="40% - Accent1 4 2 3 4 3" xfId="22255" xr:uid="{00000000-0005-0000-0000-0000072E0000}"/>
    <cellStyle name="40% - Accent1 4 2 3 5" xfId="9876" xr:uid="{00000000-0005-0000-0000-0000082E0000}"/>
    <cellStyle name="40% - Accent1 4 2 3 5 2" xfId="17834" xr:uid="{00000000-0005-0000-0000-0000092E0000}"/>
    <cellStyle name="40% - Accent1 4 2 3 5 3" xfId="25778" xr:uid="{00000000-0005-0000-0000-00000A2E0000}"/>
    <cellStyle name="40% - Accent1 4 2 3 6" xfId="10772" xr:uid="{00000000-0005-0000-0000-00000B2E0000}"/>
    <cellStyle name="40% - Accent1 4 2 3 7" xfId="18727" xr:uid="{00000000-0005-0000-0000-00000C2E0000}"/>
    <cellStyle name="40% - Accent1 4 2 3_Exh G" xfId="2753" xr:uid="{00000000-0005-0000-0000-00000D2E0000}"/>
    <cellStyle name="40% - Accent1 4 2 4" xfId="1387" xr:uid="{00000000-0005-0000-0000-00000E2E0000}"/>
    <cellStyle name="40% - Accent1 4 2 4 2" xfId="4917" xr:uid="{00000000-0005-0000-0000-00000F2E0000}"/>
    <cellStyle name="40% - Accent1 4 2 4 2 2" xfId="8508" xr:uid="{00000000-0005-0000-0000-0000102E0000}"/>
    <cellStyle name="40% - Accent1 4 2 4 2 2 2" xfId="16479" xr:uid="{00000000-0005-0000-0000-0000112E0000}"/>
    <cellStyle name="40% - Accent1 4 2 4 2 2 3" xfId="24425" xr:uid="{00000000-0005-0000-0000-0000122E0000}"/>
    <cellStyle name="40% - Accent1 4 2 4 2 3" xfId="12941" xr:uid="{00000000-0005-0000-0000-0000132E0000}"/>
    <cellStyle name="40% - Accent1 4 2 4 2 4" xfId="20896" xr:uid="{00000000-0005-0000-0000-0000142E0000}"/>
    <cellStyle name="40% - Accent1 4 2 4 3" xfId="6749" xr:uid="{00000000-0005-0000-0000-0000152E0000}"/>
    <cellStyle name="40% - Accent1 4 2 4 3 2" xfId="14721" xr:uid="{00000000-0005-0000-0000-0000162E0000}"/>
    <cellStyle name="40% - Accent1 4 2 4 3 3" xfId="22668" xr:uid="{00000000-0005-0000-0000-0000172E0000}"/>
    <cellStyle name="40% - Accent1 4 2 4 4" xfId="11185" xr:uid="{00000000-0005-0000-0000-0000182E0000}"/>
    <cellStyle name="40% - Accent1 4 2 4 5" xfId="19140" xr:uid="{00000000-0005-0000-0000-0000192E0000}"/>
    <cellStyle name="40% - Accent1 4 2 4_Exh G" xfId="2755" xr:uid="{00000000-0005-0000-0000-00001A2E0000}"/>
    <cellStyle name="40% - Accent1 4 2 5" xfId="4038" xr:uid="{00000000-0005-0000-0000-00001B2E0000}"/>
    <cellStyle name="40% - Accent1 4 2 5 2" xfId="7630" xr:uid="{00000000-0005-0000-0000-00001C2E0000}"/>
    <cellStyle name="40% - Accent1 4 2 5 2 2" xfId="15601" xr:uid="{00000000-0005-0000-0000-00001D2E0000}"/>
    <cellStyle name="40% - Accent1 4 2 5 2 3" xfId="23547" xr:uid="{00000000-0005-0000-0000-00001E2E0000}"/>
    <cellStyle name="40% - Accent1 4 2 5 3" xfId="12063" xr:uid="{00000000-0005-0000-0000-00001F2E0000}"/>
    <cellStyle name="40% - Accent1 4 2 5 4" xfId="20018" xr:uid="{00000000-0005-0000-0000-0000202E0000}"/>
    <cellStyle name="40% - Accent1 4 2 6" xfId="5858" xr:uid="{00000000-0005-0000-0000-0000212E0000}"/>
    <cellStyle name="40% - Accent1 4 2 6 2" xfId="13842" xr:uid="{00000000-0005-0000-0000-0000222E0000}"/>
    <cellStyle name="40% - Accent1 4 2 6 3" xfId="21790" xr:uid="{00000000-0005-0000-0000-0000232E0000}"/>
    <cellStyle name="40% - Accent1 4 2 7" xfId="9411" xr:uid="{00000000-0005-0000-0000-0000242E0000}"/>
    <cellStyle name="40% - Accent1 4 2 7 2" xfId="17369" xr:uid="{00000000-0005-0000-0000-0000252E0000}"/>
    <cellStyle name="40% - Accent1 4 2 7 3" xfId="25313" xr:uid="{00000000-0005-0000-0000-0000262E0000}"/>
    <cellStyle name="40% - Accent1 4 2 8" xfId="10307" xr:uid="{00000000-0005-0000-0000-0000272E0000}"/>
    <cellStyle name="40% - Accent1 4 2 9" xfId="18262" xr:uid="{00000000-0005-0000-0000-0000282E0000}"/>
    <cellStyle name="40% - Accent1 4 2_Exh G" xfId="2750" xr:uid="{00000000-0005-0000-0000-0000292E0000}"/>
    <cellStyle name="40% - Accent1 4 3" xfId="361" xr:uid="{00000000-0005-0000-0000-00002A2E0000}"/>
    <cellStyle name="40% - Accent1 4 3 2" xfId="1389" xr:uid="{00000000-0005-0000-0000-00002B2E0000}"/>
    <cellStyle name="40% - Accent1 4 3 2 2" xfId="4919" xr:uid="{00000000-0005-0000-0000-00002C2E0000}"/>
    <cellStyle name="40% - Accent1 4 3 2 2 2" xfId="8510" xr:uid="{00000000-0005-0000-0000-00002D2E0000}"/>
    <cellStyle name="40% - Accent1 4 3 2 2 2 2" xfId="16481" xr:uid="{00000000-0005-0000-0000-00002E2E0000}"/>
    <cellStyle name="40% - Accent1 4 3 2 2 2 3" xfId="24427" xr:uid="{00000000-0005-0000-0000-00002F2E0000}"/>
    <cellStyle name="40% - Accent1 4 3 2 2 3" xfId="12943" xr:uid="{00000000-0005-0000-0000-0000302E0000}"/>
    <cellStyle name="40% - Accent1 4 3 2 2 4" xfId="20898" xr:uid="{00000000-0005-0000-0000-0000312E0000}"/>
    <cellStyle name="40% - Accent1 4 3 2 3" xfId="6751" xr:uid="{00000000-0005-0000-0000-0000322E0000}"/>
    <cellStyle name="40% - Accent1 4 3 2 3 2" xfId="14723" xr:uid="{00000000-0005-0000-0000-0000332E0000}"/>
    <cellStyle name="40% - Accent1 4 3 2 3 3" xfId="22670" xr:uid="{00000000-0005-0000-0000-0000342E0000}"/>
    <cellStyle name="40% - Accent1 4 3 2 4" xfId="11187" xr:uid="{00000000-0005-0000-0000-0000352E0000}"/>
    <cellStyle name="40% - Accent1 4 3 2 5" xfId="19142" xr:uid="{00000000-0005-0000-0000-0000362E0000}"/>
    <cellStyle name="40% - Accent1 4 3 2_Exh G" xfId="2757" xr:uid="{00000000-0005-0000-0000-0000372E0000}"/>
    <cellStyle name="40% - Accent1 4 3 3" xfId="4040" xr:uid="{00000000-0005-0000-0000-0000382E0000}"/>
    <cellStyle name="40% - Accent1 4 3 3 2" xfId="7632" xr:uid="{00000000-0005-0000-0000-0000392E0000}"/>
    <cellStyle name="40% - Accent1 4 3 3 2 2" xfId="15603" xr:uid="{00000000-0005-0000-0000-00003A2E0000}"/>
    <cellStyle name="40% - Accent1 4 3 3 2 3" xfId="23549" xr:uid="{00000000-0005-0000-0000-00003B2E0000}"/>
    <cellStyle name="40% - Accent1 4 3 3 3" xfId="12065" xr:uid="{00000000-0005-0000-0000-00003C2E0000}"/>
    <cellStyle name="40% - Accent1 4 3 3 4" xfId="20020" xr:uid="{00000000-0005-0000-0000-00003D2E0000}"/>
    <cellStyle name="40% - Accent1 4 3 4" xfId="5860" xr:uid="{00000000-0005-0000-0000-00003E2E0000}"/>
    <cellStyle name="40% - Accent1 4 3 4 2" xfId="13844" xr:uid="{00000000-0005-0000-0000-00003F2E0000}"/>
    <cellStyle name="40% - Accent1 4 3 4 3" xfId="21792" xr:uid="{00000000-0005-0000-0000-0000402E0000}"/>
    <cellStyle name="40% - Accent1 4 3 5" xfId="9413" xr:uid="{00000000-0005-0000-0000-0000412E0000}"/>
    <cellStyle name="40% - Accent1 4 3 5 2" xfId="17371" xr:uid="{00000000-0005-0000-0000-0000422E0000}"/>
    <cellStyle name="40% - Accent1 4 3 5 3" xfId="25315" xr:uid="{00000000-0005-0000-0000-0000432E0000}"/>
    <cellStyle name="40% - Accent1 4 3 6" xfId="10309" xr:uid="{00000000-0005-0000-0000-0000442E0000}"/>
    <cellStyle name="40% - Accent1 4 3 7" xfId="18264" xr:uid="{00000000-0005-0000-0000-0000452E0000}"/>
    <cellStyle name="40% - Accent1 4 3_Exh G" xfId="2756" xr:uid="{00000000-0005-0000-0000-0000462E0000}"/>
    <cellStyle name="40% - Accent1 4 4" xfId="939" xr:uid="{00000000-0005-0000-0000-0000472E0000}"/>
    <cellStyle name="40% - Accent1 4 4 2" xfId="1863" xr:uid="{00000000-0005-0000-0000-0000482E0000}"/>
    <cellStyle name="40% - Accent1 4 4 2 2" xfId="5381" xr:uid="{00000000-0005-0000-0000-0000492E0000}"/>
    <cellStyle name="40% - Accent1 4 4 2 2 2" xfId="8972" xr:uid="{00000000-0005-0000-0000-00004A2E0000}"/>
    <cellStyle name="40% - Accent1 4 4 2 2 2 2" xfId="16943" xr:uid="{00000000-0005-0000-0000-00004B2E0000}"/>
    <cellStyle name="40% - Accent1 4 4 2 2 2 3" xfId="24889" xr:uid="{00000000-0005-0000-0000-00004C2E0000}"/>
    <cellStyle name="40% - Accent1 4 4 2 2 3" xfId="13405" xr:uid="{00000000-0005-0000-0000-00004D2E0000}"/>
    <cellStyle name="40% - Accent1 4 4 2 2 4" xfId="21360" xr:uid="{00000000-0005-0000-0000-00004E2E0000}"/>
    <cellStyle name="40% - Accent1 4 4 2 3" xfId="7213" xr:uid="{00000000-0005-0000-0000-00004F2E0000}"/>
    <cellStyle name="40% - Accent1 4 4 2 3 2" xfId="15185" xr:uid="{00000000-0005-0000-0000-0000502E0000}"/>
    <cellStyle name="40% - Accent1 4 4 2 3 3" xfId="23132" xr:uid="{00000000-0005-0000-0000-0000512E0000}"/>
    <cellStyle name="40% - Accent1 4 4 2 4" xfId="11649" xr:uid="{00000000-0005-0000-0000-0000522E0000}"/>
    <cellStyle name="40% - Accent1 4 4 2 5" xfId="19604" xr:uid="{00000000-0005-0000-0000-0000532E0000}"/>
    <cellStyle name="40% - Accent1 4 4 2_Exh G" xfId="2759" xr:uid="{00000000-0005-0000-0000-0000542E0000}"/>
    <cellStyle name="40% - Accent1 4 4 3" xfId="4502" xr:uid="{00000000-0005-0000-0000-0000552E0000}"/>
    <cellStyle name="40% - Accent1 4 4 3 2" xfId="8094" xr:uid="{00000000-0005-0000-0000-0000562E0000}"/>
    <cellStyle name="40% - Accent1 4 4 3 2 2" xfId="16065" xr:uid="{00000000-0005-0000-0000-0000572E0000}"/>
    <cellStyle name="40% - Accent1 4 4 3 2 3" xfId="24011" xr:uid="{00000000-0005-0000-0000-0000582E0000}"/>
    <cellStyle name="40% - Accent1 4 4 3 3" xfId="12527" xr:uid="{00000000-0005-0000-0000-0000592E0000}"/>
    <cellStyle name="40% - Accent1 4 4 3 4" xfId="20482" xr:uid="{00000000-0005-0000-0000-00005A2E0000}"/>
    <cellStyle name="40% - Accent1 4 4 4" xfId="6332" xr:uid="{00000000-0005-0000-0000-00005B2E0000}"/>
    <cellStyle name="40% - Accent1 4 4 4 2" xfId="14307" xr:uid="{00000000-0005-0000-0000-00005C2E0000}"/>
    <cellStyle name="40% - Accent1 4 4 4 3" xfId="22254" xr:uid="{00000000-0005-0000-0000-00005D2E0000}"/>
    <cellStyle name="40% - Accent1 4 4 5" xfId="9875" xr:uid="{00000000-0005-0000-0000-00005E2E0000}"/>
    <cellStyle name="40% - Accent1 4 4 5 2" xfId="17833" xr:uid="{00000000-0005-0000-0000-00005F2E0000}"/>
    <cellStyle name="40% - Accent1 4 4 5 3" xfId="25777" xr:uid="{00000000-0005-0000-0000-0000602E0000}"/>
    <cellStyle name="40% - Accent1 4 4 6" xfId="10771" xr:uid="{00000000-0005-0000-0000-0000612E0000}"/>
    <cellStyle name="40% - Accent1 4 4 7" xfId="18726" xr:uid="{00000000-0005-0000-0000-0000622E0000}"/>
    <cellStyle name="40% - Accent1 4 4_Exh G" xfId="2758" xr:uid="{00000000-0005-0000-0000-0000632E0000}"/>
    <cellStyle name="40% - Accent1 4 5" xfId="1386" xr:uid="{00000000-0005-0000-0000-0000642E0000}"/>
    <cellStyle name="40% - Accent1 4 5 2" xfId="4916" xr:uid="{00000000-0005-0000-0000-0000652E0000}"/>
    <cellStyle name="40% - Accent1 4 5 2 2" xfId="8507" xr:uid="{00000000-0005-0000-0000-0000662E0000}"/>
    <cellStyle name="40% - Accent1 4 5 2 2 2" xfId="16478" xr:uid="{00000000-0005-0000-0000-0000672E0000}"/>
    <cellStyle name="40% - Accent1 4 5 2 2 3" xfId="24424" xr:uid="{00000000-0005-0000-0000-0000682E0000}"/>
    <cellStyle name="40% - Accent1 4 5 2 3" xfId="12940" xr:uid="{00000000-0005-0000-0000-0000692E0000}"/>
    <cellStyle name="40% - Accent1 4 5 2 4" xfId="20895" xr:uid="{00000000-0005-0000-0000-00006A2E0000}"/>
    <cellStyle name="40% - Accent1 4 5 3" xfId="6748" xr:uid="{00000000-0005-0000-0000-00006B2E0000}"/>
    <cellStyle name="40% - Accent1 4 5 3 2" xfId="14720" xr:uid="{00000000-0005-0000-0000-00006C2E0000}"/>
    <cellStyle name="40% - Accent1 4 5 3 3" xfId="22667" xr:uid="{00000000-0005-0000-0000-00006D2E0000}"/>
    <cellStyle name="40% - Accent1 4 5 4" xfId="11184" xr:uid="{00000000-0005-0000-0000-00006E2E0000}"/>
    <cellStyle name="40% - Accent1 4 5 5" xfId="19139" xr:uid="{00000000-0005-0000-0000-00006F2E0000}"/>
    <cellStyle name="40% - Accent1 4 5_Exh G" xfId="2760" xr:uid="{00000000-0005-0000-0000-0000702E0000}"/>
    <cellStyle name="40% - Accent1 4 6" xfId="4037" xr:uid="{00000000-0005-0000-0000-0000712E0000}"/>
    <cellStyle name="40% - Accent1 4 6 2" xfId="7629" xr:uid="{00000000-0005-0000-0000-0000722E0000}"/>
    <cellStyle name="40% - Accent1 4 6 2 2" xfId="15600" xr:uid="{00000000-0005-0000-0000-0000732E0000}"/>
    <cellStyle name="40% - Accent1 4 6 2 3" xfId="23546" xr:uid="{00000000-0005-0000-0000-0000742E0000}"/>
    <cellStyle name="40% - Accent1 4 6 3" xfId="12062" xr:uid="{00000000-0005-0000-0000-0000752E0000}"/>
    <cellStyle name="40% - Accent1 4 6 4" xfId="20017" xr:uid="{00000000-0005-0000-0000-0000762E0000}"/>
    <cellStyle name="40% - Accent1 4 7" xfId="5857" xr:uid="{00000000-0005-0000-0000-0000772E0000}"/>
    <cellStyle name="40% - Accent1 4 7 2" xfId="13841" xr:uid="{00000000-0005-0000-0000-0000782E0000}"/>
    <cellStyle name="40% - Accent1 4 7 3" xfId="21789" xr:uid="{00000000-0005-0000-0000-0000792E0000}"/>
    <cellStyle name="40% - Accent1 4 8" xfId="9410" xr:uid="{00000000-0005-0000-0000-00007A2E0000}"/>
    <cellStyle name="40% - Accent1 4 8 2" xfId="17368" xr:uid="{00000000-0005-0000-0000-00007B2E0000}"/>
    <cellStyle name="40% - Accent1 4 8 3" xfId="25312" xr:uid="{00000000-0005-0000-0000-00007C2E0000}"/>
    <cellStyle name="40% - Accent1 4 9" xfId="10306" xr:uid="{00000000-0005-0000-0000-00007D2E0000}"/>
    <cellStyle name="40% - Accent1 4_Exh G" xfId="2749" xr:uid="{00000000-0005-0000-0000-00007E2E0000}"/>
    <cellStyle name="40% - Accent1 5" xfId="362" xr:uid="{00000000-0005-0000-0000-00007F2E0000}"/>
    <cellStyle name="40% - Accent1 5 10" xfId="18265" xr:uid="{00000000-0005-0000-0000-0000802E0000}"/>
    <cellStyle name="40% - Accent1 5 2" xfId="363" xr:uid="{00000000-0005-0000-0000-0000812E0000}"/>
    <cellStyle name="40% - Accent1 5 2 2" xfId="364" xr:uid="{00000000-0005-0000-0000-0000822E0000}"/>
    <cellStyle name="40% - Accent1 5 2 2 2" xfId="1392" xr:uid="{00000000-0005-0000-0000-0000832E0000}"/>
    <cellStyle name="40% - Accent1 5 2 2 2 2" xfId="4922" xr:uid="{00000000-0005-0000-0000-0000842E0000}"/>
    <cellStyle name="40% - Accent1 5 2 2 2 2 2" xfId="8513" xr:uid="{00000000-0005-0000-0000-0000852E0000}"/>
    <cellStyle name="40% - Accent1 5 2 2 2 2 2 2" xfId="16484" xr:uid="{00000000-0005-0000-0000-0000862E0000}"/>
    <cellStyle name="40% - Accent1 5 2 2 2 2 2 3" xfId="24430" xr:uid="{00000000-0005-0000-0000-0000872E0000}"/>
    <cellStyle name="40% - Accent1 5 2 2 2 2 3" xfId="12946" xr:uid="{00000000-0005-0000-0000-0000882E0000}"/>
    <cellStyle name="40% - Accent1 5 2 2 2 2 4" xfId="20901" xr:uid="{00000000-0005-0000-0000-0000892E0000}"/>
    <cellStyle name="40% - Accent1 5 2 2 2 3" xfId="6754" xr:uid="{00000000-0005-0000-0000-00008A2E0000}"/>
    <cellStyle name="40% - Accent1 5 2 2 2 3 2" xfId="14726" xr:uid="{00000000-0005-0000-0000-00008B2E0000}"/>
    <cellStyle name="40% - Accent1 5 2 2 2 3 3" xfId="22673" xr:uid="{00000000-0005-0000-0000-00008C2E0000}"/>
    <cellStyle name="40% - Accent1 5 2 2 2 4" xfId="11190" xr:uid="{00000000-0005-0000-0000-00008D2E0000}"/>
    <cellStyle name="40% - Accent1 5 2 2 2 5" xfId="19145" xr:uid="{00000000-0005-0000-0000-00008E2E0000}"/>
    <cellStyle name="40% - Accent1 5 2 2 2_Exh G" xfId="2764" xr:uid="{00000000-0005-0000-0000-00008F2E0000}"/>
    <cellStyle name="40% - Accent1 5 2 2 3" xfId="4043" xr:uid="{00000000-0005-0000-0000-0000902E0000}"/>
    <cellStyle name="40% - Accent1 5 2 2 3 2" xfId="7635" xr:uid="{00000000-0005-0000-0000-0000912E0000}"/>
    <cellStyle name="40% - Accent1 5 2 2 3 2 2" xfId="15606" xr:uid="{00000000-0005-0000-0000-0000922E0000}"/>
    <cellStyle name="40% - Accent1 5 2 2 3 2 3" xfId="23552" xr:uid="{00000000-0005-0000-0000-0000932E0000}"/>
    <cellStyle name="40% - Accent1 5 2 2 3 3" xfId="12068" xr:uid="{00000000-0005-0000-0000-0000942E0000}"/>
    <cellStyle name="40% - Accent1 5 2 2 3 4" xfId="20023" xr:uid="{00000000-0005-0000-0000-0000952E0000}"/>
    <cellStyle name="40% - Accent1 5 2 2 4" xfId="5863" xr:uid="{00000000-0005-0000-0000-0000962E0000}"/>
    <cellStyle name="40% - Accent1 5 2 2 4 2" xfId="13847" xr:uid="{00000000-0005-0000-0000-0000972E0000}"/>
    <cellStyle name="40% - Accent1 5 2 2 4 3" xfId="21795" xr:uid="{00000000-0005-0000-0000-0000982E0000}"/>
    <cellStyle name="40% - Accent1 5 2 2 5" xfId="9416" xr:uid="{00000000-0005-0000-0000-0000992E0000}"/>
    <cellStyle name="40% - Accent1 5 2 2 5 2" xfId="17374" xr:uid="{00000000-0005-0000-0000-00009A2E0000}"/>
    <cellStyle name="40% - Accent1 5 2 2 5 3" xfId="25318" xr:uid="{00000000-0005-0000-0000-00009B2E0000}"/>
    <cellStyle name="40% - Accent1 5 2 2 6" xfId="10312" xr:uid="{00000000-0005-0000-0000-00009C2E0000}"/>
    <cellStyle name="40% - Accent1 5 2 2 7" xfId="18267" xr:uid="{00000000-0005-0000-0000-00009D2E0000}"/>
    <cellStyle name="40% - Accent1 5 2 2_Exh G" xfId="2763" xr:uid="{00000000-0005-0000-0000-00009E2E0000}"/>
    <cellStyle name="40% - Accent1 5 2 3" xfId="1391" xr:uid="{00000000-0005-0000-0000-00009F2E0000}"/>
    <cellStyle name="40% - Accent1 5 2 3 2" xfId="4921" xr:uid="{00000000-0005-0000-0000-0000A02E0000}"/>
    <cellStyle name="40% - Accent1 5 2 3 2 2" xfId="8512" xr:uid="{00000000-0005-0000-0000-0000A12E0000}"/>
    <cellStyle name="40% - Accent1 5 2 3 2 2 2" xfId="16483" xr:uid="{00000000-0005-0000-0000-0000A22E0000}"/>
    <cellStyle name="40% - Accent1 5 2 3 2 2 3" xfId="24429" xr:uid="{00000000-0005-0000-0000-0000A32E0000}"/>
    <cellStyle name="40% - Accent1 5 2 3 2 3" xfId="12945" xr:uid="{00000000-0005-0000-0000-0000A42E0000}"/>
    <cellStyle name="40% - Accent1 5 2 3 2 4" xfId="20900" xr:uid="{00000000-0005-0000-0000-0000A52E0000}"/>
    <cellStyle name="40% - Accent1 5 2 3 3" xfId="6753" xr:uid="{00000000-0005-0000-0000-0000A62E0000}"/>
    <cellStyle name="40% - Accent1 5 2 3 3 2" xfId="14725" xr:uid="{00000000-0005-0000-0000-0000A72E0000}"/>
    <cellStyle name="40% - Accent1 5 2 3 3 3" xfId="22672" xr:uid="{00000000-0005-0000-0000-0000A82E0000}"/>
    <cellStyle name="40% - Accent1 5 2 3 4" xfId="11189" xr:uid="{00000000-0005-0000-0000-0000A92E0000}"/>
    <cellStyle name="40% - Accent1 5 2 3 5" xfId="19144" xr:uid="{00000000-0005-0000-0000-0000AA2E0000}"/>
    <cellStyle name="40% - Accent1 5 2 3_Exh G" xfId="2765" xr:uid="{00000000-0005-0000-0000-0000AB2E0000}"/>
    <cellStyle name="40% - Accent1 5 2 4" xfId="4042" xr:uid="{00000000-0005-0000-0000-0000AC2E0000}"/>
    <cellStyle name="40% - Accent1 5 2 4 2" xfId="7634" xr:uid="{00000000-0005-0000-0000-0000AD2E0000}"/>
    <cellStyle name="40% - Accent1 5 2 4 2 2" xfId="15605" xr:uid="{00000000-0005-0000-0000-0000AE2E0000}"/>
    <cellStyle name="40% - Accent1 5 2 4 2 3" xfId="23551" xr:uid="{00000000-0005-0000-0000-0000AF2E0000}"/>
    <cellStyle name="40% - Accent1 5 2 4 3" xfId="12067" xr:uid="{00000000-0005-0000-0000-0000B02E0000}"/>
    <cellStyle name="40% - Accent1 5 2 4 4" xfId="20022" xr:uid="{00000000-0005-0000-0000-0000B12E0000}"/>
    <cellStyle name="40% - Accent1 5 2 5" xfId="5862" xr:uid="{00000000-0005-0000-0000-0000B22E0000}"/>
    <cellStyle name="40% - Accent1 5 2 5 2" xfId="13846" xr:uid="{00000000-0005-0000-0000-0000B32E0000}"/>
    <cellStyle name="40% - Accent1 5 2 5 3" xfId="21794" xr:uid="{00000000-0005-0000-0000-0000B42E0000}"/>
    <cellStyle name="40% - Accent1 5 2 6" xfId="9415" xr:uid="{00000000-0005-0000-0000-0000B52E0000}"/>
    <cellStyle name="40% - Accent1 5 2 6 2" xfId="17373" xr:uid="{00000000-0005-0000-0000-0000B62E0000}"/>
    <cellStyle name="40% - Accent1 5 2 6 3" xfId="25317" xr:uid="{00000000-0005-0000-0000-0000B72E0000}"/>
    <cellStyle name="40% - Accent1 5 2 7" xfId="10311" xr:uid="{00000000-0005-0000-0000-0000B82E0000}"/>
    <cellStyle name="40% - Accent1 5 2 8" xfId="18266" xr:uid="{00000000-0005-0000-0000-0000B92E0000}"/>
    <cellStyle name="40% - Accent1 5 2_Exh G" xfId="2762" xr:uid="{00000000-0005-0000-0000-0000BA2E0000}"/>
    <cellStyle name="40% - Accent1 5 3" xfId="365" xr:uid="{00000000-0005-0000-0000-0000BB2E0000}"/>
    <cellStyle name="40% - Accent1 5 3 2" xfId="1393" xr:uid="{00000000-0005-0000-0000-0000BC2E0000}"/>
    <cellStyle name="40% - Accent1 5 3 2 2" xfId="4923" xr:uid="{00000000-0005-0000-0000-0000BD2E0000}"/>
    <cellStyle name="40% - Accent1 5 3 2 2 2" xfId="8514" xr:uid="{00000000-0005-0000-0000-0000BE2E0000}"/>
    <cellStyle name="40% - Accent1 5 3 2 2 2 2" xfId="16485" xr:uid="{00000000-0005-0000-0000-0000BF2E0000}"/>
    <cellStyle name="40% - Accent1 5 3 2 2 2 3" xfId="24431" xr:uid="{00000000-0005-0000-0000-0000C02E0000}"/>
    <cellStyle name="40% - Accent1 5 3 2 2 3" xfId="12947" xr:uid="{00000000-0005-0000-0000-0000C12E0000}"/>
    <cellStyle name="40% - Accent1 5 3 2 2 4" xfId="20902" xr:uid="{00000000-0005-0000-0000-0000C22E0000}"/>
    <cellStyle name="40% - Accent1 5 3 2 3" xfId="6755" xr:uid="{00000000-0005-0000-0000-0000C32E0000}"/>
    <cellStyle name="40% - Accent1 5 3 2 3 2" xfId="14727" xr:uid="{00000000-0005-0000-0000-0000C42E0000}"/>
    <cellStyle name="40% - Accent1 5 3 2 3 3" xfId="22674" xr:uid="{00000000-0005-0000-0000-0000C52E0000}"/>
    <cellStyle name="40% - Accent1 5 3 2 4" xfId="11191" xr:uid="{00000000-0005-0000-0000-0000C62E0000}"/>
    <cellStyle name="40% - Accent1 5 3 2 5" xfId="19146" xr:uid="{00000000-0005-0000-0000-0000C72E0000}"/>
    <cellStyle name="40% - Accent1 5 3 2_Exh G" xfId="2767" xr:uid="{00000000-0005-0000-0000-0000C82E0000}"/>
    <cellStyle name="40% - Accent1 5 3 3" xfId="4044" xr:uid="{00000000-0005-0000-0000-0000C92E0000}"/>
    <cellStyle name="40% - Accent1 5 3 3 2" xfId="7636" xr:uid="{00000000-0005-0000-0000-0000CA2E0000}"/>
    <cellStyle name="40% - Accent1 5 3 3 2 2" xfId="15607" xr:uid="{00000000-0005-0000-0000-0000CB2E0000}"/>
    <cellStyle name="40% - Accent1 5 3 3 2 3" xfId="23553" xr:uid="{00000000-0005-0000-0000-0000CC2E0000}"/>
    <cellStyle name="40% - Accent1 5 3 3 3" xfId="12069" xr:uid="{00000000-0005-0000-0000-0000CD2E0000}"/>
    <cellStyle name="40% - Accent1 5 3 3 4" xfId="20024" xr:uid="{00000000-0005-0000-0000-0000CE2E0000}"/>
    <cellStyle name="40% - Accent1 5 3 4" xfId="5864" xr:uid="{00000000-0005-0000-0000-0000CF2E0000}"/>
    <cellStyle name="40% - Accent1 5 3 4 2" xfId="13848" xr:uid="{00000000-0005-0000-0000-0000D02E0000}"/>
    <cellStyle name="40% - Accent1 5 3 4 3" xfId="21796" xr:uid="{00000000-0005-0000-0000-0000D12E0000}"/>
    <cellStyle name="40% - Accent1 5 3 5" xfId="9417" xr:uid="{00000000-0005-0000-0000-0000D22E0000}"/>
    <cellStyle name="40% - Accent1 5 3 5 2" xfId="17375" xr:uid="{00000000-0005-0000-0000-0000D32E0000}"/>
    <cellStyle name="40% - Accent1 5 3 5 3" xfId="25319" xr:uid="{00000000-0005-0000-0000-0000D42E0000}"/>
    <cellStyle name="40% - Accent1 5 3 6" xfId="10313" xr:uid="{00000000-0005-0000-0000-0000D52E0000}"/>
    <cellStyle name="40% - Accent1 5 3 7" xfId="18268" xr:uid="{00000000-0005-0000-0000-0000D62E0000}"/>
    <cellStyle name="40% - Accent1 5 3_Exh G" xfId="2766" xr:uid="{00000000-0005-0000-0000-0000D72E0000}"/>
    <cellStyle name="40% - Accent1 5 4" xfId="941" xr:uid="{00000000-0005-0000-0000-0000D82E0000}"/>
    <cellStyle name="40% - Accent1 5 5" xfId="1390" xr:uid="{00000000-0005-0000-0000-0000D92E0000}"/>
    <cellStyle name="40% - Accent1 5 5 2" xfId="4920" xr:uid="{00000000-0005-0000-0000-0000DA2E0000}"/>
    <cellStyle name="40% - Accent1 5 5 2 2" xfId="8511" xr:uid="{00000000-0005-0000-0000-0000DB2E0000}"/>
    <cellStyle name="40% - Accent1 5 5 2 2 2" xfId="16482" xr:uid="{00000000-0005-0000-0000-0000DC2E0000}"/>
    <cellStyle name="40% - Accent1 5 5 2 2 3" xfId="24428" xr:uid="{00000000-0005-0000-0000-0000DD2E0000}"/>
    <cellStyle name="40% - Accent1 5 5 2 3" xfId="12944" xr:uid="{00000000-0005-0000-0000-0000DE2E0000}"/>
    <cellStyle name="40% - Accent1 5 5 2 4" xfId="20899" xr:uid="{00000000-0005-0000-0000-0000DF2E0000}"/>
    <cellStyle name="40% - Accent1 5 5 3" xfId="6752" xr:uid="{00000000-0005-0000-0000-0000E02E0000}"/>
    <cellStyle name="40% - Accent1 5 5 3 2" xfId="14724" xr:uid="{00000000-0005-0000-0000-0000E12E0000}"/>
    <cellStyle name="40% - Accent1 5 5 3 3" xfId="22671" xr:uid="{00000000-0005-0000-0000-0000E22E0000}"/>
    <cellStyle name="40% - Accent1 5 5 4" xfId="11188" xr:uid="{00000000-0005-0000-0000-0000E32E0000}"/>
    <cellStyle name="40% - Accent1 5 5 5" xfId="19143" xr:uid="{00000000-0005-0000-0000-0000E42E0000}"/>
    <cellStyle name="40% - Accent1 5 5_Exh G" xfId="2768" xr:uid="{00000000-0005-0000-0000-0000E52E0000}"/>
    <cellStyle name="40% - Accent1 5 6" xfId="4041" xr:uid="{00000000-0005-0000-0000-0000E62E0000}"/>
    <cellStyle name="40% - Accent1 5 6 2" xfId="7633" xr:uid="{00000000-0005-0000-0000-0000E72E0000}"/>
    <cellStyle name="40% - Accent1 5 6 2 2" xfId="15604" xr:uid="{00000000-0005-0000-0000-0000E82E0000}"/>
    <cellStyle name="40% - Accent1 5 6 2 3" xfId="23550" xr:uid="{00000000-0005-0000-0000-0000E92E0000}"/>
    <cellStyle name="40% - Accent1 5 6 3" xfId="12066" xr:uid="{00000000-0005-0000-0000-0000EA2E0000}"/>
    <cellStyle name="40% - Accent1 5 6 4" xfId="20021" xr:uid="{00000000-0005-0000-0000-0000EB2E0000}"/>
    <cellStyle name="40% - Accent1 5 7" xfId="5861" xr:uid="{00000000-0005-0000-0000-0000EC2E0000}"/>
    <cellStyle name="40% - Accent1 5 7 2" xfId="13845" xr:uid="{00000000-0005-0000-0000-0000ED2E0000}"/>
    <cellStyle name="40% - Accent1 5 7 3" xfId="21793" xr:uid="{00000000-0005-0000-0000-0000EE2E0000}"/>
    <cellStyle name="40% - Accent1 5 8" xfId="9414" xr:uid="{00000000-0005-0000-0000-0000EF2E0000}"/>
    <cellStyle name="40% - Accent1 5 8 2" xfId="17372" xr:uid="{00000000-0005-0000-0000-0000F02E0000}"/>
    <cellStyle name="40% - Accent1 5 8 3" xfId="25316" xr:uid="{00000000-0005-0000-0000-0000F12E0000}"/>
    <cellStyle name="40% - Accent1 5 9" xfId="10310" xr:uid="{00000000-0005-0000-0000-0000F22E0000}"/>
    <cellStyle name="40% - Accent1 5_Exh G" xfId="2761" xr:uid="{00000000-0005-0000-0000-0000F32E0000}"/>
    <cellStyle name="40% - Accent1 6" xfId="366" xr:uid="{00000000-0005-0000-0000-0000F42E0000}"/>
    <cellStyle name="40% - Accent1 6 10" xfId="18269" xr:uid="{00000000-0005-0000-0000-0000F52E0000}"/>
    <cellStyle name="40% - Accent1 6 2" xfId="367" xr:uid="{00000000-0005-0000-0000-0000F62E0000}"/>
    <cellStyle name="40% - Accent1 6 2 2" xfId="368" xr:uid="{00000000-0005-0000-0000-0000F72E0000}"/>
    <cellStyle name="40% - Accent1 6 2 2 2" xfId="1396" xr:uid="{00000000-0005-0000-0000-0000F82E0000}"/>
    <cellStyle name="40% - Accent1 6 2 2 2 2" xfId="4926" xr:uid="{00000000-0005-0000-0000-0000F92E0000}"/>
    <cellStyle name="40% - Accent1 6 2 2 2 2 2" xfId="8517" xr:uid="{00000000-0005-0000-0000-0000FA2E0000}"/>
    <cellStyle name="40% - Accent1 6 2 2 2 2 2 2" xfId="16488" xr:uid="{00000000-0005-0000-0000-0000FB2E0000}"/>
    <cellStyle name="40% - Accent1 6 2 2 2 2 2 3" xfId="24434" xr:uid="{00000000-0005-0000-0000-0000FC2E0000}"/>
    <cellStyle name="40% - Accent1 6 2 2 2 2 3" xfId="12950" xr:uid="{00000000-0005-0000-0000-0000FD2E0000}"/>
    <cellStyle name="40% - Accent1 6 2 2 2 2 4" xfId="20905" xr:uid="{00000000-0005-0000-0000-0000FE2E0000}"/>
    <cellStyle name="40% - Accent1 6 2 2 2 3" xfId="6758" xr:uid="{00000000-0005-0000-0000-0000FF2E0000}"/>
    <cellStyle name="40% - Accent1 6 2 2 2 3 2" xfId="14730" xr:uid="{00000000-0005-0000-0000-0000002F0000}"/>
    <cellStyle name="40% - Accent1 6 2 2 2 3 3" xfId="22677" xr:uid="{00000000-0005-0000-0000-0000012F0000}"/>
    <cellStyle name="40% - Accent1 6 2 2 2 4" xfId="11194" xr:uid="{00000000-0005-0000-0000-0000022F0000}"/>
    <cellStyle name="40% - Accent1 6 2 2 2 5" xfId="19149" xr:uid="{00000000-0005-0000-0000-0000032F0000}"/>
    <cellStyle name="40% - Accent1 6 2 2 2_Exh G" xfId="2772" xr:uid="{00000000-0005-0000-0000-0000042F0000}"/>
    <cellStyle name="40% - Accent1 6 2 2 3" xfId="4047" xr:uid="{00000000-0005-0000-0000-0000052F0000}"/>
    <cellStyle name="40% - Accent1 6 2 2 3 2" xfId="7639" xr:uid="{00000000-0005-0000-0000-0000062F0000}"/>
    <cellStyle name="40% - Accent1 6 2 2 3 2 2" xfId="15610" xr:uid="{00000000-0005-0000-0000-0000072F0000}"/>
    <cellStyle name="40% - Accent1 6 2 2 3 2 3" xfId="23556" xr:uid="{00000000-0005-0000-0000-0000082F0000}"/>
    <cellStyle name="40% - Accent1 6 2 2 3 3" xfId="12072" xr:uid="{00000000-0005-0000-0000-0000092F0000}"/>
    <cellStyle name="40% - Accent1 6 2 2 3 4" xfId="20027" xr:uid="{00000000-0005-0000-0000-00000A2F0000}"/>
    <cellStyle name="40% - Accent1 6 2 2 4" xfId="5867" xr:uid="{00000000-0005-0000-0000-00000B2F0000}"/>
    <cellStyle name="40% - Accent1 6 2 2 4 2" xfId="13851" xr:uid="{00000000-0005-0000-0000-00000C2F0000}"/>
    <cellStyle name="40% - Accent1 6 2 2 4 3" xfId="21799" xr:uid="{00000000-0005-0000-0000-00000D2F0000}"/>
    <cellStyle name="40% - Accent1 6 2 2 5" xfId="9420" xr:uid="{00000000-0005-0000-0000-00000E2F0000}"/>
    <cellStyle name="40% - Accent1 6 2 2 5 2" xfId="17378" xr:uid="{00000000-0005-0000-0000-00000F2F0000}"/>
    <cellStyle name="40% - Accent1 6 2 2 5 3" xfId="25322" xr:uid="{00000000-0005-0000-0000-0000102F0000}"/>
    <cellStyle name="40% - Accent1 6 2 2 6" xfId="10316" xr:uid="{00000000-0005-0000-0000-0000112F0000}"/>
    <cellStyle name="40% - Accent1 6 2 2 7" xfId="18271" xr:uid="{00000000-0005-0000-0000-0000122F0000}"/>
    <cellStyle name="40% - Accent1 6 2 2_Exh G" xfId="2771" xr:uid="{00000000-0005-0000-0000-0000132F0000}"/>
    <cellStyle name="40% - Accent1 6 2 3" xfId="1395" xr:uid="{00000000-0005-0000-0000-0000142F0000}"/>
    <cellStyle name="40% - Accent1 6 2 3 2" xfId="4925" xr:uid="{00000000-0005-0000-0000-0000152F0000}"/>
    <cellStyle name="40% - Accent1 6 2 3 2 2" xfId="8516" xr:uid="{00000000-0005-0000-0000-0000162F0000}"/>
    <cellStyle name="40% - Accent1 6 2 3 2 2 2" xfId="16487" xr:uid="{00000000-0005-0000-0000-0000172F0000}"/>
    <cellStyle name="40% - Accent1 6 2 3 2 2 3" xfId="24433" xr:uid="{00000000-0005-0000-0000-0000182F0000}"/>
    <cellStyle name="40% - Accent1 6 2 3 2 3" xfId="12949" xr:uid="{00000000-0005-0000-0000-0000192F0000}"/>
    <cellStyle name="40% - Accent1 6 2 3 2 4" xfId="20904" xr:uid="{00000000-0005-0000-0000-00001A2F0000}"/>
    <cellStyle name="40% - Accent1 6 2 3 3" xfId="6757" xr:uid="{00000000-0005-0000-0000-00001B2F0000}"/>
    <cellStyle name="40% - Accent1 6 2 3 3 2" xfId="14729" xr:uid="{00000000-0005-0000-0000-00001C2F0000}"/>
    <cellStyle name="40% - Accent1 6 2 3 3 3" xfId="22676" xr:uid="{00000000-0005-0000-0000-00001D2F0000}"/>
    <cellStyle name="40% - Accent1 6 2 3 4" xfId="11193" xr:uid="{00000000-0005-0000-0000-00001E2F0000}"/>
    <cellStyle name="40% - Accent1 6 2 3 5" xfId="19148" xr:uid="{00000000-0005-0000-0000-00001F2F0000}"/>
    <cellStyle name="40% - Accent1 6 2 3_Exh G" xfId="2773" xr:uid="{00000000-0005-0000-0000-0000202F0000}"/>
    <cellStyle name="40% - Accent1 6 2 4" xfId="4046" xr:uid="{00000000-0005-0000-0000-0000212F0000}"/>
    <cellStyle name="40% - Accent1 6 2 4 2" xfId="7638" xr:uid="{00000000-0005-0000-0000-0000222F0000}"/>
    <cellStyle name="40% - Accent1 6 2 4 2 2" xfId="15609" xr:uid="{00000000-0005-0000-0000-0000232F0000}"/>
    <cellStyle name="40% - Accent1 6 2 4 2 3" xfId="23555" xr:uid="{00000000-0005-0000-0000-0000242F0000}"/>
    <cellStyle name="40% - Accent1 6 2 4 3" xfId="12071" xr:uid="{00000000-0005-0000-0000-0000252F0000}"/>
    <cellStyle name="40% - Accent1 6 2 4 4" xfId="20026" xr:uid="{00000000-0005-0000-0000-0000262F0000}"/>
    <cellStyle name="40% - Accent1 6 2 5" xfId="5866" xr:uid="{00000000-0005-0000-0000-0000272F0000}"/>
    <cellStyle name="40% - Accent1 6 2 5 2" xfId="13850" xr:uid="{00000000-0005-0000-0000-0000282F0000}"/>
    <cellStyle name="40% - Accent1 6 2 5 3" xfId="21798" xr:uid="{00000000-0005-0000-0000-0000292F0000}"/>
    <cellStyle name="40% - Accent1 6 2 6" xfId="9419" xr:uid="{00000000-0005-0000-0000-00002A2F0000}"/>
    <cellStyle name="40% - Accent1 6 2 6 2" xfId="17377" xr:uid="{00000000-0005-0000-0000-00002B2F0000}"/>
    <cellStyle name="40% - Accent1 6 2 6 3" xfId="25321" xr:uid="{00000000-0005-0000-0000-00002C2F0000}"/>
    <cellStyle name="40% - Accent1 6 2 7" xfId="10315" xr:uid="{00000000-0005-0000-0000-00002D2F0000}"/>
    <cellStyle name="40% - Accent1 6 2 8" xfId="18270" xr:uid="{00000000-0005-0000-0000-00002E2F0000}"/>
    <cellStyle name="40% - Accent1 6 2_Exh G" xfId="2770" xr:uid="{00000000-0005-0000-0000-00002F2F0000}"/>
    <cellStyle name="40% - Accent1 6 3" xfId="369" xr:uid="{00000000-0005-0000-0000-0000302F0000}"/>
    <cellStyle name="40% - Accent1 6 3 2" xfId="1397" xr:uid="{00000000-0005-0000-0000-0000312F0000}"/>
    <cellStyle name="40% - Accent1 6 3 2 2" xfId="4927" xr:uid="{00000000-0005-0000-0000-0000322F0000}"/>
    <cellStyle name="40% - Accent1 6 3 2 2 2" xfId="8518" xr:uid="{00000000-0005-0000-0000-0000332F0000}"/>
    <cellStyle name="40% - Accent1 6 3 2 2 2 2" xfId="16489" xr:uid="{00000000-0005-0000-0000-0000342F0000}"/>
    <cellStyle name="40% - Accent1 6 3 2 2 2 3" xfId="24435" xr:uid="{00000000-0005-0000-0000-0000352F0000}"/>
    <cellStyle name="40% - Accent1 6 3 2 2 3" xfId="12951" xr:uid="{00000000-0005-0000-0000-0000362F0000}"/>
    <cellStyle name="40% - Accent1 6 3 2 2 4" xfId="20906" xr:uid="{00000000-0005-0000-0000-0000372F0000}"/>
    <cellStyle name="40% - Accent1 6 3 2 3" xfId="6759" xr:uid="{00000000-0005-0000-0000-0000382F0000}"/>
    <cellStyle name="40% - Accent1 6 3 2 3 2" xfId="14731" xr:uid="{00000000-0005-0000-0000-0000392F0000}"/>
    <cellStyle name="40% - Accent1 6 3 2 3 3" xfId="22678" xr:uid="{00000000-0005-0000-0000-00003A2F0000}"/>
    <cellStyle name="40% - Accent1 6 3 2 4" xfId="11195" xr:uid="{00000000-0005-0000-0000-00003B2F0000}"/>
    <cellStyle name="40% - Accent1 6 3 2 5" xfId="19150" xr:uid="{00000000-0005-0000-0000-00003C2F0000}"/>
    <cellStyle name="40% - Accent1 6 3 2_Exh G" xfId="2775" xr:uid="{00000000-0005-0000-0000-00003D2F0000}"/>
    <cellStyle name="40% - Accent1 6 3 3" xfId="4048" xr:uid="{00000000-0005-0000-0000-00003E2F0000}"/>
    <cellStyle name="40% - Accent1 6 3 3 2" xfId="7640" xr:uid="{00000000-0005-0000-0000-00003F2F0000}"/>
    <cellStyle name="40% - Accent1 6 3 3 2 2" xfId="15611" xr:uid="{00000000-0005-0000-0000-0000402F0000}"/>
    <cellStyle name="40% - Accent1 6 3 3 2 3" xfId="23557" xr:uid="{00000000-0005-0000-0000-0000412F0000}"/>
    <cellStyle name="40% - Accent1 6 3 3 3" xfId="12073" xr:uid="{00000000-0005-0000-0000-0000422F0000}"/>
    <cellStyle name="40% - Accent1 6 3 3 4" xfId="20028" xr:uid="{00000000-0005-0000-0000-0000432F0000}"/>
    <cellStyle name="40% - Accent1 6 3 4" xfId="5868" xr:uid="{00000000-0005-0000-0000-0000442F0000}"/>
    <cellStyle name="40% - Accent1 6 3 4 2" xfId="13852" xr:uid="{00000000-0005-0000-0000-0000452F0000}"/>
    <cellStyle name="40% - Accent1 6 3 4 3" xfId="21800" xr:uid="{00000000-0005-0000-0000-0000462F0000}"/>
    <cellStyle name="40% - Accent1 6 3 5" xfId="9421" xr:uid="{00000000-0005-0000-0000-0000472F0000}"/>
    <cellStyle name="40% - Accent1 6 3 5 2" xfId="17379" xr:uid="{00000000-0005-0000-0000-0000482F0000}"/>
    <cellStyle name="40% - Accent1 6 3 5 3" xfId="25323" xr:uid="{00000000-0005-0000-0000-0000492F0000}"/>
    <cellStyle name="40% - Accent1 6 3 6" xfId="10317" xr:uid="{00000000-0005-0000-0000-00004A2F0000}"/>
    <cellStyle name="40% - Accent1 6 3 7" xfId="18272" xr:uid="{00000000-0005-0000-0000-00004B2F0000}"/>
    <cellStyle name="40% - Accent1 6 3_Exh G" xfId="2774" xr:uid="{00000000-0005-0000-0000-00004C2F0000}"/>
    <cellStyle name="40% - Accent1 6 4" xfId="942" xr:uid="{00000000-0005-0000-0000-00004D2F0000}"/>
    <cellStyle name="40% - Accent1 6 4 2" xfId="1865" xr:uid="{00000000-0005-0000-0000-00004E2F0000}"/>
    <cellStyle name="40% - Accent1 6 4 2 2" xfId="5383" xr:uid="{00000000-0005-0000-0000-00004F2F0000}"/>
    <cellStyle name="40% - Accent1 6 4 2 2 2" xfId="8974" xr:uid="{00000000-0005-0000-0000-0000502F0000}"/>
    <cellStyle name="40% - Accent1 6 4 2 2 2 2" xfId="16945" xr:uid="{00000000-0005-0000-0000-0000512F0000}"/>
    <cellStyle name="40% - Accent1 6 4 2 2 2 3" xfId="24891" xr:uid="{00000000-0005-0000-0000-0000522F0000}"/>
    <cellStyle name="40% - Accent1 6 4 2 2 3" xfId="13407" xr:uid="{00000000-0005-0000-0000-0000532F0000}"/>
    <cellStyle name="40% - Accent1 6 4 2 2 4" xfId="21362" xr:uid="{00000000-0005-0000-0000-0000542F0000}"/>
    <cellStyle name="40% - Accent1 6 4 2 3" xfId="7215" xr:uid="{00000000-0005-0000-0000-0000552F0000}"/>
    <cellStyle name="40% - Accent1 6 4 2 3 2" xfId="15187" xr:uid="{00000000-0005-0000-0000-0000562F0000}"/>
    <cellStyle name="40% - Accent1 6 4 2 3 3" xfId="23134" xr:uid="{00000000-0005-0000-0000-0000572F0000}"/>
    <cellStyle name="40% - Accent1 6 4 2 4" xfId="11651" xr:uid="{00000000-0005-0000-0000-0000582F0000}"/>
    <cellStyle name="40% - Accent1 6 4 2 5" xfId="19606" xr:uid="{00000000-0005-0000-0000-0000592F0000}"/>
    <cellStyle name="40% - Accent1 6 4 2_Exh G" xfId="2777" xr:uid="{00000000-0005-0000-0000-00005A2F0000}"/>
    <cellStyle name="40% - Accent1 6 4 3" xfId="4504" xr:uid="{00000000-0005-0000-0000-00005B2F0000}"/>
    <cellStyle name="40% - Accent1 6 4 3 2" xfId="8096" xr:uid="{00000000-0005-0000-0000-00005C2F0000}"/>
    <cellStyle name="40% - Accent1 6 4 3 2 2" xfId="16067" xr:uid="{00000000-0005-0000-0000-00005D2F0000}"/>
    <cellStyle name="40% - Accent1 6 4 3 2 3" xfId="24013" xr:uid="{00000000-0005-0000-0000-00005E2F0000}"/>
    <cellStyle name="40% - Accent1 6 4 3 3" xfId="12529" xr:uid="{00000000-0005-0000-0000-00005F2F0000}"/>
    <cellStyle name="40% - Accent1 6 4 3 4" xfId="20484" xr:uid="{00000000-0005-0000-0000-0000602F0000}"/>
    <cellStyle name="40% - Accent1 6 4 4" xfId="6334" xr:uid="{00000000-0005-0000-0000-0000612F0000}"/>
    <cellStyle name="40% - Accent1 6 4 4 2" xfId="14309" xr:uid="{00000000-0005-0000-0000-0000622F0000}"/>
    <cellStyle name="40% - Accent1 6 4 4 3" xfId="22256" xr:uid="{00000000-0005-0000-0000-0000632F0000}"/>
    <cellStyle name="40% - Accent1 6 4 5" xfId="9877" xr:uid="{00000000-0005-0000-0000-0000642F0000}"/>
    <cellStyle name="40% - Accent1 6 4 5 2" xfId="17835" xr:uid="{00000000-0005-0000-0000-0000652F0000}"/>
    <cellStyle name="40% - Accent1 6 4 5 3" xfId="25779" xr:uid="{00000000-0005-0000-0000-0000662F0000}"/>
    <cellStyle name="40% - Accent1 6 4 6" xfId="10773" xr:uid="{00000000-0005-0000-0000-0000672F0000}"/>
    <cellStyle name="40% - Accent1 6 4 7" xfId="18728" xr:uid="{00000000-0005-0000-0000-0000682F0000}"/>
    <cellStyle name="40% - Accent1 6 4_Exh G" xfId="2776" xr:uid="{00000000-0005-0000-0000-0000692F0000}"/>
    <cellStyle name="40% - Accent1 6 5" xfId="1394" xr:uid="{00000000-0005-0000-0000-00006A2F0000}"/>
    <cellStyle name="40% - Accent1 6 5 2" xfId="4924" xr:uid="{00000000-0005-0000-0000-00006B2F0000}"/>
    <cellStyle name="40% - Accent1 6 5 2 2" xfId="8515" xr:uid="{00000000-0005-0000-0000-00006C2F0000}"/>
    <cellStyle name="40% - Accent1 6 5 2 2 2" xfId="16486" xr:uid="{00000000-0005-0000-0000-00006D2F0000}"/>
    <cellStyle name="40% - Accent1 6 5 2 2 3" xfId="24432" xr:uid="{00000000-0005-0000-0000-00006E2F0000}"/>
    <cellStyle name="40% - Accent1 6 5 2 3" xfId="12948" xr:uid="{00000000-0005-0000-0000-00006F2F0000}"/>
    <cellStyle name="40% - Accent1 6 5 2 4" xfId="20903" xr:uid="{00000000-0005-0000-0000-0000702F0000}"/>
    <cellStyle name="40% - Accent1 6 5 3" xfId="6756" xr:uid="{00000000-0005-0000-0000-0000712F0000}"/>
    <cellStyle name="40% - Accent1 6 5 3 2" xfId="14728" xr:uid="{00000000-0005-0000-0000-0000722F0000}"/>
    <cellStyle name="40% - Accent1 6 5 3 3" xfId="22675" xr:uid="{00000000-0005-0000-0000-0000732F0000}"/>
    <cellStyle name="40% - Accent1 6 5 4" xfId="11192" xr:uid="{00000000-0005-0000-0000-0000742F0000}"/>
    <cellStyle name="40% - Accent1 6 5 5" xfId="19147" xr:uid="{00000000-0005-0000-0000-0000752F0000}"/>
    <cellStyle name="40% - Accent1 6 5_Exh G" xfId="2778" xr:uid="{00000000-0005-0000-0000-0000762F0000}"/>
    <cellStyle name="40% - Accent1 6 6" xfId="4045" xr:uid="{00000000-0005-0000-0000-0000772F0000}"/>
    <cellStyle name="40% - Accent1 6 6 2" xfId="7637" xr:uid="{00000000-0005-0000-0000-0000782F0000}"/>
    <cellStyle name="40% - Accent1 6 6 2 2" xfId="15608" xr:uid="{00000000-0005-0000-0000-0000792F0000}"/>
    <cellStyle name="40% - Accent1 6 6 2 3" xfId="23554" xr:uid="{00000000-0005-0000-0000-00007A2F0000}"/>
    <cellStyle name="40% - Accent1 6 6 3" xfId="12070" xr:uid="{00000000-0005-0000-0000-00007B2F0000}"/>
    <cellStyle name="40% - Accent1 6 6 4" xfId="20025" xr:uid="{00000000-0005-0000-0000-00007C2F0000}"/>
    <cellStyle name="40% - Accent1 6 7" xfId="5865" xr:uid="{00000000-0005-0000-0000-00007D2F0000}"/>
    <cellStyle name="40% - Accent1 6 7 2" xfId="13849" xr:uid="{00000000-0005-0000-0000-00007E2F0000}"/>
    <cellStyle name="40% - Accent1 6 7 3" xfId="21797" xr:uid="{00000000-0005-0000-0000-00007F2F0000}"/>
    <cellStyle name="40% - Accent1 6 8" xfId="9418" xr:uid="{00000000-0005-0000-0000-0000802F0000}"/>
    <cellStyle name="40% - Accent1 6 8 2" xfId="17376" xr:uid="{00000000-0005-0000-0000-0000812F0000}"/>
    <cellStyle name="40% - Accent1 6 8 3" xfId="25320" xr:uid="{00000000-0005-0000-0000-0000822F0000}"/>
    <cellStyle name="40% - Accent1 6 9" xfId="10314" xr:uid="{00000000-0005-0000-0000-0000832F0000}"/>
    <cellStyle name="40% - Accent1 6_Exh G" xfId="2769" xr:uid="{00000000-0005-0000-0000-0000842F0000}"/>
    <cellStyle name="40% - Accent1 7" xfId="370" xr:uid="{00000000-0005-0000-0000-0000852F0000}"/>
    <cellStyle name="40% - Accent1 7 10" xfId="18273" xr:uid="{00000000-0005-0000-0000-0000862F0000}"/>
    <cellStyle name="40% - Accent1 7 2" xfId="371" xr:uid="{00000000-0005-0000-0000-0000872F0000}"/>
    <cellStyle name="40% - Accent1 7 2 2" xfId="372" xr:uid="{00000000-0005-0000-0000-0000882F0000}"/>
    <cellStyle name="40% - Accent1 7 2 2 2" xfId="1400" xr:uid="{00000000-0005-0000-0000-0000892F0000}"/>
    <cellStyle name="40% - Accent1 7 2 2 2 2" xfId="4930" xr:uid="{00000000-0005-0000-0000-00008A2F0000}"/>
    <cellStyle name="40% - Accent1 7 2 2 2 2 2" xfId="8521" xr:uid="{00000000-0005-0000-0000-00008B2F0000}"/>
    <cellStyle name="40% - Accent1 7 2 2 2 2 2 2" xfId="16492" xr:uid="{00000000-0005-0000-0000-00008C2F0000}"/>
    <cellStyle name="40% - Accent1 7 2 2 2 2 2 3" xfId="24438" xr:uid="{00000000-0005-0000-0000-00008D2F0000}"/>
    <cellStyle name="40% - Accent1 7 2 2 2 2 3" xfId="12954" xr:uid="{00000000-0005-0000-0000-00008E2F0000}"/>
    <cellStyle name="40% - Accent1 7 2 2 2 2 4" xfId="20909" xr:uid="{00000000-0005-0000-0000-00008F2F0000}"/>
    <cellStyle name="40% - Accent1 7 2 2 2 3" xfId="6762" xr:uid="{00000000-0005-0000-0000-0000902F0000}"/>
    <cellStyle name="40% - Accent1 7 2 2 2 3 2" xfId="14734" xr:uid="{00000000-0005-0000-0000-0000912F0000}"/>
    <cellStyle name="40% - Accent1 7 2 2 2 3 3" xfId="22681" xr:uid="{00000000-0005-0000-0000-0000922F0000}"/>
    <cellStyle name="40% - Accent1 7 2 2 2 4" xfId="11198" xr:uid="{00000000-0005-0000-0000-0000932F0000}"/>
    <cellStyle name="40% - Accent1 7 2 2 2 5" xfId="19153" xr:uid="{00000000-0005-0000-0000-0000942F0000}"/>
    <cellStyle name="40% - Accent1 7 2 2 2_Exh G" xfId="2782" xr:uid="{00000000-0005-0000-0000-0000952F0000}"/>
    <cellStyle name="40% - Accent1 7 2 2 3" xfId="4051" xr:uid="{00000000-0005-0000-0000-0000962F0000}"/>
    <cellStyle name="40% - Accent1 7 2 2 3 2" xfId="7643" xr:uid="{00000000-0005-0000-0000-0000972F0000}"/>
    <cellStyle name="40% - Accent1 7 2 2 3 2 2" xfId="15614" xr:uid="{00000000-0005-0000-0000-0000982F0000}"/>
    <cellStyle name="40% - Accent1 7 2 2 3 2 3" xfId="23560" xr:uid="{00000000-0005-0000-0000-0000992F0000}"/>
    <cellStyle name="40% - Accent1 7 2 2 3 3" xfId="12076" xr:uid="{00000000-0005-0000-0000-00009A2F0000}"/>
    <cellStyle name="40% - Accent1 7 2 2 3 4" xfId="20031" xr:uid="{00000000-0005-0000-0000-00009B2F0000}"/>
    <cellStyle name="40% - Accent1 7 2 2 4" xfId="5871" xr:uid="{00000000-0005-0000-0000-00009C2F0000}"/>
    <cellStyle name="40% - Accent1 7 2 2 4 2" xfId="13855" xr:uid="{00000000-0005-0000-0000-00009D2F0000}"/>
    <cellStyle name="40% - Accent1 7 2 2 4 3" xfId="21803" xr:uid="{00000000-0005-0000-0000-00009E2F0000}"/>
    <cellStyle name="40% - Accent1 7 2 2 5" xfId="9424" xr:uid="{00000000-0005-0000-0000-00009F2F0000}"/>
    <cellStyle name="40% - Accent1 7 2 2 5 2" xfId="17382" xr:uid="{00000000-0005-0000-0000-0000A02F0000}"/>
    <cellStyle name="40% - Accent1 7 2 2 5 3" xfId="25326" xr:uid="{00000000-0005-0000-0000-0000A12F0000}"/>
    <cellStyle name="40% - Accent1 7 2 2 6" xfId="10320" xr:uid="{00000000-0005-0000-0000-0000A22F0000}"/>
    <cellStyle name="40% - Accent1 7 2 2 7" xfId="18275" xr:uid="{00000000-0005-0000-0000-0000A32F0000}"/>
    <cellStyle name="40% - Accent1 7 2 2_Exh G" xfId="2781" xr:uid="{00000000-0005-0000-0000-0000A42F0000}"/>
    <cellStyle name="40% - Accent1 7 2 3" xfId="1399" xr:uid="{00000000-0005-0000-0000-0000A52F0000}"/>
    <cellStyle name="40% - Accent1 7 2 3 2" xfId="4929" xr:uid="{00000000-0005-0000-0000-0000A62F0000}"/>
    <cellStyle name="40% - Accent1 7 2 3 2 2" xfId="8520" xr:uid="{00000000-0005-0000-0000-0000A72F0000}"/>
    <cellStyle name="40% - Accent1 7 2 3 2 2 2" xfId="16491" xr:uid="{00000000-0005-0000-0000-0000A82F0000}"/>
    <cellStyle name="40% - Accent1 7 2 3 2 2 3" xfId="24437" xr:uid="{00000000-0005-0000-0000-0000A92F0000}"/>
    <cellStyle name="40% - Accent1 7 2 3 2 3" xfId="12953" xr:uid="{00000000-0005-0000-0000-0000AA2F0000}"/>
    <cellStyle name="40% - Accent1 7 2 3 2 4" xfId="20908" xr:uid="{00000000-0005-0000-0000-0000AB2F0000}"/>
    <cellStyle name="40% - Accent1 7 2 3 3" xfId="6761" xr:uid="{00000000-0005-0000-0000-0000AC2F0000}"/>
    <cellStyle name="40% - Accent1 7 2 3 3 2" xfId="14733" xr:uid="{00000000-0005-0000-0000-0000AD2F0000}"/>
    <cellStyle name="40% - Accent1 7 2 3 3 3" xfId="22680" xr:uid="{00000000-0005-0000-0000-0000AE2F0000}"/>
    <cellStyle name="40% - Accent1 7 2 3 4" xfId="11197" xr:uid="{00000000-0005-0000-0000-0000AF2F0000}"/>
    <cellStyle name="40% - Accent1 7 2 3 5" xfId="19152" xr:uid="{00000000-0005-0000-0000-0000B02F0000}"/>
    <cellStyle name="40% - Accent1 7 2 3_Exh G" xfId="2783" xr:uid="{00000000-0005-0000-0000-0000B12F0000}"/>
    <cellStyle name="40% - Accent1 7 2 4" xfId="4050" xr:uid="{00000000-0005-0000-0000-0000B22F0000}"/>
    <cellStyle name="40% - Accent1 7 2 4 2" xfId="7642" xr:uid="{00000000-0005-0000-0000-0000B32F0000}"/>
    <cellStyle name="40% - Accent1 7 2 4 2 2" xfId="15613" xr:uid="{00000000-0005-0000-0000-0000B42F0000}"/>
    <cellStyle name="40% - Accent1 7 2 4 2 3" xfId="23559" xr:uid="{00000000-0005-0000-0000-0000B52F0000}"/>
    <cellStyle name="40% - Accent1 7 2 4 3" xfId="12075" xr:uid="{00000000-0005-0000-0000-0000B62F0000}"/>
    <cellStyle name="40% - Accent1 7 2 4 4" xfId="20030" xr:uid="{00000000-0005-0000-0000-0000B72F0000}"/>
    <cellStyle name="40% - Accent1 7 2 5" xfId="5870" xr:uid="{00000000-0005-0000-0000-0000B82F0000}"/>
    <cellStyle name="40% - Accent1 7 2 5 2" xfId="13854" xr:uid="{00000000-0005-0000-0000-0000B92F0000}"/>
    <cellStyle name="40% - Accent1 7 2 5 3" xfId="21802" xr:uid="{00000000-0005-0000-0000-0000BA2F0000}"/>
    <cellStyle name="40% - Accent1 7 2 6" xfId="9423" xr:uid="{00000000-0005-0000-0000-0000BB2F0000}"/>
    <cellStyle name="40% - Accent1 7 2 6 2" xfId="17381" xr:uid="{00000000-0005-0000-0000-0000BC2F0000}"/>
    <cellStyle name="40% - Accent1 7 2 6 3" xfId="25325" xr:uid="{00000000-0005-0000-0000-0000BD2F0000}"/>
    <cellStyle name="40% - Accent1 7 2 7" xfId="10319" xr:uid="{00000000-0005-0000-0000-0000BE2F0000}"/>
    <cellStyle name="40% - Accent1 7 2 8" xfId="18274" xr:uid="{00000000-0005-0000-0000-0000BF2F0000}"/>
    <cellStyle name="40% - Accent1 7 2_Exh G" xfId="2780" xr:uid="{00000000-0005-0000-0000-0000C02F0000}"/>
    <cellStyle name="40% - Accent1 7 3" xfId="373" xr:uid="{00000000-0005-0000-0000-0000C12F0000}"/>
    <cellStyle name="40% - Accent1 7 3 2" xfId="1401" xr:uid="{00000000-0005-0000-0000-0000C22F0000}"/>
    <cellStyle name="40% - Accent1 7 3 2 2" xfId="4931" xr:uid="{00000000-0005-0000-0000-0000C32F0000}"/>
    <cellStyle name="40% - Accent1 7 3 2 2 2" xfId="8522" xr:uid="{00000000-0005-0000-0000-0000C42F0000}"/>
    <cellStyle name="40% - Accent1 7 3 2 2 2 2" xfId="16493" xr:uid="{00000000-0005-0000-0000-0000C52F0000}"/>
    <cellStyle name="40% - Accent1 7 3 2 2 2 3" xfId="24439" xr:uid="{00000000-0005-0000-0000-0000C62F0000}"/>
    <cellStyle name="40% - Accent1 7 3 2 2 3" xfId="12955" xr:uid="{00000000-0005-0000-0000-0000C72F0000}"/>
    <cellStyle name="40% - Accent1 7 3 2 2 4" xfId="20910" xr:uid="{00000000-0005-0000-0000-0000C82F0000}"/>
    <cellStyle name="40% - Accent1 7 3 2 3" xfId="6763" xr:uid="{00000000-0005-0000-0000-0000C92F0000}"/>
    <cellStyle name="40% - Accent1 7 3 2 3 2" xfId="14735" xr:uid="{00000000-0005-0000-0000-0000CA2F0000}"/>
    <cellStyle name="40% - Accent1 7 3 2 3 3" xfId="22682" xr:uid="{00000000-0005-0000-0000-0000CB2F0000}"/>
    <cellStyle name="40% - Accent1 7 3 2 4" xfId="11199" xr:uid="{00000000-0005-0000-0000-0000CC2F0000}"/>
    <cellStyle name="40% - Accent1 7 3 2 5" xfId="19154" xr:uid="{00000000-0005-0000-0000-0000CD2F0000}"/>
    <cellStyle name="40% - Accent1 7 3 2_Exh G" xfId="2785" xr:uid="{00000000-0005-0000-0000-0000CE2F0000}"/>
    <cellStyle name="40% - Accent1 7 3 3" xfId="4052" xr:uid="{00000000-0005-0000-0000-0000CF2F0000}"/>
    <cellStyle name="40% - Accent1 7 3 3 2" xfId="7644" xr:uid="{00000000-0005-0000-0000-0000D02F0000}"/>
    <cellStyle name="40% - Accent1 7 3 3 2 2" xfId="15615" xr:uid="{00000000-0005-0000-0000-0000D12F0000}"/>
    <cellStyle name="40% - Accent1 7 3 3 2 3" xfId="23561" xr:uid="{00000000-0005-0000-0000-0000D22F0000}"/>
    <cellStyle name="40% - Accent1 7 3 3 3" xfId="12077" xr:uid="{00000000-0005-0000-0000-0000D32F0000}"/>
    <cellStyle name="40% - Accent1 7 3 3 4" xfId="20032" xr:uid="{00000000-0005-0000-0000-0000D42F0000}"/>
    <cellStyle name="40% - Accent1 7 3 4" xfId="5872" xr:uid="{00000000-0005-0000-0000-0000D52F0000}"/>
    <cellStyle name="40% - Accent1 7 3 4 2" xfId="13856" xr:uid="{00000000-0005-0000-0000-0000D62F0000}"/>
    <cellStyle name="40% - Accent1 7 3 4 3" xfId="21804" xr:uid="{00000000-0005-0000-0000-0000D72F0000}"/>
    <cellStyle name="40% - Accent1 7 3 5" xfId="9425" xr:uid="{00000000-0005-0000-0000-0000D82F0000}"/>
    <cellStyle name="40% - Accent1 7 3 5 2" xfId="17383" xr:uid="{00000000-0005-0000-0000-0000D92F0000}"/>
    <cellStyle name="40% - Accent1 7 3 5 3" xfId="25327" xr:uid="{00000000-0005-0000-0000-0000DA2F0000}"/>
    <cellStyle name="40% - Accent1 7 3 6" xfId="10321" xr:uid="{00000000-0005-0000-0000-0000DB2F0000}"/>
    <cellStyle name="40% - Accent1 7 3 7" xfId="18276" xr:uid="{00000000-0005-0000-0000-0000DC2F0000}"/>
    <cellStyle name="40% - Accent1 7 3_Exh G" xfId="2784" xr:uid="{00000000-0005-0000-0000-0000DD2F0000}"/>
    <cellStyle name="40% - Accent1 7 4" xfId="943" xr:uid="{00000000-0005-0000-0000-0000DE2F0000}"/>
    <cellStyle name="40% - Accent1 7 4 2" xfId="1866" xr:uid="{00000000-0005-0000-0000-0000DF2F0000}"/>
    <cellStyle name="40% - Accent1 7 4 2 2" xfId="5384" xr:uid="{00000000-0005-0000-0000-0000E02F0000}"/>
    <cellStyle name="40% - Accent1 7 4 2 2 2" xfId="8975" xr:uid="{00000000-0005-0000-0000-0000E12F0000}"/>
    <cellStyle name="40% - Accent1 7 4 2 2 2 2" xfId="16946" xr:uid="{00000000-0005-0000-0000-0000E22F0000}"/>
    <cellStyle name="40% - Accent1 7 4 2 2 2 3" xfId="24892" xr:uid="{00000000-0005-0000-0000-0000E32F0000}"/>
    <cellStyle name="40% - Accent1 7 4 2 2 3" xfId="13408" xr:uid="{00000000-0005-0000-0000-0000E42F0000}"/>
    <cellStyle name="40% - Accent1 7 4 2 2 4" xfId="21363" xr:uid="{00000000-0005-0000-0000-0000E52F0000}"/>
    <cellStyle name="40% - Accent1 7 4 2 3" xfId="7216" xr:uid="{00000000-0005-0000-0000-0000E62F0000}"/>
    <cellStyle name="40% - Accent1 7 4 2 3 2" xfId="15188" xr:uid="{00000000-0005-0000-0000-0000E72F0000}"/>
    <cellStyle name="40% - Accent1 7 4 2 3 3" xfId="23135" xr:uid="{00000000-0005-0000-0000-0000E82F0000}"/>
    <cellStyle name="40% - Accent1 7 4 2 4" xfId="11652" xr:uid="{00000000-0005-0000-0000-0000E92F0000}"/>
    <cellStyle name="40% - Accent1 7 4 2 5" xfId="19607" xr:uid="{00000000-0005-0000-0000-0000EA2F0000}"/>
    <cellStyle name="40% - Accent1 7 4 2_Exh G" xfId="2787" xr:uid="{00000000-0005-0000-0000-0000EB2F0000}"/>
    <cellStyle name="40% - Accent1 7 4 3" xfId="4505" xr:uid="{00000000-0005-0000-0000-0000EC2F0000}"/>
    <cellStyle name="40% - Accent1 7 4 3 2" xfId="8097" xr:uid="{00000000-0005-0000-0000-0000ED2F0000}"/>
    <cellStyle name="40% - Accent1 7 4 3 2 2" xfId="16068" xr:uid="{00000000-0005-0000-0000-0000EE2F0000}"/>
    <cellStyle name="40% - Accent1 7 4 3 2 3" xfId="24014" xr:uid="{00000000-0005-0000-0000-0000EF2F0000}"/>
    <cellStyle name="40% - Accent1 7 4 3 3" xfId="12530" xr:uid="{00000000-0005-0000-0000-0000F02F0000}"/>
    <cellStyle name="40% - Accent1 7 4 3 4" xfId="20485" xr:uid="{00000000-0005-0000-0000-0000F12F0000}"/>
    <cellStyle name="40% - Accent1 7 4 4" xfId="6335" xr:uid="{00000000-0005-0000-0000-0000F22F0000}"/>
    <cellStyle name="40% - Accent1 7 4 4 2" xfId="14310" xr:uid="{00000000-0005-0000-0000-0000F32F0000}"/>
    <cellStyle name="40% - Accent1 7 4 4 3" xfId="22257" xr:uid="{00000000-0005-0000-0000-0000F42F0000}"/>
    <cellStyle name="40% - Accent1 7 4 5" xfId="9878" xr:uid="{00000000-0005-0000-0000-0000F52F0000}"/>
    <cellStyle name="40% - Accent1 7 4 5 2" xfId="17836" xr:uid="{00000000-0005-0000-0000-0000F62F0000}"/>
    <cellStyle name="40% - Accent1 7 4 5 3" xfId="25780" xr:uid="{00000000-0005-0000-0000-0000F72F0000}"/>
    <cellStyle name="40% - Accent1 7 4 6" xfId="10774" xr:uid="{00000000-0005-0000-0000-0000F82F0000}"/>
    <cellStyle name="40% - Accent1 7 4 7" xfId="18729" xr:uid="{00000000-0005-0000-0000-0000F92F0000}"/>
    <cellStyle name="40% - Accent1 7 4_Exh G" xfId="2786" xr:uid="{00000000-0005-0000-0000-0000FA2F0000}"/>
    <cellStyle name="40% - Accent1 7 5" xfId="1398" xr:uid="{00000000-0005-0000-0000-0000FB2F0000}"/>
    <cellStyle name="40% - Accent1 7 5 2" xfId="4928" xr:uid="{00000000-0005-0000-0000-0000FC2F0000}"/>
    <cellStyle name="40% - Accent1 7 5 2 2" xfId="8519" xr:uid="{00000000-0005-0000-0000-0000FD2F0000}"/>
    <cellStyle name="40% - Accent1 7 5 2 2 2" xfId="16490" xr:uid="{00000000-0005-0000-0000-0000FE2F0000}"/>
    <cellStyle name="40% - Accent1 7 5 2 2 3" xfId="24436" xr:uid="{00000000-0005-0000-0000-0000FF2F0000}"/>
    <cellStyle name="40% - Accent1 7 5 2 3" xfId="12952" xr:uid="{00000000-0005-0000-0000-000000300000}"/>
    <cellStyle name="40% - Accent1 7 5 2 4" xfId="20907" xr:uid="{00000000-0005-0000-0000-000001300000}"/>
    <cellStyle name="40% - Accent1 7 5 3" xfId="6760" xr:uid="{00000000-0005-0000-0000-000002300000}"/>
    <cellStyle name="40% - Accent1 7 5 3 2" xfId="14732" xr:uid="{00000000-0005-0000-0000-000003300000}"/>
    <cellStyle name="40% - Accent1 7 5 3 3" xfId="22679" xr:uid="{00000000-0005-0000-0000-000004300000}"/>
    <cellStyle name="40% - Accent1 7 5 4" xfId="11196" xr:uid="{00000000-0005-0000-0000-000005300000}"/>
    <cellStyle name="40% - Accent1 7 5 5" xfId="19151" xr:uid="{00000000-0005-0000-0000-000006300000}"/>
    <cellStyle name="40% - Accent1 7 5_Exh G" xfId="2788" xr:uid="{00000000-0005-0000-0000-000007300000}"/>
    <cellStyle name="40% - Accent1 7 6" xfId="4049" xr:uid="{00000000-0005-0000-0000-000008300000}"/>
    <cellStyle name="40% - Accent1 7 6 2" xfId="7641" xr:uid="{00000000-0005-0000-0000-000009300000}"/>
    <cellStyle name="40% - Accent1 7 6 2 2" xfId="15612" xr:uid="{00000000-0005-0000-0000-00000A300000}"/>
    <cellStyle name="40% - Accent1 7 6 2 3" xfId="23558" xr:uid="{00000000-0005-0000-0000-00000B300000}"/>
    <cellStyle name="40% - Accent1 7 6 3" xfId="12074" xr:uid="{00000000-0005-0000-0000-00000C300000}"/>
    <cellStyle name="40% - Accent1 7 6 4" xfId="20029" xr:uid="{00000000-0005-0000-0000-00000D300000}"/>
    <cellStyle name="40% - Accent1 7 7" xfId="5869" xr:uid="{00000000-0005-0000-0000-00000E300000}"/>
    <cellStyle name="40% - Accent1 7 7 2" xfId="13853" xr:uid="{00000000-0005-0000-0000-00000F300000}"/>
    <cellStyle name="40% - Accent1 7 7 3" xfId="21801" xr:uid="{00000000-0005-0000-0000-000010300000}"/>
    <cellStyle name="40% - Accent1 7 8" xfId="9422" xr:uid="{00000000-0005-0000-0000-000011300000}"/>
    <cellStyle name="40% - Accent1 7 8 2" xfId="17380" xr:uid="{00000000-0005-0000-0000-000012300000}"/>
    <cellStyle name="40% - Accent1 7 8 3" xfId="25324" xr:uid="{00000000-0005-0000-0000-000013300000}"/>
    <cellStyle name="40% - Accent1 7 9" xfId="10318" xr:uid="{00000000-0005-0000-0000-000014300000}"/>
    <cellStyle name="40% - Accent1 7_Exh G" xfId="2779" xr:uid="{00000000-0005-0000-0000-000015300000}"/>
    <cellStyle name="40% - Accent1 8" xfId="374" xr:uid="{00000000-0005-0000-0000-000016300000}"/>
    <cellStyle name="40% - Accent1 8 10" xfId="18277" xr:uid="{00000000-0005-0000-0000-000017300000}"/>
    <cellStyle name="40% - Accent1 8 2" xfId="375" xr:uid="{00000000-0005-0000-0000-000018300000}"/>
    <cellStyle name="40% - Accent1 8 2 2" xfId="376" xr:uid="{00000000-0005-0000-0000-000019300000}"/>
    <cellStyle name="40% - Accent1 8 2 2 2" xfId="1404" xr:uid="{00000000-0005-0000-0000-00001A300000}"/>
    <cellStyle name="40% - Accent1 8 2 2 2 2" xfId="4934" xr:uid="{00000000-0005-0000-0000-00001B300000}"/>
    <cellStyle name="40% - Accent1 8 2 2 2 2 2" xfId="8525" xr:uid="{00000000-0005-0000-0000-00001C300000}"/>
    <cellStyle name="40% - Accent1 8 2 2 2 2 2 2" xfId="16496" xr:uid="{00000000-0005-0000-0000-00001D300000}"/>
    <cellStyle name="40% - Accent1 8 2 2 2 2 2 3" xfId="24442" xr:uid="{00000000-0005-0000-0000-00001E300000}"/>
    <cellStyle name="40% - Accent1 8 2 2 2 2 3" xfId="12958" xr:uid="{00000000-0005-0000-0000-00001F300000}"/>
    <cellStyle name="40% - Accent1 8 2 2 2 2 4" xfId="20913" xr:uid="{00000000-0005-0000-0000-000020300000}"/>
    <cellStyle name="40% - Accent1 8 2 2 2 3" xfId="6766" xr:uid="{00000000-0005-0000-0000-000021300000}"/>
    <cellStyle name="40% - Accent1 8 2 2 2 3 2" xfId="14738" xr:uid="{00000000-0005-0000-0000-000022300000}"/>
    <cellStyle name="40% - Accent1 8 2 2 2 3 3" xfId="22685" xr:uid="{00000000-0005-0000-0000-000023300000}"/>
    <cellStyle name="40% - Accent1 8 2 2 2 4" xfId="11202" xr:uid="{00000000-0005-0000-0000-000024300000}"/>
    <cellStyle name="40% - Accent1 8 2 2 2 5" xfId="19157" xr:uid="{00000000-0005-0000-0000-000025300000}"/>
    <cellStyle name="40% - Accent1 8 2 2 2_Exh G" xfId="2792" xr:uid="{00000000-0005-0000-0000-000026300000}"/>
    <cellStyle name="40% - Accent1 8 2 2 3" xfId="4055" xr:uid="{00000000-0005-0000-0000-000027300000}"/>
    <cellStyle name="40% - Accent1 8 2 2 3 2" xfId="7647" xr:uid="{00000000-0005-0000-0000-000028300000}"/>
    <cellStyle name="40% - Accent1 8 2 2 3 2 2" xfId="15618" xr:uid="{00000000-0005-0000-0000-000029300000}"/>
    <cellStyle name="40% - Accent1 8 2 2 3 2 3" xfId="23564" xr:uid="{00000000-0005-0000-0000-00002A300000}"/>
    <cellStyle name="40% - Accent1 8 2 2 3 3" xfId="12080" xr:uid="{00000000-0005-0000-0000-00002B300000}"/>
    <cellStyle name="40% - Accent1 8 2 2 3 4" xfId="20035" xr:uid="{00000000-0005-0000-0000-00002C300000}"/>
    <cellStyle name="40% - Accent1 8 2 2 4" xfId="5875" xr:uid="{00000000-0005-0000-0000-00002D300000}"/>
    <cellStyle name="40% - Accent1 8 2 2 4 2" xfId="13859" xr:uid="{00000000-0005-0000-0000-00002E300000}"/>
    <cellStyle name="40% - Accent1 8 2 2 4 3" xfId="21807" xr:uid="{00000000-0005-0000-0000-00002F300000}"/>
    <cellStyle name="40% - Accent1 8 2 2 5" xfId="9428" xr:uid="{00000000-0005-0000-0000-000030300000}"/>
    <cellStyle name="40% - Accent1 8 2 2 5 2" xfId="17386" xr:uid="{00000000-0005-0000-0000-000031300000}"/>
    <cellStyle name="40% - Accent1 8 2 2 5 3" xfId="25330" xr:uid="{00000000-0005-0000-0000-000032300000}"/>
    <cellStyle name="40% - Accent1 8 2 2 6" xfId="10324" xr:uid="{00000000-0005-0000-0000-000033300000}"/>
    <cellStyle name="40% - Accent1 8 2 2 7" xfId="18279" xr:uid="{00000000-0005-0000-0000-000034300000}"/>
    <cellStyle name="40% - Accent1 8 2 2_Exh G" xfId="2791" xr:uid="{00000000-0005-0000-0000-000035300000}"/>
    <cellStyle name="40% - Accent1 8 2 3" xfId="1403" xr:uid="{00000000-0005-0000-0000-000036300000}"/>
    <cellStyle name="40% - Accent1 8 2 3 2" xfId="4933" xr:uid="{00000000-0005-0000-0000-000037300000}"/>
    <cellStyle name="40% - Accent1 8 2 3 2 2" xfId="8524" xr:uid="{00000000-0005-0000-0000-000038300000}"/>
    <cellStyle name="40% - Accent1 8 2 3 2 2 2" xfId="16495" xr:uid="{00000000-0005-0000-0000-000039300000}"/>
    <cellStyle name="40% - Accent1 8 2 3 2 2 3" xfId="24441" xr:uid="{00000000-0005-0000-0000-00003A300000}"/>
    <cellStyle name="40% - Accent1 8 2 3 2 3" xfId="12957" xr:uid="{00000000-0005-0000-0000-00003B300000}"/>
    <cellStyle name="40% - Accent1 8 2 3 2 4" xfId="20912" xr:uid="{00000000-0005-0000-0000-00003C300000}"/>
    <cellStyle name="40% - Accent1 8 2 3 3" xfId="6765" xr:uid="{00000000-0005-0000-0000-00003D300000}"/>
    <cellStyle name="40% - Accent1 8 2 3 3 2" xfId="14737" xr:uid="{00000000-0005-0000-0000-00003E300000}"/>
    <cellStyle name="40% - Accent1 8 2 3 3 3" xfId="22684" xr:uid="{00000000-0005-0000-0000-00003F300000}"/>
    <cellStyle name="40% - Accent1 8 2 3 4" xfId="11201" xr:uid="{00000000-0005-0000-0000-000040300000}"/>
    <cellStyle name="40% - Accent1 8 2 3 5" xfId="19156" xr:uid="{00000000-0005-0000-0000-000041300000}"/>
    <cellStyle name="40% - Accent1 8 2 3_Exh G" xfId="2793" xr:uid="{00000000-0005-0000-0000-000042300000}"/>
    <cellStyle name="40% - Accent1 8 2 4" xfId="4054" xr:uid="{00000000-0005-0000-0000-000043300000}"/>
    <cellStyle name="40% - Accent1 8 2 4 2" xfId="7646" xr:uid="{00000000-0005-0000-0000-000044300000}"/>
    <cellStyle name="40% - Accent1 8 2 4 2 2" xfId="15617" xr:uid="{00000000-0005-0000-0000-000045300000}"/>
    <cellStyle name="40% - Accent1 8 2 4 2 3" xfId="23563" xr:uid="{00000000-0005-0000-0000-000046300000}"/>
    <cellStyle name="40% - Accent1 8 2 4 3" xfId="12079" xr:uid="{00000000-0005-0000-0000-000047300000}"/>
    <cellStyle name="40% - Accent1 8 2 4 4" xfId="20034" xr:uid="{00000000-0005-0000-0000-000048300000}"/>
    <cellStyle name="40% - Accent1 8 2 5" xfId="5874" xr:uid="{00000000-0005-0000-0000-000049300000}"/>
    <cellStyle name="40% - Accent1 8 2 5 2" xfId="13858" xr:uid="{00000000-0005-0000-0000-00004A300000}"/>
    <cellStyle name="40% - Accent1 8 2 5 3" xfId="21806" xr:uid="{00000000-0005-0000-0000-00004B300000}"/>
    <cellStyle name="40% - Accent1 8 2 6" xfId="9427" xr:uid="{00000000-0005-0000-0000-00004C300000}"/>
    <cellStyle name="40% - Accent1 8 2 6 2" xfId="17385" xr:uid="{00000000-0005-0000-0000-00004D300000}"/>
    <cellStyle name="40% - Accent1 8 2 6 3" xfId="25329" xr:uid="{00000000-0005-0000-0000-00004E300000}"/>
    <cellStyle name="40% - Accent1 8 2 7" xfId="10323" xr:uid="{00000000-0005-0000-0000-00004F300000}"/>
    <cellStyle name="40% - Accent1 8 2 8" xfId="18278" xr:uid="{00000000-0005-0000-0000-000050300000}"/>
    <cellStyle name="40% - Accent1 8 2_Exh G" xfId="2790" xr:uid="{00000000-0005-0000-0000-000051300000}"/>
    <cellStyle name="40% - Accent1 8 3" xfId="377" xr:uid="{00000000-0005-0000-0000-000052300000}"/>
    <cellStyle name="40% - Accent1 8 3 2" xfId="1405" xr:uid="{00000000-0005-0000-0000-000053300000}"/>
    <cellStyle name="40% - Accent1 8 3 2 2" xfId="4935" xr:uid="{00000000-0005-0000-0000-000054300000}"/>
    <cellStyle name="40% - Accent1 8 3 2 2 2" xfId="8526" xr:uid="{00000000-0005-0000-0000-000055300000}"/>
    <cellStyle name="40% - Accent1 8 3 2 2 2 2" xfId="16497" xr:uid="{00000000-0005-0000-0000-000056300000}"/>
    <cellStyle name="40% - Accent1 8 3 2 2 2 3" xfId="24443" xr:uid="{00000000-0005-0000-0000-000057300000}"/>
    <cellStyle name="40% - Accent1 8 3 2 2 3" xfId="12959" xr:uid="{00000000-0005-0000-0000-000058300000}"/>
    <cellStyle name="40% - Accent1 8 3 2 2 4" xfId="20914" xr:uid="{00000000-0005-0000-0000-000059300000}"/>
    <cellStyle name="40% - Accent1 8 3 2 3" xfId="6767" xr:uid="{00000000-0005-0000-0000-00005A300000}"/>
    <cellStyle name="40% - Accent1 8 3 2 3 2" xfId="14739" xr:uid="{00000000-0005-0000-0000-00005B300000}"/>
    <cellStyle name="40% - Accent1 8 3 2 3 3" xfId="22686" xr:uid="{00000000-0005-0000-0000-00005C300000}"/>
    <cellStyle name="40% - Accent1 8 3 2 4" xfId="11203" xr:uid="{00000000-0005-0000-0000-00005D300000}"/>
    <cellStyle name="40% - Accent1 8 3 2 5" xfId="19158" xr:uid="{00000000-0005-0000-0000-00005E300000}"/>
    <cellStyle name="40% - Accent1 8 3 2_Exh G" xfId="2795" xr:uid="{00000000-0005-0000-0000-00005F300000}"/>
    <cellStyle name="40% - Accent1 8 3 3" xfId="4056" xr:uid="{00000000-0005-0000-0000-000060300000}"/>
    <cellStyle name="40% - Accent1 8 3 3 2" xfId="7648" xr:uid="{00000000-0005-0000-0000-000061300000}"/>
    <cellStyle name="40% - Accent1 8 3 3 2 2" xfId="15619" xr:uid="{00000000-0005-0000-0000-000062300000}"/>
    <cellStyle name="40% - Accent1 8 3 3 2 3" xfId="23565" xr:uid="{00000000-0005-0000-0000-000063300000}"/>
    <cellStyle name="40% - Accent1 8 3 3 3" xfId="12081" xr:uid="{00000000-0005-0000-0000-000064300000}"/>
    <cellStyle name="40% - Accent1 8 3 3 4" xfId="20036" xr:uid="{00000000-0005-0000-0000-000065300000}"/>
    <cellStyle name="40% - Accent1 8 3 4" xfId="5876" xr:uid="{00000000-0005-0000-0000-000066300000}"/>
    <cellStyle name="40% - Accent1 8 3 4 2" xfId="13860" xr:uid="{00000000-0005-0000-0000-000067300000}"/>
    <cellStyle name="40% - Accent1 8 3 4 3" xfId="21808" xr:uid="{00000000-0005-0000-0000-000068300000}"/>
    <cellStyle name="40% - Accent1 8 3 5" xfId="9429" xr:uid="{00000000-0005-0000-0000-000069300000}"/>
    <cellStyle name="40% - Accent1 8 3 5 2" xfId="17387" xr:uid="{00000000-0005-0000-0000-00006A300000}"/>
    <cellStyle name="40% - Accent1 8 3 5 3" xfId="25331" xr:uid="{00000000-0005-0000-0000-00006B300000}"/>
    <cellStyle name="40% - Accent1 8 3 6" xfId="10325" xr:uid="{00000000-0005-0000-0000-00006C300000}"/>
    <cellStyle name="40% - Accent1 8 3 7" xfId="18280" xr:uid="{00000000-0005-0000-0000-00006D300000}"/>
    <cellStyle name="40% - Accent1 8 3_Exh G" xfId="2794" xr:uid="{00000000-0005-0000-0000-00006E300000}"/>
    <cellStyle name="40% - Accent1 8 4" xfId="944" xr:uid="{00000000-0005-0000-0000-00006F300000}"/>
    <cellStyle name="40% - Accent1 8 4 2" xfId="1867" xr:uid="{00000000-0005-0000-0000-000070300000}"/>
    <cellStyle name="40% - Accent1 8 4 2 2" xfId="5385" xr:uid="{00000000-0005-0000-0000-000071300000}"/>
    <cellStyle name="40% - Accent1 8 4 2 2 2" xfId="8976" xr:uid="{00000000-0005-0000-0000-000072300000}"/>
    <cellStyle name="40% - Accent1 8 4 2 2 2 2" xfId="16947" xr:uid="{00000000-0005-0000-0000-000073300000}"/>
    <cellStyle name="40% - Accent1 8 4 2 2 2 3" xfId="24893" xr:uid="{00000000-0005-0000-0000-000074300000}"/>
    <cellStyle name="40% - Accent1 8 4 2 2 3" xfId="13409" xr:uid="{00000000-0005-0000-0000-000075300000}"/>
    <cellStyle name="40% - Accent1 8 4 2 2 4" xfId="21364" xr:uid="{00000000-0005-0000-0000-000076300000}"/>
    <cellStyle name="40% - Accent1 8 4 2 3" xfId="7217" xr:uid="{00000000-0005-0000-0000-000077300000}"/>
    <cellStyle name="40% - Accent1 8 4 2 3 2" xfId="15189" xr:uid="{00000000-0005-0000-0000-000078300000}"/>
    <cellStyle name="40% - Accent1 8 4 2 3 3" xfId="23136" xr:uid="{00000000-0005-0000-0000-000079300000}"/>
    <cellStyle name="40% - Accent1 8 4 2 4" xfId="11653" xr:uid="{00000000-0005-0000-0000-00007A300000}"/>
    <cellStyle name="40% - Accent1 8 4 2 5" xfId="19608" xr:uid="{00000000-0005-0000-0000-00007B300000}"/>
    <cellStyle name="40% - Accent1 8 4 2_Exh G" xfId="2797" xr:uid="{00000000-0005-0000-0000-00007C300000}"/>
    <cellStyle name="40% - Accent1 8 4 3" xfId="4506" xr:uid="{00000000-0005-0000-0000-00007D300000}"/>
    <cellStyle name="40% - Accent1 8 4 3 2" xfId="8098" xr:uid="{00000000-0005-0000-0000-00007E300000}"/>
    <cellStyle name="40% - Accent1 8 4 3 2 2" xfId="16069" xr:uid="{00000000-0005-0000-0000-00007F300000}"/>
    <cellStyle name="40% - Accent1 8 4 3 2 3" xfId="24015" xr:uid="{00000000-0005-0000-0000-000080300000}"/>
    <cellStyle name="40% - Accent1 8 4 3 3" xfId="12531" xr:uid="{00000000-0005-0000-0000-000081300000}"/>
    <cellStyle name="40% - Accent1 8 4 3 4" xfId="20486" xr:uid="{00000000-0005-0000-0000-000082300000}"/>
    <cellStyle name="40% - Accent1 8 4 4" xfId="6336" xr:uid="{00000000-0005-0000-0000-000083300000}"/>
    <cellStyle name="40% - Accent1 8 4 4 2" xfId="14311" xr:uid="{00000000-0005-0000-0000-000084300000}"/>
    <cellStyle name="40% - Accent1 8 4 4 3" xfId="22258" xr:uid="{00000000-0005-0000-0000-000085300000}"/>
    <cellStyle name="40% - Accent1 8 4 5" xfId="9879" xr:uid="{00000000-0005-0000-0000-000086300000}"/>
    <cellStyle name="40% - Accent1 8 4 5 2" xfId="17837" xr:uid="{00000000-0005-0000-0000-000087300000}"/>
    <cellStyle name="40% - Accent1 8 4 5 3" xfId="25781" xr:uid="{00000000-0005-0000-0000-000088300000}"/>
    <cellStyle name="40% - Accent1 8 4 6" xfId="10775" xr:uid="{00000000-0005-0000-0000-000089300000}"/>
    <cellStyle name="40% - Accent1 8 4 7" xfId="18730" xr:uid="{00000000-0005-0000-0000-00008A300000}"/>
    <cellStyle name="40% - Accent1 8 4_Exh G" xfId="2796" xr:uid="{00000000-0005-0000-0000-00008B300000}"/>
    <cellStyle name="40% - Accent1 8 5" xfId="1402" xr:uid="{00000000-0005-0000-0000-00008C300000}"/>
    <cellStyle name="40% - Accent1 8 5 2" xfId="4932" xr:uid="{00000000-0005-0000-0000-00008D300000}"/>
    <cellStyle name="40% - Accent1 8 5 2 2" xfId="8523" xr:uid="{00000000-0005-0000-0000-00008E300000}"/>
    <cellStyle name="40% - Accent1 8 5 2 2 2" xfId="16494" xr:uid="{00000000-0005-0000-0000-00008F300000}"/>
    <cellStyle name="40% - Accent1 8 5 2 2 3" xfId="24440" xr:uid="{00000000-0005-0000-0000-000090300000}"/>
    <cellStyle name="40% - Accent1 8 5 2 3" xfId="12956" xr:uid="{00000000-0005-0000-0000-000091300000}"/>
    <cellStyle name="40% - Accent1 8 5 2 4" xfId="20911" xr:uid="{00000000-0005-0000-0000-000092300000}"/>
    <cellStyle name="40% - Accent1 8 5 3" xfId="6764" xr:uid="{00000000-0005-0000-0000-000093300000}"/>
    <cellStyle name="40% - Accent1 8 5 3 2" xfId="14736" xr:uid="{00000000-0005-0000-0000-000094300000}"/>
    <cellStyle name="40% - Accent1 8 5 3 3" xfId="22683" xr:uid="{00000000-0005-0000-0000-000095300000}"/>
    <cellStyle name="40% - Accent1 8 5 4" xfId="11200" xr:uid="{00000000-0005-0000-0000-000096300000}"/>
    <cellStyle name="40% - Accent1 8 5 5" xfId="19155" xr:uid="{00000000-0005-0000-0000-000097300000}"/>
    <cellStyle name="40% - Accent1 8 5_Exh G" xfId="2798" xr:uid="{00000000-0005-0000-0000-000098300000}"/>
    <cellStyle name="40% - Accent1 8 6" xfId="4053" xr:uid="{00000000-0005-0000-0000-000099300000}"/>
    <cellStyle name="40% - Accent1 8 6 2" xfId="7645" xr:uid="{00000000-0005-0000-0000-00009A300000}"/>
    <cellStyle name="40% - Accent1 8 6 2 2" xfId="15616" xr:uid="{00000000-0005-0000-0000-00009B300000}"/>
    <cellStyle name="40% - Accent1 8 6 2 3" xfId="23562" xr:uid="{00000000-0005-0000-0000-00009C300000}"/>
    <cellStyle name="40% - Accent1 8 6 3" xfId="12078" xr:uid="{00000000-0005-0000-0000-00009D300000}"/>
    <cellStyle name="40% - Accent1 8 6 4" xfId="20033" xr:uid="{00000000-0005-0000-0000-00009E300000}"/>
    <cellStyle name="40% - Accent1 8 7" xfId="5873" xr:uid="{00000000-0005-0000-0000-00009F300000}"/>
    <cellStyle name="40% - Accent1 8 7 2" xfId="13857" xr:uid="{00000000-0005-0000-0000-0000A0300000}"/>
    <cellStyle name="40% - Accent1 8 7 3" xfId="21805" xr:uid="{00000000-0005-0000-0000-0000A1300000}"/>
    <cellStyle name="40% - Accent1 8 8" xfId="9426" xr:uid="{00000000-0005-0000-0000-0000A2300000}"/>
    <cellStyle name="40% - Accent1 8 8 2" xfId="17384" xr:uid="{00000000-0005-0000-0000-0000A3300000}"/>
    <cellStyle name="40% - Accent1 8 8 3" xfId="25328" xr:uid="{00000000-0005-0000-0000-0000A4300000}"/>
    <cellStyle name="40% - Accent1 8 9" xfId="10322" xr:uid="{00000000-0005-0000-0000-0000A5300000}"/>
    <cellStyle name="40% - Accent1 8_Exh G" xfId="2789" xr:uid="{00000000-0005-0000-0000-0000A6300000}"/>
    <cellStyle name="40% - Accent1 9" xfId="378" xr:uid="{00000000-0005-0000-0000-0000A7300000}"/>
    <cellStyle name="40% - Accent1 9 10" xfId="18281" xr:uid="{00000000-0005-0000-0000-0000A8300000}"/>
    <cellStyle name="40% - Accent1 9 2" xfId="379" xr:uid="{00000000-0005-0000-0000-0000A9300000}"/>
    <cellStyle name="40% - Accent1 9 2 2" xfId="380" xr:uid="{00000000-0005-0000-0000-0000AA300000}"/>
    <cellStyle name="40% - Accent1 9 2 2 2" xfId="1408" xr:uid="{00000000-0005-0000-0000-0000AB300000}"/>
    <cellStyle name="40% - Accent1 9 2 2 2 2" xfId="4938" xr:uid="{00000000-0005-0000-0000-0000AC300000}"/>
    <cellStyle name="40% - Accent1 9 2 2 2 2 2" xfId="8529" xr:uid="{00000000-0005-0000-0000-0000AD300000}"/>
    <cellStyle name="40% - Accent1 9 2 2 2 2 2 2" xfId="16500" xr:uid="{00000000-0005-0000-0000-0000AE300000}"/>
    <cellStyle name="40% - Accent1 9 2 2 2 2 2 3" xfId="24446" xr:uid="{00000000-0005-0000-0000-0000AF300000}"/>
    <cellStyle name="40% - Accent1 9 2 2 2 2 3" xfId="12962" xr:uid="{00000000-0005-0000-0000-0000B0300000}"/>
    <cellStyle name="40% - Accent1 9 2 2 2 2 4" xfId="20917" xr:uid="{00000000-0005-0000-0000-0000B1300000}"/>
    <cellStyle name="40% - Accent1 9 2 2 2 3" xfId="6770" xr:uid="{00000000-0005-0000-0000-0000B2300000}"/>
    <cellStyle name="40% - Accent1 9 2 2 2 3 2" xfId="14742" xr:uid="{00000000-0005-0000-0000-0000B3300000}"/>
    <cellStyle name="40% - Accent1 9 2 2 2 3 3" xfId="22689" xr:uid="{00000000-0005-0000-0000-0000B4300000}"/>
    <cellStyle name="40% - Accent1 9 2 2 2 4" xfId="11206" xr:uid="{00000000-0005-0000-0000-0000B5300000}"/>
    <cellStyle name="40% - Accent1 9 2 2 2 5" xfId="19161" xr:uid="{00000000-0005-0000-0000-0000B6300000}"/>
    <cellStyle name="40% - Accent1 9 2 2 2_Exh G" xfId="2802" xr:uid="{00000000-0005-0000-0000-0000B7300000}"/>
    <cellStyle name="40% - Accent1 9 2 2 3" xfId="4059" xr:uid="{00000000-0005-0000-0000-0000B8300000}"/>
    <cellStyle name="40% - Accent1 9 2 2 3 2" xfId="7651" xr:uid="{00000000-0005-0000-0000-0000B9300000}"/>
    <cellStyle name="40% - Accent1 9 2 2 3 2 2" xfId="15622" xr:uid="{00000000-0005-0000-0000-0000BA300000}"/>
    <cellStyle name="40% - Accent1 9 2 2 3 2 3" xfId="23568" xr:uid="{00000000-0005-0000-0000-0000BB300000}"/>
    <cellStyle name="40% - Accent1 9 2 2 3 3" xfId="12084" xr:uid="{00000000-0005-0000-0000-0000BC300000}"/>
    <cellStyle name="40% - Accent1 9 2 2 3 4" xfId="20039" xr:uid="{00000000-0005-0000-0000-0000BD300000}"/>
    <cellStyle name="40% - Accent1 9 2 2 4" xfId="5879" xr:uid="{00000000-0005-0000-0000-0000BE300000}"/>
    <cellStyle name="40% - Accent1 9 2 2 4 2" xfId="13863" xr:uid="{00000000-0005-0000-0000-0000BF300000}"/>
    <cellStyle name="40% - Accent1 9 2 2 4 3" xfId="21811" xr:uid="{00000000-0005-0000-0000-0000C0300000}"/>
    <cellStyle name="40% - Accent1 9 2 2 5" xfId="9432" xr:uid="{00000000-0005-0000-0000-0000C1300000}"/>
    <cellStyle name="40% - Accent1 9 2 2 5 2" xfId="17390" xr:uid="{00000000-0005-0000-0000-0000C2300000}"/>
    <cellStyle name="40% - Accent1 9 2 2 5 3" xfId="25334" xr:uid="{00000000-0005-0000-0000-0000C3300000}"/>
    <cellStyle name="40% - Accent1 9 2 2 6" xfId="10328" xr:uid="{00000000-0005-0000-0000-0000C4300000}"/>
    <cellStyle name="40% - Accent1 9 2 2 7" xfId="18283" xr:uid="{00000000-0005-0000-0000-0000C5300000}"/>
    <cellStyle name="40% - Accent1 9 2 2_Exh G" xfId="2801" xr:uid="{00000000-0005-0000-0000-0000C6300000}"/>
    <cellStyle name="40% - Accent1 9 2 3" xfId="1407" xr:uid="{00000000-0005-0000-0000-0000C7300000}"/>
    <cellStyle name="40% - Accent1 9 2 3 2" xfId="4937" xr:uid="{00000000-0005-0000-0000-0000C8300000}"/>
    <cellStyle name="40% - Accent1 9 2 3 2 2" xfId="8528" xr:uid="{00000000-0005-0000-0000-0000C9300000}"/>
    <cellStyle name="40% - Accent1 9 2 3 2 2 2" xfId="16499" xr:uid="{00000000-0005-0000-0000-0000CA300000}"/>
    <cellStyle name="40% - Accent1 9 2 3 2 2 3" xfId="24445" xr:uid="{00000000-0005-0000-0000-0000CB300000}"/>
    <cellStyle name="40% - Accent1 9 2 3 2 3" xfId="12961" xr:uid="{00000000-0005-0000-0000-0000CC300000}"/>
    <cellStyle name="40% - Accent1 9 2 3 2 4" xfId="20916" xr:uid="{00000000-0005-0000-0000-0000CD300000}"/>
    <cellStyle name="40% - Accent1 9 2 3 3" xfId="6769" xr:uid="{00000000-0005-0000-0000-0000CE300000}"/>
    <cellStyle name="40% - Accent1 9 2 3 3 2" xfId="14741" xr:uid="{00000000-0005-0000-0000-0000CF300000}"/>
    <cellStyle name="40% - Accent1 9 2 3 3 3" xfId="22688" xr:uid="{00000000-0005-0000-0000-0000D0300000}"/>
    <cellStyle name="40% - Accent1 9 2 3 4" xfId="11205" xr:uid="{00000000-0005-0000-0000-0000D1300000}"/>
    <cellStyle name="40% - Accent1 9 2 3 5" xfId="19160" xr:uid="{00000000-0005-0000-0000-0000D2300000}"/>
    <cellStyle name="40% - Accent1 9 2 3_Exh G" xfId="2803" xr:uid="{00000000-0005-0000-0000-0000D3300000}"/>
    <cellStyle name="40% - Accent1 9 2 4" xfId="4058" xr:uid="{00000000-0005-0000-0000-0000D4300000}"/>
    <cellStyle name="40% - Accent1 9 2 4 2" xfId="7650" xr:uid="{00000000-0005-0000-0000-0000D5300000}"/>
    <cellStyle name="40% - Accent1 9 2 4 2 2" xfId="15621" xr:uid="{00000000-0005-0000-0000-0000D6300000}"/>
    <cellStyle name="40% - Accent1 9 2 4 2 3" xfId="23567" xr:uid="{00000000-0005-0000-0000-0000D7300000}"/>
    <cellStyle name="40% - Accent1 9 2 4 3" xfId="12083" xr:uid="{00000000-0005-0000-0000-0000D8300000}"/>
    <cellStyle name="40% - Accent1 9 2 4 4" xfId="20038" xr:uid="{00000000-0005-0000-0000-0000D9300000}"/>
    <cellStyle name="40% - Accent1 9 2 5" xfId="5878" xr:uid="{00000000-0005-0000-0000-0000DA300000}"/>
    <cellStyle name="40% - Accent1 9 2 5 2" xfId="13862" xr:uid="{00000000-0005-0000-0000-0000DB300000}"/>
    <cellStyle name="40% - Accent1 9 2 5 3" xfId="21810" xr:uid="{00000000-0005-0000-0000-0000DC300000}"/>
    <cellStyle name="40% - Accent1 9 2 6" xfId="9431" xr:uid="{00000000-0005-0000-0000-0000DD300000}"/>
    <cellStyle name="40% - Accent1 9 2 6 2" xfId="17389" xr:uid="{00000000-0005-0000-0000-0000DE300000}"/>
    <cellStyle name="40% - Accent1 9 2 6 3" xfId="25333" xr:uid="{00000000-0005-0000-0000-0000DF300000}"/>
    <cellStyle name="40% - Accent1 9 2 7" xfId="10327" xr:uid="{00000000-0005-0000-0000-0000E0300000}"/>
    <cellStyle name="40% - Accent1 9 2 8" xfId="18282" xr:uid="{00000000-0005-0000-0000-0000E1300000}"/>
    <cellStyle name="40% - Accent1 9 2_Exh G" xfId="2800" xr:uid="{00000000-0005-0000-0000-0000E2300000}"/>
    <cellStyle name="40% - Accent1 9 3" xfId="381" xr:uid="{00000000-0005-0000-0000-0000E3300000}"/>
    <cellStyle name="40% - Accent1 9 3 2" xfId="1409" xr:uid="{00000000-0005-0000-0000-0000E4300000}"/>
    <cellStyle name="40% - Accent1 9 3 2 2" xfId="4939" xr:uid="{00000000-0005-0000-0000-0000E5300000}"/>
    <cellStyle name="40% - Accent1 9 3 2 2 2" xfId="8530" xr:uid="{00000000-0005-0000-0000-0000E6300000}"/>
    <cellStyle name="40% - Accent1 9 3 2 2 2 2" xfId="16501" xr:uid="{00000000-0005-0000-0000-0000E7300000}"/>
    <cellStyle name="40% - Accent1 9 3 2 2 2 3" xfId="24447" xr:uid="{00000000-0005-0000-0000-0000E8300000}"/>
    <cellStyle name="40% - Accent1 9 3 2 2 3" xfId="12963" xr:uid="{00000000-0005-0000-0000-0000E9300000}"/>
    <cellStyle name="40% - Accent1 9 3 2 2 4" xfId="20918" xr:uid="{00000000-0005-0000-0000-0000EA300000}"/>
    <cellStyle name="40% - Accent1 9 3 2 3" xfId="6771" xr:uid="{00000000-0005-0000-0000-0000EB300000}"/>
    <cellStyle name="40% - Accent1 9 3 2 3 2" xfId="14743" xr:uid="{00000000-0005-0000-0000-0000EC300000}"/>
    <cellStyle name="40% - Accent1 9 3 2 3 3" xfId="22690" xr:uid="{00000000-0005-0000-0000-0000ED300000}"/>
    <cellStyle name="40% - Accent1 9 3 2 4" xfId="11207" xr:uid="{00000000-0005-0000-0000-0000EE300000}"/>
    <cellStyle name="40% - Accent1 9 3 2 5" xfId="19162" xr:uid="{00000000-0005-0000-0000-0000EF300000}"/>
    <cellStyle name="40% - Accent1 9 3 2_Exh G" xfId="2805" xr:uid="{00000000-0005-0000-0000-0000F0300000}"/>
    <cellStyle name="40% - Accent1 9 3 3" xfId="4060" xr:uid="{00000000-0005-0000-0000-0000F1300000}"/>
    <cellStyle name="40% - Accent1 9 3 3 2" xfId="7652" xr:uid="{00000000-0005-0000-0000-0000F2300000}"/>
    <cellStyle name="40% - Accent1 9 3 3 2 2" xfId="15623" xr:uid="{00000000-0005-0000-0000-0000F3300000}"/>
    <cellStyle name="40% - Accent1 9 3 3 2 3" xfId="23569" xr:uid="{00000000-0005-0000-0000-0000F4300000}"/>
    <cellStyle name="40% - Accent1 9 3 3 3" xfId="12085" xr:uid="{00000000-0005-0000-0000-0000F5300000}"/>
    <cellStyle name="40% - Accent1 9 3 3 4" xfId="20040" xr:uid="{00000000-0005-0000-0000-0000F6300000}"/>
    <cellStyle name="40% - Accent1 9 3 4" xfId="5880" xr:uid="{00000000-0005-0000-0000-0000F7300000}"/>
    <cellStyle name="40% - Accent1 9 3 4 2" xfId="13864" xr:uid="{00000000-0005-0000-0000-0000F8300000}"/>
    <cellStyle name="40% - Accent1 9 3 4 3" xfId="21812" xr:uid="{00000000-0005-0000-0000-0000F9300000}"/>
    <cellStyle name="40% - Accent1 9 3 5" xfId="9433" xr:uid="{00000000-0005-0000-0000-0000FA300000}"/>
    <cellStyle name="40% - Accent1 9 3 5 2" xfId="17391" xr:uid="{00000000-0005-0000-0000-0000FB300000}"/>
    <cellStyle name="40% - Accent1 9 3 5 3" xfId="25335" xr:uid="{00000000-0005-0000-0000-0000FC300000}"/>
    <cellStyle name="40% - Accent1 9 3 6" xfId="10329" xr:uid="{00000000-0005-0000-0000-0000FD300000}"/>
    <cellStyle name="40% - Accent1 9 3 7" xfId="18284" xr:uid="{00000000-0005-0000-0000-0000FE300000}"/>
    <cellStyle name="40% - Accent1 9 3_Exh G" xfId="2804" xr:uid="{00000000-0005-0000-0000-0000FF300000}"/>
    <cellStyle name="40% - Accent1 9 4" xfId="945" xr:uid="{00000000-0005-0000-0000-000000310000}"/>
    <cellStyle name="40% - Accent1 9 4 2" xfId="1868" xr:uid="{00000000-0005-0000-0000-000001310000}"/>
    <cellStyle name="40% - Accent1 9 4 2 2" xfId="5386" xr:uid="{00000000-0005-0000-0000-000002310000}"/>
    <cellStyle name="40% - Accent1 9 4 2 2 2" xfId="8977" xr:uid="{00000000-0005-0000-0000-000003310000}"/>
    <cellStyle name="40% - Accent1 9 4 2 2 2 2" xfId="16948" xr:uid="{00000000-0005-0000-0000-000004310000}"/>
    <cellStyle name="40% - Accent1 9 4 2 2 2 3" xfId="24894" xr:uid="{00000000-0005-0000-0000-000005310000}"/>
    <cellStyle name="40% - Accent1 9 4 2 2 3" xfId="13410" xr:uid="{00000000-0005-0000-0000-000006310000}"/>
    <cellStyle name="40% - Accent1 9 4 2 2 4" xfId="21365" xr:uid="{00000000-0005-0000-0000-000007310000}"/>
    <cellStyle name="40% - Accent1 9 4 2 3" xfId="7218" xr:uid="{00000000-0005-0000-0000-000008310000}"/>
    <cellStyle name="40% - Accent1 9 4 2 3 2" xfId="15190" xr:uid="{00000000-0005-0000-0000-000009310000}"/>
    <cellStyle name="40% - Accent1 9 4 2 3 3" xfId="23137" xr:uid="{00000000-0005-0000-0000-00000A310000}"/>
    <cellStyle name="40% - Accent1 9 4 2 4" xfId="11654" xr:uid="{00000000-0005-0000-0000-00000B310000}"/>
    <cellStyle name="40% - Accent1 9 4 2 5" xfId="19609" xr:uid="{00000000-0005-0000-0000-00000C310000}"/>
    <cellStyle name="40% - Accent1 9 4 2_Exh G" xfId="2807" xr:uid="{00000000-0005-0000-0000-00000D310000}"/>
    <cellStyle name="40% - Accent1 9 4 3" xfId="4507" xr:uid="{00000000-0005-0000-0000-00000E310000}"/>
    <cellStyle name="40% - Accent1 9 4 3 2" xfId="8099" xr:uid="{00000000-0005-0000-0000-00000F310000}"/>
    <cellStyle name="40% - Accent1 9 4 3 2 2" xfId="16070" xr:uid="{00000000-0005-0000-0000-000010310000}"/>
    <cellStyle name="40% - Accent1 9 4 3 2 3" xfId="24016" xr:uid="{00000000-0005-0000-0000-000011310000}"/>
    <cellStyle name="40% - Accent1 9 4 3 3" xfId="12532" xr:uid="{00000000-0005-0000-0000-000012310000}"/>
    <cellStyle name="40% - Accent1 9 4 3 4" xfId="20487" xr:uid="{00000000-0005-0000-0000-000013310000}"/>
    <cellStyle name="40% - Accent1 9 4 4" xfId="6337" xr:uid="{00000000-0005-0000-0000-000014310000}"/>
    <cellStyle name="40% - Accent1 9 4 4 2" xfId="14312" xr:uid="{00000000-0005-0000-0000-000015310000}"/>
    <cellStyle name="40% - Accent1 9 4 4 3" xfId="22259" xr:uid="{00000000-0005-0000-0000-000016310000}"/>
    <cellStyle name="40% - Accent1 9 4 5" xfId="9880" xr:uid="{00000000-0005-0000-0000-000017310000}"/>
    <cellStyle name="40% - Accent1 9 4 5 2" xfId="17838" xr:uid="{00000000-0005-0000-0000-000018310000}"/>
    <cellStyle name="40% - Accent1 9 4 5 3" xfId="25782" xr:uid="{00000000-0005-0000-0000-000019310000}"/>
    <cellStyle name="40% - Accent1 9 4 6" xfId="10776" xr:uid="{00000000-0005-0000-0000-00001A310000}"/>
    <cellStyle name="40% - Accent1 9 4 7" xfId="18731" xr:uid="{00000000-0005-0000-0000-00001B310000}"/>
    <cellStyle name="40% - Accent1 9 4_Exh G" xfId="2806" xr:uid="{00000000-0005-0000-0000-00001C310000}"/>
    <cellStyle name="40% - Accent1 9 5" xfId="1406" xr:uid="{00000000-0005-0000-0000-00001D310000}"/>
    <cellStyle name="40% - Accent1 9 5 2" xfId="4936" xr:uid="{00000000-0005-0000-0000-00001E310000}"/>
    <cellStyle name="40% - Accent1 9 5 2 2" xfId="8527" xr:uid="{00000000-0005-0000-0000-00001F310000}"/>
    <cellStyle name="40% - Accent1 9 5 2 2 2" xfId="16498" xr:uid="{00000000-0005-0000-0000-000020310000}"/>
    <cellStyle name="40% - Accent1 9 5 2 2 3" xfId="24444" xr:uid="{00000000-0005-0000-0000-000021310000}"/>
    <cellStyle name="40% - Accent1 9 5 2 3" xfId="12960" xr:uid="{00000000-0005-0000-0000-000022310000}"/>
    <cellStyle name="40% - Accent1 9 5 2 4" xfId="20915" xr:uid="{00000000-0005-0000-0000-000023310000}"/>
    <cellStyle name="40% - Accent1 9 5 3" xfId="6768" xr:uid="{00000000-0005-0000-0000-000024310000}"/>
    <cellStyle name="40% - Accent1 9 5 3 2" xfId="14740" xr:uid="{00000000-0005-0000-0000-000025310000}"/>
    <cellStyle name="40% - Accent1 9 5 3 3" xfId="22687" xr:uid="{00000000-0005-0000-0000-000026310000}"/>
    <cellStyle name="40% - Accent1 9 5 4" xfId="11204" xr:uid="{00000000-0005-0000-0000-000027310000}"/>
    <cellStyle name="40% - Accent1 9 5 5" xfId="19159" xr:uid="{00000000-0005-0000-0000-000028310000}"/>
    <cellStyle name="40% - Accent1 9 5_Exh G" xfId="2808" xr:uid="{00000000-0005-0000-0000-000029310000}"/>
    <cellStyle name="40% - Accent1 9 6" xfId="4057" xr:uid="{00000000-0005-0000-0000-00002A310000}"/>
    <cellStyle name="40% - Accent1 9 6 2" xfId="7649" xr:uid="{00000000-0005-0000-0000-00002B310000}"/>
    <cellStyle name="40% - Accent1 9 6 2 2" xfId="15620" xr:uid="{00000000-0005-0000-0000-00002C310000}"/>
    <cellStyle name="40% - Accent1 9 6 2 3" xfId="23566" xr:uid="{00000000-0005-0000-0000-00002D310000}"/>
    <cellStyle name="40% - Accent1 9 6 3" xfId="12082" xr:uid="{00000000-0005-0000-0000-00002E310000}"/>
    <cellStyle name="40% - Accent1 9 6 4" xfId="20037" xr:uid="{00000000-0005-0000-0000-00002F310000}"/>
    <cellStyle name="40% - Accent1 9 7" xfId="5877" xr:uid="{00000000-0005-0000-0000-000030310000}"/>
    <cellStyle name="40% - Accent1 9 7 2" xfId="13861" xr:uid="{00000000-0005-0000-0000-000031310000}"/>
    <cellStyle name="40% - Accent1 9 7 3" xfId="21809" xr:uid="{00000000-0005-0000-0000-000032310000}"/>
    <cellStyle name="40% - Accent1 9 8" xfId="9430" xr:uid="{00000000-0005-0000-0000-000033310000}"/>
    <cellStyle name="40% - Accent1 9 8 2" xfId="17388" xr:uid="{00000000-0005-0000-0000-000034310000}"/>
    <cellStyle name="40% - Accent1 9 8 3" xfId="25332" xr:uid="{00000000-0005-0000-0000-000035310000}"/>
    <cellStyle name="40% - Accent1 9 9" xfId="10326" xr:uid="{00000000-0005-0000-0000-000036310000}"/>
    <cellStyle name="40% - Accent1 9_Exh G" xfId="2799" xr:uid="{00000000-0005-0000-0000-000037310000}"/>
    <cellStyle name="40% - Accent2 10" xfId="382" xr:uid="{00000000-0005-0000-0000-000038310000}"/>
    <cellStyle name="40% - Accent2 10 10" xfId="18285" xr:uid="{00000000-0005-0000-0000-000039310000}"/>
    <cellStyle name="40% - Accent2 10 2" xfId="383" xr:uid="{00000000-0005-0000-0000-00003A310000}"/>
    <cellStyle name="40% - Accent2 10 2 2" xfId="384" xr:uid="{00000000-0005-0000-0000-00003B310000}"/>
    <cellStyle name="40% - Accent2 10 2 2 2" xfId="1412" xr:uid="{00000000-0005-0000-0000-00003C310000}"/>
    <cellStyle name="40% - Accent2 10 2 2 2 2" xfId="4942" xr:uid="{00000000-0005-0000-0000-00003D310000}"/>
    <cellStyle name="40% - Accent2 10 2 2 2 2 2" xfId="8533" xr:uid="{00000000-0005-0000-0000-00003E310000}"/>
    <cellStyle name="40% - Accent2 10 2 2 2 2 2 2" xfId="16504" xr:uid="{00000000-0005-0000-0000-00003F310000}"/>
    <cellStyle name="40% - Accent2 10 2 2 2 2 2 3" xfId="24450" xr:uid="{00000000-0005-0000-0000-000040310000}"/>
    <cellStyle name="40% - Accent2 10 2 2 2 2 3" xfId="12966" xr:uid="{00000000-0005-0000-0000-000041310000}"/>
    <cellStyle name="40% - Accent2 10 2 2 2 2 4" xfId="20921" xr:uid="{00000000-0005-0000-0000-000042310000}"/>
    <cellStyle name="40% - Accent2 10 2 2 2 3" xfId="6774" xr:uid="{00000000-0005-0000-0000-000043310000}"/>
    <cellStyle name="40% - Accent2 10 2 2 2 3 2" xfId="14746" xr:uid="{00000000-0005-0000-0000-000044310000}"/>
    <cellStyle name="40% - Accent2 10 2 2 2 3 3" xfId="22693" xr:uid="{00000000-0005-0000-0000-000045310000}"/>
    <cellStyle name="40% - Accent2 10 2 2 2 4" xfId="11210" xr:uid="{00000000-0005-0000-0000-000046310000}"/>
    <cellStyle name="40% - Accent2 10 2 2 2 5" xfId="19165" xr:uid="{00000000-0005-0000-0000-000047310000}"/>
    <cellStyle name="40% - Accent2 10 2 2 2_Exh G" xfId="2812" xr:uid="{00000000-0005-0000-0000-000048310000}"/>
    <cellStyle name="40% - Accent2 10 2 2 3" xfId="4063" xr:uid="{00000000-0005-0000-0000-000049310000}"/>
    <cellStyle name="40% - Accent2 10 2 2 3 2" xfId="7655" xr:uid="{00000000-0005-0000-0000-00004A310000}"/>
    <cellStyle name="40% - Accent2 10 2 2 3 2 2" xfId="15626" xr:uid="{00000000-0005-0000-0000-00004B310000}"/>
    <cellStyle name="40% - Accent2 10 2 2 3 2 3" xfId="23572" xr:uid="{00000000-0005-0000-0000-00004C310000}"/>
    <cellStyle name="40% - Accent2 10 2 2 3 3" xfId="12088" xr:uid="{00000000-0005-0000-0000-00004D310000}"/>
    <cellStyle name="40% - Accent2 10 2 2 3 4" xfId="20043" xr:uid="{00000000-0005-0000-0000-00004E310000}"/>
    <cellStyle name="40% - Accent2 10 2 2 4" xfId="5883" xr:uid="{00000000-0005-0000-0000-00004F310000}"/>
    <cellStyle name="40% - Accent2 10 2 2 4 2" xfId="13867" xr:uid="{00000000-0005-0000-0000-000050310000}"/>
    <cellStyle name="40% - Accent2 10 2 2 4 3" xfId="21815" xr:uid="{00000000-0005-0000-0000-000051310000}"/>
    <cellStyle name="40% - Accent2 10 2 2 5" xfId="9436" xr:uid="{00000000-0005-0000-0000-000052310000}"/>
    <cellStyle name="40% - Accent2 10 2 2 5 2" xfId="17394" xr:uid="{00000000-0005-0000-0000-000053310000}"/>
    <cellStyle name="40% - Accent2 10 2 2 5 3" xfId="25338" xr:uid="{00000000-0005-0000-0000-000054310000}"/>
    <cellStyle name="40% - Accent2 10 2 2 6" xfId="10332" xr:uid="{00000000-0005-0000-0000-000055310000}"/>
    <cellStyle name="40% - Accent2 10 2 2 7" xfId="18287" xr:uid="{00000000-0005-0000-0000-000056310000}"/>
    <cellStyle name="40% - Accent2 10 2 2_Exh G" xfId="2811" xr:uid="{00000000-0005-0000-0000-000057310000}"/>
    <cellStyle name="40% - Accent2 10 2 3" xfId="1411" xr:uid="{00000000-0005-0000-0000-000058310000}"/>
    <cellStyle name="40% - Accent2 10 2 3 2" xfId="4941" xr:uid="{00000000-0005-0000-0000-000059310000}"/>
    <cellStyle name="40% - Accent2 10 2 3 2 2" xfId="8532" xr:uid="{00000000-0005-0000-0000-00005A310000}"/>
    <cellStyle name="40% - Accent2 10 2 3 2 2 2" xfId="16503" xr:uid="{00000000-0005-0000-0000-00005B310000}"/>
    <cellStyle name="40% - Accent2 10 2 3 2 2 3" xfId="24449" xr:uid="{00000000-0005-0000-0000-00005C310000}"/>
    <cellStyle name="40% - Accent2 10 2 3 2 3" xfId="12965" xr:uid="{00000000-0005-0000-0000-00005D310000}"/>
    <cellStyle name="40% - Accent2 10 2 3 2 4" xfId="20920" xr:uid="{00000000-0005-0000-0000-00005E310000}"/>
    <cellStyle name="40% - Accent2 10 2 3 3" xfId="6773" xr:uid="{00000000-0005-0000-0000-00005F310000}"/>
    <cellStyle name="40% - Accent2 10 2 3 3 2" xfId="14745" xr:uid="{00000000-0005-0000-0000-000060310000}"/>
    <cellStyle name="40% - Accent2 10 2 3 3 3" xfId="22692" xr:uid="{00000000-0005-0000-0000-000061310000}"/>
    <cellStyle name="40% - Accent2 10 2 3 4" xfId="11209" xr:uid="{00000000-0005-0000-0000-000062310000}"/>
    <cellStyle name="40% - Accent2 10 2 3 5" xfId="19164" xr:uid="{00000000-0005-0000-0000-000063310000}"/>
    <cellStyle name="40% - Accent2 10 2 3_Exh G" xfId="2813" xr:uid="{00000000-0005-0000-0000-000064310000}"/>
    <cellStyle name="40% - Accent2 10 2 4" xfId="4062" xr:uid="{00000000-0005-0000-0000-000065310000}"/>
    <cellStyle name="40% - Accent2 10 2 4 2" xfId="7654" xr:uid="{00000000-0005-0000-0000-000066310000}"/>
    <cellStyle name="40% - Accent2 10 2 4 2 2" xfId="15625" xr:uid="{00000000-0005-0000-0000-000067310000}"/>
    <cellStyle name="40% - Accent2 10 2 4 2 3" xfId="23571" xr:uid="{00000000-0005-0000-0000-000068310000}"/>
    <cellStyle name="40% - Accent2 10 2 4 3" xfId="12087" xr:uid="{00000000-0005-0000-0000-000069310000}"/>
    <cellStyle name="40% - Accent2 10 2 4 4" xfId="20042" xr:uid="{00000000-0005-0000-0000-00006A310000}"/>
    <cellStyle name="40% - Accent2 10 2 5" xfId="5882" xr:uid="{00000000-0005-0000-0000-00006B310000}"/>
    <cellStyle name="40% - Accent2 10 2 5 2" xfId="13866" xr:uid="{00000000-0005-0000-0000-00006C310000}"/>
    <cellStyle name="40% - Accent2 10 2 5 3" xfId="21814" xr:uid="{00000000-0005-0000-0000-00006D310000}"/>
    <cellStyle name="40% - Accent2 10 2 6" xfId="9435" xr:uid="{00000000-0005-0000-0000-00006E310000}"/>
    <cellStyle name="40% - Accent2 10 2 6 2" xfId="17393" xr:uid="{00000000-0005-0000-0000-00006F310000}"/>
    <cellStyle name="40% - Accent2 10 2 6 3" xfId="25337" xr:uid="{00000000-0005-0000-0000-000070310000}"/>
    <cellStyle name="40% - Accent2 10 2 7" xfId="10331" xr:uid="{00000000-0005-0000-0000-000071310000}"/>
    <cellStyle name="40% - Accent2 10 2 8" xfId="18286" xr:uid="{00000000-0005-0000-0000-000072310000}"/>
    <cellStyle name="40% - Accent2 10 2_Exh G" xfId="2810" xr:uid="{00000000-0005-0000-0000-000073310000}"/>
    <cellStyle name="40% - Accent2 10 3" xfId="385" xr:uid="{00000000-0005-0000-0000-000074310000}"/>
    <cellStyle name="40% - Accent2 10 3 2" xfId="1413" xr:uid="{00000000-0005-0000-0000-000075310000}"/>
    <cellStyle name="40% - Accent2 10 3 2 2" xfId="4943" xr:uid="{00000000-0005-0000-0000-000076310000}"/>
    <cellStyle name="40% - Accent2 10 3 2 2 2" xfId="8534" xr:uid="{00000000-0005-0000-0000-000077310000}"/>
    <cellStyle name="40% - Accent2 10 3 2 2 2 2" xfId="16505" xr:uid="{00000000-0005-0000-0000-000078310000}"/>
    <cellStyle name="40% - Accent2 10 3 2 2 2 3" xfId="24451" xr:uid="{00000000-0005-0000-0000-000079310000}"/>
    <cellStyle name="40% - Accent2 10 3 2 2 3" xfId="12967" xr:uid="{00000000-0005-0000-0000-00007A310000}"/>
    <cellStyle name="40% - Accent2 10 3 2 2 4" xfId="20922" xr:uid="{00000000-0005-0000-0000-00007B310000}"/>
    <cellStyle name="40% - Accent2 10 3 2 3" xfId="6775" xr:uid="{00000000-0005-0000-0000-00007C310000}"/>
    <cellStyle name="40% - Accent2 10 3 2 3 2" xfId="14747" xr:uid="{00000000-0005-0000-0000-00007D310000}"/>
    <cellStyle name="40% - Accent2 10 3 2 3 3" xfId="22694" xr:uid="{00000000-0005-0000-0000-00007E310000}"/>
    <cellStyle name="40% - Accent2 10 3 2 4" xfId="11211" xr:uid="{00000000-0005-0000-0000-00007F310000}"/>
    <cellStyle name="40% - Accent2 10 3 2 5" xfId="19166" xr:uid="{00000000-0005-0000-0000-000080310000}"/>
    <cellStyle name="40% - Accent2 10 3 2_Exh G" xfId="2815" xr:uid="{00000000-0005-0000-0000-000081310000}"/>
    <cellStyle name="40% - Accent2 10 3 3" xfId="4064" xr:uid="{00000000-0005-0000-0000-000082310000}"/>
    <cellStyle name="40% - Accent2 10 3 3 2" xfId="7656" xr:uid="{00000000-0005-0000-0000-000083310000}"/>
    <cellStyle name="40% - Accent2 10 3 3 2 2" xfId="15627" xr:uid="{00000000-0005-0000-0000-000084310000}"/>
    <cellStyle name="40% - Accent2 10 3 3 2 3" xfId="23573" xr:uid="{00000000-0005-0000-0000-000085310000}"/>
    <cellStyle name="40% - Accent2 10 3 3 3" xfId="12089" xr:uid="{00000000-0005-0000-0000-000086310000}"/>
    <cellStyle name="40% - Accent2 10 3 3 4" xfId="20044" xr:uid="{00000000-0005-0000-0000-000087310000}"/>
    <cellStyle name="40% - Accent2 10 3 4" xfId="5884" xr:uid="{00000000-0005-0000-0000-000088310000}"/>
    <cellStyle name="40% - Accent2 10 3 4 2" xfId="13868" xr:uid="{00000000-0005-0000-0000-000089310000}"/>
    <cellStyle name="40% - Accent2 10 3 4 3" xfId="21816" xr:uid="{00000000-0005-0000-0000-00008A310000}"/>
    <cellStyle name="40% - Accent2 10 3 5" xfId="9437" xr:uid="{00000000-0005-0000-0000-00008B310000}"/>
    <cellStyle name="40% - Accent2 10 3 5 2" xfId="17395" xr:uid="{00000000-0005-0000-0000-00008C310000}"/>
    <cellStyle name="40% - Accent2 10 3 5 3" xfId="25339" xr:uid="{00000000-0005-0000-0000-00008D310000}"/>
    <cellStyle name="40% - Accent2 10 3 6" xfId="10333" xr:uid="{00000000-0005-0000-0000-00008E310000}"/>
    <cellStyle name="40% - Accent2 10 3 7" xfId="18288" xr:uid="{00000000-0005-0000-0000-00008F310000}"/>
    <cellStyle name="40% - Accent2 10 3_Exh G" xfId="2814" xr:uid="{00000000-0005-0000-0000-000090310000}"/>
    <cellStyle name="40% - Accent2 10 4" xfId="946" xr:uid="{00000000-0005-0000-0000-000091310000}"/>
    <cellStyle name="40% - Accent2 10 5" xfId="1410" xr:uid="{00000000-0005-0000-0000-000092310000}"/>
    <cellStyle name="40% - Accent2 10 5 2" xfId="4940" xr:uid="{00000000-0005-0000-0000-000093310000}"/>
    <cellStyle name="40% - Accent2 10 5 2 2" xfId="8531" xr:uid="{00000000-0005-0000-0000-000094310000}"/>
    <cellStyle name="40% - Accent2 10 5 2 2 2" xfId="16502" xr:uid="{00000000-0005-0000-0000-000095310000}"/>
    <cellStyle name="40% - Accent2 10 5 2 2 3" xfId="24448" xr:uid="{00000000-0005-0000-0000-000096310000}"/>
    <cellStyle name="40% - Accent2 10 5 2 3" xfId="12964" xr:uid="{00000000-0005-0000-0000-000097310000}"/>
    <cellStyle name="40% - Accent2 10 5 2 4" xfId="20919" xr:uid="{00000000-0005-0000-0000-000098310000}"/>
    <cellStyle name="40% - Accent2 10 5 3" xfId="6772" xr:uid="{00000000-0005-0000-0000-000099310000}"/>
    <cellStyle name="40% - Accent2 10 5 3 2" xfId="14744" xr:uid="{00000000-0005-0000-0000-00009A310000}"/>
    <cellStyle name="40% - Accent2 10 5 3 3" xfId="22691" xr:uid="{00000000-0005-0000-0000-00009B310000}"/>
    <cellStyle name="40% - Accent2 10 5 4" xfId="11208" xr:uid="{00000000-0005-0000-0000-00009C310000}"/>
    <cellStyle name="40% - Accent2 10 5 5" xfId="19163" xr:uid="{00000000-0005-0000-0000-00009D310000}"/>
    <cellStyle name="40% - Accent2 10 5_Exh G" xfId="2816" xr:uid="{00000000-0005-0000-0000-00009E310000}"/>
    <cellStyle name="40% - Accent2 10 6" xfId="4061" xr:uid="{00000000-0005-0000-0000-00009F310000}"/>
    <cellStyle name="40% - Accent2 10 6 2" xfId="7653" xr:uid="{00000000-0005-0000-0000-0000A0310000}"/>
    <cellStyle name="40% - Accent2 10 6 2 2" xfId="15624" xr:uid="{00000000-0005-0000-0000-0000A1310000}"/>
    <cellStyle name="40% - Accent2 10 6 2 3" xfId="23570" xr:uid="{00000000-0005-0000-0000-0000A2310000}"/>
    <cellStyle name="40% - Accent2 10 6 3" xfId="12086" xr:uid="{00000000-0005-0000-0000-0000A3310000}"/>
    <cellStyle name="40% - Accent2 10 6 4" xfId="20041" xr:uid="{00000000-0005-0000-0000-0000A4310000}"/>
    <cellStyle name="40% - Accent2 10 7" xfId="5881" xr:uid="{00000000-0005-0000-0000-0000A5310000}"/>
    <cellStyle name="40% - Accent2 10 7 2" xfId="13865" xr:uid="{00000000-0005-0000-0000-0000A6310000}"/>
    <cellStyle name="40% - Accent2 10 7 3" xfId="21813" xr:uid="{00000000-0005-0000-0000-0000A7310000}"/>
    <cellStyle name="40% - Accent2 10 8" xfId="9434" xr:uid="{00000000-0005-0000-0000-0000A8310000}"/>
    <cellStyle name="40% - Accent2 10 8 2" xfId="17392" xr:uid="{00000000-0005-0000-0000-0000A9310000}"/>
    <cellStyle name="40% - Accent2 10 8 3" xfId="25336" xr:uid="{00000000-0005-0000-0000-0000AA310000}"/>
    <cellStyle name="40% - Accent2 10 9" xfId="10330" xr:uid="{00000000-0005-0000-0000-0000AB310000}"/>
    <cellStyle name="40% - Accent2 10_Exh G" xfId="2809" xr:uid="{00000000-0005-0000-0000-0000AC310000}"/>
    <cellStyle name="40% - Accent2 11" xfId="386" xr:uid="{00000000-0005-0000-0000-0000AD310000}"/>
    <cellStyle name="40% - Accent2 11 2" xfId="387" xr:uid="{00000000-0005-0000-0000-0000AE310000}"/>
    <cellStyle name="40% - Accent2 11 2 2" xfId="388" xr:uid="{00000000-0005-0000-0000-0000AF310000}"/>
    <cellStyle name="40% - Accent2 11 2 2 2" xfId="1416" xr:uid="{00000000-0005-0000-0000-0000B0310000}"/>
    <cellStyle name="40% - Accent2 11 2 2 2 2" xfId="4946" xr:uid="{00000000-0005-0000-0000-0000B1310000}"/>
    <cellStyle name="40% - Accent2 11 2 2 2 2 2" xfId="8537" xr:uid="{00000000-0005-0000-0000-0000B2310000}"/>
    <cellStyle name="40% - Accent2 11 2 2 2 2 2 2" xfId="16508" xr:uid="{00000000-0005-0000-0000-0000B3310000}"/>
    <cellStyle name="40% - Accent2 11 2 2 2 2 2 3" xfId="24454" xr:uid="{00000000-0005-0000-0000-0000B4310000}"/>
    <cellStyle name="40% - Accent2 11 2 2 2 2 3" xfId="12970" xr:uid="{00000000-0005-0000-0000-0000B5310000}"/>
    <cellStyle name="40% - Accent2 11 2 2 2 2 4" xfId="20925" xr:uid="{00000000-0005-0000-0000-0000B6310000}"/>
    <cellStyle name="40% - Accent2 11 2 2 2 3" xfId="6778" xr:uid="{00000000-0005-0000-0000-0000B7310000}"/>
    <cellStyle name="40% - Accent2 11 2 2 2 3 2" xfId="14750" xr:uid="{00000000-0005-0000-0000-0000B8310000}"/>
    <cellStyle name="40% - Accent2 11 2 2 2 3 3" xfId="22697" xr:uid="{00000000-0005-0000-0000-0000B9310000}"/>
    <cellStyle name="40% - Accent2 11 2 2 2 4" xfId="11214" xr:uid="{00000000-0005-0000-0000-0000BA310000}"/>
    <cellStyle name="40% - Accent2 11 2 2 2 5" xfId="19169" xr:uid="{00000000-0005-0000-0000-0000BB310000}"/>
    <cellStyle name="40% - Accent2 11 2 2 2_Exh G" xfId="2820" xr:uid="{00000000-0005-0000-0000-0000BC310000}"/>
    <cellStyle name="40% - Accent2 11 2 2 3" xfId="4067" xr:uid="{00000000-0005-0000-0000-0000BD310000}"/>
    <cellStyle name="40% - Accent2 11 2 2 3 2" xfId="7659" xr:uid="{00000000-0005-0000-0000-0000BE310000}"/>
    <cellStyle name="40% - Accent2 11 2 2 3 2 2" xfId="15630" xr:uid="{00000000-0005-0000-0000-0000BF310000}"/>
    <cellStyle name="40% - Accent2 11 2 2 3 2 3" xfId="23576" xr:uid="{00000000-0005-0000-0000-0000C0310000}"/>
    <cellStyle name="40% - Accent2 11 2 2 3 3" xfId="12092" xr:uid="{00000000-0005-0000-0000-0000C1310000}"/>
    <cellStyle name="40% - Accent2 11 2 2 3 4" xfId="20047" xr:uid="{00000000-0005-0000-0000-0000C2310000}"/>
    <cellStyle name="40% - Accent2 11 2 2 4" xfId="5887" xr:uid="{00000000-0005-0000-0000-0000C3310000}"/>
    <cellStyle name="40% - Accent2 11 2 2 4 2" xfId="13871" xr:uid="{00000000-0005-0000-0000-0000C4310000}"/>
    <cellStyle name="40% - Accent2 11 2 2 4 3" xfId="21819" xr:uid="{00000000-0005-0000-0000-0000C5310000}"/>
    <cellStyle name="40% - Accent2 11 2 2 5" xfId="9440" xr:uid="{00000000-0005-0000-0000-0000C6310000}"/>
    <cellStyle name="40% - Accent2 11 2 2 5 2" xfId="17398" xr:uid="{00000000-0005-0000-0000-0000C7310000}"/>
    <cellStyle name="40% - Accent2 11 2 2 5 3" xfId="25342" xr:uid="{00000000-0005-0000-0000-0000C8310000}"/>
    <cellStyle name="40% - Accent2 11 2 2 6" xfId="10336" xr:uid="{00000000-0005-0000-0000-0000C9310000}"/>
    <cellStyle name="40% - Accent2 11 2 2 7" xfId="18291" xr:uid="{00000000-0005-0000-0000-0000CA310000}"/>
    <cellStyle name="40% - Accent2 11 2 2_Exh G" xfId="2819" xr:uid="{00000000-0005-0000-0000-0000CB310000}"/>
    <cellStyle name="40% - Accent2 11 2 3" xfId="1415" xr:uid="{00000000-0005-0000-0000-0000CC310000}"/>
    <cellStyle name="40% - Accent2 11 2 3 2" xfId="4945" xr:uid="{00000000-0005-0000-0000-0000CD310000}"/>
    <cellStyle name="40% - Accent2 11 2 3 2 2" xfId="8536" xr:uid="{00000000-0005-0000-0000-0000CE310000}"/>
    <cellStyle name="40% - Accent2 11 2 3 2 2 2" xfId="16507" xr:uid="{00000000-0005-0000-0000-0000CF310000}"/>
    <cellStyle name="40% - Accent2 11 2 3 2 2 3" xfId="24453" xr:uid="{00000000-0005-0000-0000-0000D0310000}"/>
    <cellStyle name="40% - Accent2 11 2 3 2 3" xfId="12969" xr:uid="{00000000-0005-0000-0000-0000D1310000}"/>
    <cellStyle name="40% - Accent2 11 2 3 2 4" xfId="20924" xr:uid="{00000000-0005-0000-0000-0000D2310000}"/>
    <cellStyle name="40% - Accent2 11 2 3 3" xfId="6777" xr:uid="{00000000-0005-0000-0000-0000D3310000}"/>
    <cellStyle name="40% - Accent2 11 2 3 3 2" xfId="14749" xr:uid="{00000000-0005-0000-0000-0000D4310000}"/>
    <cellStyle name="40% - Accent2 11 2 3 3 3" xfId="22696" xr:uid="{00000000-0005-0000-0000-0000D5310000}"/>
    <cellStyle name="40% - Accent2 11 2 3 4" xfId="11213" xr:uid="{00000000-0005-0000-0000-0000D6310000}"/>
    <cellStyle name="40% - Accent2 11 2 3 5" xfId="19168" xr:uid="{00000000-0005-0000-0000-0000D7310000}"/>
    <cellStyle name="40% - Accent2 11 2 3_Exh G" xfId="2821" xr:uid="{00000000-0005-0000-0000-0000D8310000}"/>
    <cellStyle name="40% - Accent2 11 2 4" xfId="4066" xr:uid="{00000000-0005-0000-0000-0000D9310000}"/>
    <cellStyle name="40% - Accent2 11 2 4 2" xfId="7658" xr:uid="{00000000-0005-0000-0000-0000DA310000}"/>
    <cellStyle name="40% - Accent2 11 2 4 2 2" xfId="15629" xr:uid="{00000000-0005-0000-0000-0000DB310000}"/>
    <cellStyle name="40% - Accent2 11 2 4 2 3" xfId="23575" xr:uid="{00000000-0005-0000-0000-0000DC310000}"/>
    <cellStyle name="40% - Accent2 11 2 4 3" xfId="12091" xr:uid="{00000000-0005-0000-0000-0000DD310000}"/>
    <cellStyle name="40% - Accent2 11 2 4 4" xfId="20046" xr:uid="{00000000-0005-0000-0000-0000DE310000}"/>
    <cellStyle name="40% - Accent2 11 2 5" xfId="5886" xr:uid="{00000000-0005-0000-0000-0000DF310000}"/>
    <cellStyle name="40% - Accent2 11 2 5 2" xfId="13870" xr:uid="{00000000-0005-0000-0000-0000E0310000}"/>
    <cellStyle name="40% - Accent2 11 2 5 3" xfId="21818" xr:uid="{00000000-0005-0000-0000-0000E1310000}"/>
    <cellStyle name="40% - Accent2 11 2 6" xfId="9439" xr:uid="{00000000-0005-0000-0000-0000E2310000}"/>
    <cellStyle name="40% - Accent2 11 2 6 2" xfId="17397" xr:uid="{00000000-0005-0000-0000-0000E3310000}"/>
    <cellStyle name="40% - Accent2 11 2 6 3" xfId="25341" xr:uid="{00000000-0005-0000-0000-0000E4310000}"/>
    <cellStyle name="40% - Accent2 11 2 7" xfId="10335" xr:uid="{00000000-0005-0000-0000-0000E5310000}"/>
    <cellStyle name="40% - Accent2 11 2 8" xfId="18290" xr:uid="{00000000-0005-0000-0000-0000E6310000}"/>
    <cellStyle name="40% - Accent2 11 2_Exh G" xfId="2818" xr:uid="{00000000-0005-0000-0000-0000E7310000}"/>
    <cellStyle name="40% - Accent2 11 3" xfId="389" xr:uid="{00000000-0005-0000-0000-0000E8310000}"/>
    <cellStyle name="40% - Accent2 11 3 2" xfId="1417" xr:uid="{00000000-0005-0000-0000-0000E9310000}"/>
    <cellStyle name="40% - Accent2 11 3 2 2" xfId="4947" xr:uid="{00000000-0005-0000-0000-0000EA310000}"/>
    <cellStyle name="40% - Accent2 11 3 2 2 2" xfId="8538" xr:uid="{00000000-0005-0000-0000-0000EB310000}"/>
    <cellStyle name="40% - Accent2 11 3 2 2 2 2" xfId="16509" xr:uid="{00000000-0005-0000-0000-0000EC310000}"/>
    <cellStyle name="40% - Accent2 11 3 2 2 2 3" xfId="24455" xr:uid="{00000000-0005-0000-0000-0000ED310000}"/>
    <cellStyle name="40% - Accent2 11 3 2 2 3" xfId="12971" xr:uid="{00000000-0005-0000-0000-0000EE310000}"/>
    <cellStyle name="40% - Accent2 11 3 2 2 4" xfId="20926" xr:uid="{00000000-0005-0000-0000-0000EF310000}"/>
    <cellStyle name="40% - Accent2 11 3 2 3" xfId="6779" xr:uid="{00000000-0005-0000-0000-0000F0310000}"/>
    <cellStyle name="40% - Accent2 11 3 2 3 2" xfId="14751" xr:uid="{00000000-0005-0000-0000-0000F1310000}"/>
    <cellStyle name="40% - Accent2 11 3 2 3 3" xfId="22698" xr:uid="{00000000-0005-0000-0000-0000F2310000}"/>
    <cellStyle name="40% - Accent2 11 3 2 4" xfId="11215" xr:uid="{00000000-0005-0000-0000-0000F3310000}"/>
    <cellStyle name="40% - Accent2 11 3 2 5" xfId="19170" xr:uid="{00000000-0005-0000-0000-0000F4310000}"/>
    <cellStyle name="40% - Accent2 11 3 2_Exh G" xfId="2823" xr:uid="{00000000-0005-0000-0000-0000F5310000}"/>
    <cellStyle name="40% - Accent2 11 3 3" xfId="4068" xr:uid="{00000000-0005-0000-0000-0000F6310000}"/>
    <cellStyle name="40% - Accent2 11 3 3 2" xfId="7660" xr:uid="{00000000-0005-0000-0000-0000F7310000}"/>
    <cellStyle name="40% - Accent2 11 3 3 2 2" xfId="15631" xr:uid="{00000000-0005-0000-0000-0000F8310000}"/>
    <cellStyle name="40% - Accent2 11 3 3 2 3" xfId="23577" xr:uid="{00000000-0005-0000-0000-0000F9310000}"/>
    <cellStyle name="40% - Accent2 11 3 3 3" xfId="12093" xr:uid="{00000000-0005-0000-0000-0000FA310000}"/>
    <cellStyle name="40% - Accent2 11 3 3 4" xfId="20048" xr:uid="{00000000-0005-0000-0000-0000FB310000}"/>
    <cellStyle name="40% - Accent2 11 3 4" xfId="5888" xr:uid="{00000000-0005-0000-0000-0000FC310000}"/>
    <cellStyle name="40% - Accent2 11 3 4 2" xfId="13872" xr:uid="{00000000-0005-0000-0000-0000FD310000}"/>
    <cellStyle name="40% - Accent2 11 3 4 3" xfId="21820" xr:uid="{00000000-0005-0000-0000-0000FE310000}"/>
    <cellStyle name="40% - Accent2 11 3 5" xfId="9441" xr:uid="{00000000-0005-0000-0000-0000FF310000}"/>
    <cellStyle name="40% - Accent2 11 3 5 2" xfId="17399" xr:uid="{00000000-0005-0000-0000-000000320000}"/>
    <cellStyle name="40% - Accent2 11 3 5 3" xfId="25343" xr:uid="{00000000-0005-0000-0000-000001320000}"/>
    <cellStyle name="40% - Accent2 11 3 6" xfId="10337" xr:uid="{00000000-0005-0000-0000-000002320000}"/>
    <cellStyle name="40% - Accent2 11 3 7" xfId="18292" xr:uid="{00000000-0005-0000-0000-000003320000}"/>
    <cellStyle name="40% - Accent2 11 3_Exh G" xfId="2822" xr:uid="{00000000-0005-0000-0000-000004320000}"/>
    <cellStyle name="40% - Accent2 11 4" xfId="1414" xr:uid="{00000000-0005-0000-0000-000005320000}"/>
    <cellStyle name="40% - Accent2 11 4 2" xfId="4944" xr:uid="{00000000-0005-0000-0000-000006320000}"/>
    <cellStyle name="40% - Accent2 11 4 2 2" xfId="8535" xr:uid="{00000000-0005-0000-0000-000007320000}"/>
    <cellStyle name="40% - Accent2 11 4 2 2 2" xfId="16506" xr:uid="{00000000-0005-0000-0000-000008320000}"/>
    <cellStyle name="40% - Accent2 11 4 2 2 3" xfId="24452" xr:uid="{00000000-0005-0000-0000-000009320000}"/>
    <cellStyle name="40% - Accent2 11 4 2 3" xfId="12968" xr:uid="{00000000-0005-0000-0000-00000A320000}"/>
    <cellStyle name="40% - Accent2 11 4 2 4" xfId="20923" xr:uid="{00000000-0005-0000-0000-00000B320000}"/>
    <cellStyle name="40% - Accent2 11 4 3" xfId="6776" xr:uid="{00000000-0005-0000-0000-00000C320000}"/>
    <cellStyle name="40% - Accent2 11 4 3 2" xfId="14748" xr:uid="{00000000-0005-0000-0000-00000D320000}"/>
    <cellStyle name="40% - Accent2 11 4 3 3" xfId="22695" xr:uid="{00000000-0005-0000-0000-00000E320000}"/>
    <cellStyle name="40% - Accent2 11 4 4" xfId="11212" xr:uid="{00000000-0005-0000-0000-00000F320000}"/>
    <cellStyle name="40% - Accent2 11 4 5" xfId="19167" xr:uid="{00000000-0005-0000-0000-000010320000}"/>
    <cellStyle name="40% - Accent2 11 4_Exh G" xfId="2824" xr:uid="{00000000-0005-0000-0000-000011320000}"/>
    <cellStyle name="40% - Accent2 11 5" xfId="4065" xr:uid="{00000000-0005-0000-0000-000012320000}"/>
    <cellStyle name="40% - Accent2 11 5 2" xfId="7657" xr:uid="{00000000-0005-0000-0000-000013320000}"/>
    <cellStyle name="40% - Accent2 11 5 2 2" xfId="15628" xr:uid="{00000000-0005-0000-0000-000014320000}"/>
    <cellStyle name="40% - Accent2 11 5 2 3" xfId="23574" xr:uid="{00000000-0005-0000-0000-000015320000}"/>
    <cellStyle name="40% - Accent2 11 5 3" xfId="12090" xr:uid="{00000000-0005-0000-0000-000016320000}"/>
    <cellStyle name="40% - Accent2 11 5 4" xfId="20045" xr:uid="{00000000-0005-0000-0000-000017320000}"/>
    <cellStyle name="40% - Accent2 11 6" xfId="5885" xr:uid="{00000000-0005-0000-0000-000018320000}"/>
    <cellStyle name="40% - Accent2 11 6 2" xfId="13869" xr:uid="{00000000-0005-0000-0000-000019320000}"/>
    <cellStyle name="40% - Accent2 11 6 3" xfId="21817" xr:uid="{00000000-0005-0000-0000-00001A320000}"/>
    <cellStyle name="40% - Accent2 11 7" xfId="9438" xr:uid="{00000000-0005-0000-0000-00001B320000}"/>
    <cellStyle name="40% - Accent2 11 7 2" xfId="17396" xr:uid="{00000000-0005-0000-0000-00001C320000}"/>
    <cellStyle name="40% - Accent2 11 7 3" xfId="25340" xr:uid="{00000000-0005-0000-0000-00001D320000}"/>
    <cellStyle name="40% - Accent2 11 8" xfId="10334" xr:uid="{00000000-0005-0000-0000-00001E320000}"/>
    <cellStyle name="40% - Accent2 11 9" xfId="18289" xr:uid="{00000000-0005-0000-0000-00001F320000}"/>
    <cellStyle name="40% - Accent2 11_Exh G" xfId="2817" xr:uid="{00000000-0005-0000-0000-000020320000}"/>
    <cellStyle name="40% - Accent2 12" xfId="390" xr:uid="{00000000-0005-0000-0000-000021320000}"/>
    <cellStyle name="40% - Accent2 12 2" xfId="391" xr:uid="{00000000-0005-0000-0000-000022320000}"/>
    <cellStyle name="40% - Accent2 12 2 2" xfId="392" xr:uid="{00000000-0005-0000-0000-000023320000}"/>
    <cellStyle name="40% - Accent2 12 2 2 2" xfId="1420" xr:uid="{00000000-0005-0000-0000-000024320000}"/>
    <cellStyle name="40% - Accent2 12 2 2 2 2" xfId="4950" xr:uid="{00000000-0005-0000-0000-000025320000}"/>
    <cellStyle name="40% - Accent2 12 2 2 2 2 2" xfId="8541" xr:uid="{00000000-0005-0000-0000-000026320000}"/>
    <cellStyle name="40% - Accent2 12 2 2 2 2 2 2" xfId="16512" xr:uid="{00000000-0005-0000-0000-000027320000}"/>
    <cellStyle name="40% - Accent2 12 2 2 2 2 2 3" xfId="24458" xr:uid="{00000000-0005-0000-0000-000028320000}"/>
    <cellStyle name="40% - Accent2 12 2 2 2 2 3" xfId="12974" xr:uid="{00000000-0005-0000-0000-000029320000}"/>
    <cellStyle name="40% - Accent2 12 2 2 2 2 4" xfId="20929" xr:uid="{00000000-0005-0000-0000-00002A320000}"/>
    <cellStyle name="40% - Accent2 12 2 2 2 3" xfId="6782" xr:uid="{00000000-0005-0000-0000-00002B320000}"/>
    <cellStyle name="40% - Accent2 12 2 2 2 3 2" xfId="14754" xr:uid="{00000000-0005-0000-0000-00002C320000}"/>
    <cellStyle name="40% - Accent2 12 2 2 2 3 3" xfId="22701" xr:uid="{00000000-0005-0000-0000-00002D320000}"/>
    <cellStyle name="40% - Accent2 12 2 2 2 4" xfId="11218" xr:uid="{00000000-0005-0000-0000-00002E320000}"/>
    <cellStyle name="40% - Accent2 12 2 2 2 5" xfId="19173" xr:uid="{00000000-0005-0000-0000-00002F320000}"/>
    <cellStyle name="40% - Accent2 12 2 2 2_Exh G" xfId="2828" xr:uid="{00000000-0005-0000-0000-000030320000}"/>
    <cellStyle name="40% - Accent2 12 2 2 3" xfId="4071" xr:uid="{00000000-0005-0000-0000-000031320000}"/>
    <cellStyle name="40% - Accent2 12 2 2 3 2" xfId="7663" xr:uid="{00000000-0005-0000-0000-000032320000}"/>
    <cellStyle name="40% - Accent2 12 2 2 3 2 2" xfId="15634" xr:uid="{00000000-0005-0000-0000-000033320000}"/>
    <cellStyle name="40% - Accent2 12 2 2 3 2 3" xfId="23580" xr:uid="{00000000-0005-0000-0000-000034320000}"/>
    <cellStyle name="40% - Accent2 12 2 2 3 3" xfId="12096" xr:uid="{00000000-0005-0000-0000-000035320000}"/>
    <cellStyle name="40% - Accent2 12 2 2 3 4" xfId="20051" xr:uid="{00000000-0005-0000-0000-000036320000}"/>
    <cellStyle name="40% - Accent2 12 2 2 4" xfId="5891" xr:uid="{00000000-0005-0000-0000-000037320000}"/>
    <cellStyle name="40% - Accent2 12 2 2 4 2" xfId="13875" xr:uid="{00000000-0005-0000-0000-000038320000}"/>
    <cellStyle name="40% - Accent2 12 2 2 4 3" xfId="21823" xr:uid="{00000000-0005-0000-0000-000039320000}"/>
    <cellStyle name="40% - Accent2 12 2 2 5" xfId="9444" xr:uid="{00000000-0005-0000-0000-00003A320000}"/>
    <cellStyle name="40% - Accent2 12 2 2 5 2" xfId="17402" xr:uid="{00000000-0005-0000-0000-00003B320000}"/>
    <cellStyle name="40% - Accent2 12 2 2 5 3" xfId="25346" xr:uid="{00000000-0005-0000-0000-00003C320000}"/>
    <cellStyle name="40% - Accent2 12 2 2 6" xfId="10340" xr:uid="{00000000-0005-0000-0000-00003D320000}"/>
    <cellStyle name="40% - Accent2 12 2 2 7" xfId="18295" xr:uid="{00000000-0005-0000-0000-00003E320000}"/>
    <cellStyle name="40% - Accent2 12 2 2_Exh G" xfId="2827" xr:uid="{00000000-0005-0000-0000-00003F320000}"/>
    <cellStyle name="40% - Accent2 12 2 3" xfId="1419" xr:uid="{00000000-0005-0000-0000-000040320000}"/>
    <cellStyle name="40% - Accent2 12 2 3 2" xfId="4949" xr:uid="{00000000-0005-0000-0000-000041320000}"/>
    <cellStyle name="40% - Accent2 12 2 3 2 2" xfId="8540" xr:uid="{00000000-0005-0000-0000-000042320000}"/>
    <cellStyle name="40% - Accent2 12 2 3 2 2 2" xfId="16511" xr:uid="{00000000-0005-0000-0000-000043320000}"/>
    <cellStyle name="40% - Accent2 12 2 3 2 2 3" xfId="24457" xr:uid="{00000000-0005-0000-0000-000044320000}"/>
    <cellStyle name="40% - Accent2 12 2 3 2 3" xfId="12973" xr:uid="{00000000-0005-0000-0000-000045320000}"/>
    <cellStyle name="40% - Accent2 12 2 3 2 4" xfId="20928" xr:uid="{00000000-0005-0000-0000-000046320000}"/>
    <cellStyle name="40% - Accent2 12 2 3 3" xfId="6781" xr:uid="{00000000-0005-0000-0000-000047320000}"/>
    <cellStyle name="40% - Accent2 12 2 3 3 2" xfId="14753" xr:uid="{00000000-0005-0000-0000-000048320000}"/>
    <cellStyle name="40% - Accent2 12 2 3 3 3" xfId="22700" xr:uid="{00000000-0005-0000-0000-000049320000}"/>
    <cellStyle name="40% - Accent2 12 2 3 4" xfId="11217" xr:uid="{00000000-0005-0000-0000-00004A320000}"/>
    <cellStyle name="40% - Accent2 12 2 3 5" xfId="19172" xr:uid="{00000000-0005-0000-0000-00004B320000}"/>
    <cellStyle name="40% - Accent2 12 2 3_Exh G" xfId="2829" xr:uid="{00000000-0005-0000-0000-00004C320000}"/>
    <cellStyle name="40% - Accent2 12 2 4" xfId="4070" xr:uid="{00000000-0005-0000-0000-00004D320000}"/>
    <cellStyle name="40% - Accent2 12 2 4 2" xfId="7662" xr:uid="{00000000-0005-0000-0000-00004E320000}"/>
    <cellStyle name="40% - Accent2 12 2 4 2 2" xfId="15633" xr:uid="{00000000-0005-0000-0000-00004F320000}"/>
    <cellStyle name="40% - Accent2 12 2 4 2 3" xfId="23579" xr:uid="{00000000-0005-0000-0000-000050320000}"/>
    <cellStyle name="40% - Accent2 12 2 4 3" xfId="12095" xr:uid="{00000000-0005-0000-0000-000051320000}"/>
    <cellStyle name="40% - Accent2 12 2 4 4" xfId="20050" xr:uid="{00000000-0005-0000-0000-000052320000}"/>
    <cellStyle name="40% - Accent2 12 2 5" xfId="5890" xr:uid="{00000000-0005-0000-0000-000053320000}"/>
    <cellStyle name="40% - Accent2 12 2 5 2" xfId="13874" xr:uid="{00000000-0005-0000-0000-000054320000}"/>
    <cellStyle name="40% - Accent2 12 2 5 3" xfId="21822" xr:uid="{00000000-0005-0000-0000-000055320000}"/>
    <cellStyle name="40% - Accent2 12 2 6" xfId="9443" xr:uid="{00000000-0005-0000-0000-000056320000}"/>
    <cellStyle name="40% - Accent2 12 2 6 2" xfId="17401" xr:uid="{00000000-0005-0000-0000-000057320000}"/>
    <cellStyle name="40% - Accent2 12 2 6 3" xfId="25345" xr:uid="{00000000-0005-0000-0000-000058320000}"/>
    <cellStyle name="40% - Accent2 12 2 7" xfId="10339" xr:uid="{00000000-0005-0000-0000-000059320000}"/>
    <cellStyle name="40% - Accent2 12 2 8" xfId="18294" xr:uid="{00000000-0005-0000-0000-00005A320000}"/>
    <cellStyle name="40% - Accent2 12 2_Exh G" xfId="2826" xr:uid="{00000000-0005-0000-0000-00005B320000}"/>
    <cellStyle name="40% - Accent2 12 3" xfId="393" xr:uid="{00000000-0005-0000-0000-00005C320000}"/>
    <cellStyle name="40% - Accent2 12 3 2" xfId="1421" xr:uid="{00000000-0005-0000-0000-00005D320000}"/>
    <cellStyle name="40% - Accent2 12 3 2 2" xfId="4951" xr:uid="{00000000-0005-0000-0000-00005E320000}"/>
    <cellStyle name="40% - Accent2 12 3 2 2 2" xfId="8542" xr:uid="{00000000-0005-0000-0000-00005F320000}"/>
    <cellStyle name="40% - Accent2 12 3 2 2 2 2" xfId="16513" xr:uid="{00000000-0005-0000-0000-000060320000}"/>
    <cellStyle name="40% - Accent2 12 3 2 2 2 3" xfId="24459" xr:uid="{00000000-0005-0000-0000-000061320000}"/>
    <cellStyle name="40% - Accent2 12 3 2 2 3" xfId="12975" xr:uid="{00000000-0005-0000-0000-000062320000}"/>
    <cellStyle name="40% - Accent2 12 3 2 2 4" xfId="20930" xr:uid="{00000000-0005-0000-0000-000063320000}"/>
    <cellStyle name="40% - Accent2 12 3 2 3" xfId="6783" xr:uid="{00000000-0005-0000-0000-000064320000}"/>
    <cellStyle name="40% - Accent2 12 3 2 3 2" xfId="14755" xr:uid="{00000000-0005-0000-0000-000065320000}"/>
    <cellStyle name="40% - Accent2 12 3 2 3 3" xfId="22702" xr:uid="{00000000-0005-0000-0000-000066320000}"/>
    <cellStyle name="40% - Accent2 12 3 2 4" xfId="11219" xr:uid="{00000000-0005-0000-0000-000067320000}"/>
    <cellStyle name="40% - Accent2 12 3 2 5" xfId="19174" xr:uid="{00000000-0005-0000-0000-000068320000}"/>
    <cellStyle name="40% - Accent2 12 3 2_Exh G" xfId="2831" xr:uid="{00000000-0005-0000-0000-000069320000}"/>
    <cellStyle name="40% - Accent2 12 3 3" xfId="4072" xr:uid="{00000000-0005-0000-0000-00006A320000}"/>
    <cellStyle name="40% - Accent2 12 3 3 2" xfId="7664" xr:uid="{00000000-0005-0000-0000-00006B320000}"/>
    <cellStyle name="40% - Accent2 12 3 3 2 2" xfId="15635" xr:uid="{00000000-0005-0000-0000-00006C320000}"/>
    <cellStyle name="40% - Accent2 12 3 3 2 3" xfId="23581" xr:uid="{00000000-0005-0000-0000-00006D320000}"/>
    <cellStyle name="40% - Accent2 12 3 3 3" xfId="12097" xr:uid="{00000000-0005-0000-0000-00006E320000}"/>
    <cellStyle name="40% - Accent2 12 3 3 4" xfId="20052" xr:uid="{00000000-0005-0000-0000-00006F320000}"/>
    <cellStyle name="40% - Accent2 12 3 4" xfId="5892" xr:uid="{00000000-0005-0000-0000-000070320000}"/>
    <cellStyle name="40% - Accent2 12 3 4 2" xfId="13876" xr:uid="{00000000-0005-0000-0000-000071320000}"/>
    <cellStyle name="40% - Accent2 12 3 4 3" xfId="21824" xr:uid="{00000000-0005-0000-0000-000072320000}"/>
    <cellStyle name="40% - Accent2 12 3 5" xfId="9445" xr:uid="{00000000-0005-0000-0000-000073320000}"/>
    <cellStyle name="40% - Accent2 12 3 5 2" xfId="17403" xr:uid="{00000000-0005-0000-0000-000074320000}"/>
    <cellStyle name="40% - Accent2 12 3 5 3" xfId="25347" xr:uid="{00000000-0005-0000-0000-000075320000}"/>
    <cellStyle name="40% - Accent2 12 3 6" xfId="10341" xr:uid="{00000000-0005-0000-0000-000076320000}"/>
    <cellStyle name="40% - Accent2 12 3 7" xfId="18296" xr:uid="{00000000-0005-0000-0000-000077320000}"/>
    <cellStyle name="40% - Accent2 12 3_Exh G" xfId="2830" xr:uid="{00000000-0005-0000-0000-000078320000}"/>
    <cellStyle name="40% - Accent2 12 4" xfId="1418" xr:uid="{00000000-0005-0000-0000-000079320000}"/>
    <cellStyle name="40% - Accent2 12 4 2" xfId="4948" xr:uid="{00000000-0005-0000-0000-00007A320000}"/>
    <cellStyle name="40% - Accent2 12 4 2 2" xfId="8539" xr:uid="{00000000-0005-0000-0000-00007B320000}"/>
    <cellStyle name="40% - Accent2 12 4 2 2 2" xfId="16510" xr:uid="{00000000-0005-0000-0000-00007C320000}"/>
    <cellStyle name="40% - Accent2 12 4 2 2 3" xfId="24456" xr:uid="{00000000-0005-0000-0000-00007D320000}"/>
    <cellStyle name="40% - Accent2 12 4 2 3" xfId="12972" xr:uid="{00000000-0005-0000-0000-00007E320000}"/>
    <cellStyle name="40% - Accent2 12 4 2 4" xfId="20927" xr:uid="{00000000-0005-0000-0000-00007F320000}"/>
    <cellStyle name="40% - Accent2 12 4 3" xfId="6780" xr:uid="{00000000-0005-0000-0000-000080320000}"/>
    <cellStyle name="40% - Accent2 12 4 3 2" xfId="14752" xr:uid="{00000000-0005-0000-0000-000081320000}"/>
    <cellStyle name="40% - Accent2 12 4 3 3" xfId="22699" xr:uid="{00000000-0005-0000-0000-000082320000}"/>
    <cellStyle name="40% - Accent2 12 4 4" xfId="11216" xr:uid="{00000000-0005-0000-0000-000083320000}"/>
    <cellStyle name="40% - Accent2 12 4 5" xfId="19171" xr:uid="{00000000-0005-0000-0000-000084320000}"/>
    <cellStyle name="40% - Accent2 12 4_Exh G" xfId="2832" xr:uid="{00000000-0005-0000-0000-000085320000}"/>
    <cellStyle name="40% - Accent2 12 5" xfId="4069" xr:uid="{00000000-0005-0000-0000-000086320000}"/>
    <cellStyle name="40% - Accent2 12 5 2" xfId="7661" xr:uid="{00000000-0005-0000-0000-000087320000}"/>
    <cellStyle name="40% - Accent2 12 5 2 2" xfId="15632" xr:uid="{00000000-0005-0000-0000-000088320000}"/>
    <cellStyle name="40% - Accent2 12 5 2 3" xfId="23578" xr:uid="{00000000-0005-0000-0000-000089320000}"/>
    <cellStyle name="40% - Accent2 12 5 3" xfId="12094" xr:uid="{00000000-0005-0000-0000-00008A320000}"/>
    <cellStyle name="40% - Accent2 12 5 4" xfId="20049" xr:uid="{00000000-0005-0000-0000-00008B320000}"/>
    <cellStyle name="40% - Accent2 12 6" xfId="5889" xr:uid="{00000000-0005-0000-0000-00008C320000}"/>
    <cellStyle name="40% - Accent2 12 6 2" xfId="13873" xr:uid="{00000000-0005-0000-0000-00008D320000}"/>
    <cellStyle name="40% - Accent2 12 6 3" xfId="21821" xr:uid="{00000000-0005-0000-0000-00008E320000}"/>
    <cellStyle name="40% - Accent2 12 7" xfId="9442" xr:uid="{00000000-0005-0000-0000-00008F320000}"/>
    <cellStyle name="40% - Accent2 12 7 2" xfId="17400" xr:uid="{00000000-0005-0000-0000-000090320000}"/>
    <cellStyle name="40% - Accent2 12 7 3" xfId="25344" xr:uid="{00000000-0005-0000-0000-000091320000}"/>
    <cellStyle name="40% - Accent2 12 8" xfId="10338" xr:uid="{00000000-0005-0000-0000-000092320000}"/>
    <cellStyle name="40% - Accent2 12 9" xfId="18293" xr:uid="{00000000-0005-0000-0000-000093320000}"/>
    <cellStyle name="40% - Accent2 12_Exh G" xfId="2825" xr:uid="{00000000-0005-0000-0000-000094320000}"/>
    <cellStyle name="40% - Accent2 13" xfId="394" xr:uid="{00000000-0005-0000-0000-000095320000}"/>
    <cellStyle name="40% - Accent2 13 2" xfId="395" xr:uid="{00000000-0005-0000-0000-000096320000}"/>
    <cellStyle name="40% - Accent2 13 2 2" xfId="396" xr:uid="{00000000-0005-0000-0000-000097320000}"/>
    <cellStyle name="40% - Accent2 13 2 2 2" xfId="1424" xr:uid="{00000000-0005-0000-0000-000098320000}"/>
    <cellStyle name="40% - Accent2 13 2 2 2 2" xfId="4954" xr:uid="{00000000-0005-0000-0000-000099320000}"/>
    <cellStyle name="40% - Accent2 13 2 2 2 2 2" xfId="8545" xr:uid="{00000000-0005-0000-0000-00009A320000}"/>
    <cellStyle name="40% - Accent2 13 2 2 2 2 2 2" xfId="16516" xr:uid="{00000000-0005-0000-0000-00009B320000}"/>
    <cellStyle name="40% - Accent2 13 2 2 2 2 2 3" xfId="24462" xr:uid="{00000000-0005-0000-0000-00009C320000}"/>
    <cellStyle name="40% - Accent2 13 2 2 2 2 3" xfId="12978" xr:uid="{00000000-0005-0000-0000-00009D320000}"/>
    <cellStyle name="40% - Accent2 13 2 2 2 2 4" xfId="20933" xr:uid="{00000000-0005-0000-0000-00009E320000}"/>
    <cellStyle name="40% - Accent2 13 2 2 2 3" xfId="6786" xr:uid="{00000000-0005-0000-0000-00009F320000}"/>
    <cellStyle name="40% - Accent2 13 2 2 2 3 2" xfId="14758" xr:uid="{00000000-0005-0000-0000-0000A0320000}"/>
    <cellStyle name="40% - Accent2 13 2 2 2 3 3" xfId="22705" xr:uid="{00000000-0005-0000-0000-0000A1320000}"/>
    <cellStyle name="40% - Accent2 13 2 2 2 4" xfId="11222" xr:uid="{00000000-0005-0000-0000-0000A2320000}"/>
    <cellStyle name="40% - Accent2 13 2 2 2 5" xfId="19177" xr:uid="{00000000-0005-0000-0000-0000A3320000}"/>
    <cellStyle name="40% - Accent2 13 2 2 2_Exh G" xfId="2836" xr:uid="{00000000-0005-0000-0000-0000A4320000}"/>
    <cellStyle name="40% - Accent2 13 2 2 3" xfId="4075" xr:uid="{00000000-0005-0000-0000-0000A5320000}"/>
    <cellStyle name="40% - Accent2 13 2 2 3 2" xfId="7667" xr:uid="{00000000-0005-0000-0000-0000A6320000}"/>
    <cellStyle name="40% - Accent2 13 2 2 3 2 2" xfId="15638" xr:uid="{00000000-0005-0000-0000-0000A7320000}"/>
    <cellStyle name="40% - Accent2 13 2 2 3 2 3" xfId="23584" xr:uid="{00000000-0005-0000-0000-0000A8320000}"/>
    <cellStyle name="40% - Accent2 13 2 2 3 3" xfId="12100" xr:uid="{00000000-0005-0000-0000-0000A9320000}"/>
    <cellStyle name="40% - Accent2 13 2 2 3 4" xfId="20055" xr:uid="{00000000-0005-0000-0000-0000AA320000}"/>
    <cellStyle name="40% - Accent2 13 2 2 4" xfId="5895" xr:uid="{00000000-0005-0000-0000-0000AB320000}"/>
    <cellStyle name="40% - Accent2 13 2 2 4 2" xfId="13879" xr:uid="{00000000-0005-0000-0000-0000AC320000}"/>
    <cellStyle name="40% - Accent2 13 2 2 4 3" xfId="21827" xr:uid="{00000000-0005-0000-0000-0000AD320000}"/>
    <cellStyle name="40% - Accent2 13 2 2 5" xfId="9448" xr:uid="{00000000-0005-0000-0000-0000AE320000}"/>
    <cellStyle name="40% - Accent2 13 2 2 5 2" xfId="17406" xr:uid="{00000000-0005-0000-0000-0000AF320000}"/>
    <cellStyle name="40% - Accent2 13 2 2 5 3" xfId="25350" xr:uid="{00000000-0005-0000-0000-0000B0320000}"/>
    <cellStyle name="40% - Accent2 13 2 2 6" xfId="10344" xr:uid="{00000000-0005-0000-0000-0000B1320000}"/>
    <cellStyle name="40% - Accent2 13 2 2 7" xfId="18299" xr:uid="{00000000-0005-0000-0000-0000B2320000}"/>
    <cellStyle name="40% - Accent2 13 2 2_Exh G" xfId="2835" xr:uid="{00000000-0005-0000-0000-0000B3320000}"/>
    <cellStyle name="40% - Accent2 13 2 3" xfId="1423" xr:uid="{00000000-0005-0000-0000-0000B4320000}"/>
    <cellStyle name="40% - Accent2 13 2 3 2" xfId="4953" xr:uid="{00000000-0005-0000-0000-0000B5320000}"/>
    <cellStyle name="40% - Accent2 13 2 3 2 2" xfId="8544" xr:uid="{00000000-0005-0000-0000-0000B6320000}"/>
    <cellStyle name="40% - Accent2 13 2 3 2 2 2" xfId="16515" xr:uid="{00000000-0005-0000-0000-0000B7320000}"/>
    <cellStyle name="40% - Accent2 13 2 3 2 2 3" xfId="24461" xr:uid="{00000000-0005-0000-0000-0000B8320000}"/>
    <cellStyle name="40% - Accent2 13 2 3 2 3" xfId="12977" xr:uid="{00000000-0005-0000-0000-0000B9320000}"/>
    <cellStyle name="40% - Accent2 13 2 3 2 4" xfId="20932" xr:uid="{00000000-0005-0000-0000-0000BA320000}"/>
    <cellStyle name="40% - Accent2 13 2 3 3" xfId="6785" xr:uid="{00000000-0005-0000-0000-0000BB320000}"/>
    <cellStyle name="40% - Accent2 13 2 3 3 2" xfId="14757" xr:uid="{00000000-0005-0000-0000-0000BC320000}"/>
    <cellStyle name="40% - Accent2 13 2 3 3 3" xfId="22704" xr:uid="{00000000-0005-0000-0000-0000BD320000}"/>
    <cellStyle name="40% - Accent2 13 2 3 4" xfId="11221" xr:uid="{00000000-0005-0000-0000-0000BE320000}"/>
    <cellStyle name="40% - Accent2 13 2 3 5" xfId="19176" xr:uid="{00000000-0005-0000-0000-0000BF320000}"/>
    <cellStyle name="40% - Accent2 13 2 3_Exh G" xfId="2837" xr:uid="{00000000-0005-0000-0000-0000C0320000}"/>
    <cellStyle name="40% - Accent2 13 2 4" xfId="4074" xr:uid="{00000000-0005-0000-0000-0000C1320000}"/>
    <cellStyle name="40% - Accent2 13 2 4 2" xfId="7666" xr:uid="{00000000-0005-0000-0000-0000C2320000}"/>
    <cellStyle name="40% - Accent2 13 2 4 2 2" xfId="15637" xr:uid="{00000000-0005-0000-0000-0000C3320000}"/>
    <cellStyle name="40% - Accent2 13 2 4 2 3" xfId="23583" xr:uid="{00000000-0005-0000-0000-0000C4320000}"/>
    <cellStyle name="40% - Accent2 13 2 4 3" xfId="12099" xr:uid="{00000000-0005-0000-0000-0000C5320000}"/>
    <cellStyle name="40% - Accent2 13 2 4 4" xfId="20054" xr:uid="{00000000-0005-0000-0000-0000C6320000}"/>
    <cellStyle name="40% - Accent2 13 2 5" xfId="5894" xr:uid="{00000000-0005-0000-0000-0000C7320000}"/>
    <cellStyle name="40% - Accent2 13 2 5 2" xfId="13878" xr:uid="{00000000-0005-0000-0000-0000C8320000}"/>
    <cellStyle name="40% - Accent2 13 2 5 3" xfId="21826" xr:uid="{00000000-0005-0000-0000-0000C9320000}"/>
    <cellStyle name="40% - Accent2 13 2 6" xfId="9447" xr:uid="{00000000-0005-0000-0000-0000CA320000}"/>
    <cellStyle name="40% - Accent2 13 2 6 2" xfId="17405" xr:uid="{00000000-0005-0000-0000-0000CB320000}"/>
    <cellStyle name="40% - Accent2 13 2 6 3" xfId="25349" xr:uid="{00000000-0005-0000-0000-0000CC320000}"/>
    <cellStyle name="40% - Accent2 13 2 7" xfId="10343" xr:uid="{00000000-0005-0000-0000-0000CD320000}"/>
    <cellStyle name="40% - Accent2 13 2 8" xfId="18298" xr:uid="{00000000-0005-0000-0000-0000CE320000}"/>
    <cellStyle name="40% - Accent2 13 2_Exh G" xfId="2834" xr:uid="{00000000-0005-0000-0000-0000CF320000}"/>
    <cellStyle name="40% - Accent2 13 3" xfId="397" xr:uid="{00000000-0005-0000-0000-0000D0320000}"/>
    <cellStyle name="40% - Accent2 13 3 2" xfId="1425" xr:uid="{00000000-0005-0000-0000-0000D1320000}"/>
    <cellStyle name="40% - Accent2 13 3 2 2" xfId="4955" xr:uid="{00000000-0005-0000-0000-0000D2320000}"/>
    <cellStyle name="40% - Accent2 13 3 2 2 2" xfId="8546" xr:uid="{00000000-0005-0000-0000-0000D3320000}"/>
    <cellStyle name="40% - Accent2 13 3 2 2 2 2" xfId="16517" xr:uid="{00000000-0005-0000-0000-0000D4320000}"/>
    <cellStyle name="40% - Accent2 13 3 2 2 2 3" xfId="24463" xr:uid="{00000000-0005-0000-0000-0000D5320000}"/>
    <cellStyle name="40% - Accent2 13 3 2 2 3" xfId="12979" xr:uid="{00000000-0005-0000-0000-0000D6320000}"/>
    <cellStyle name="40% - Accent2 13 3 2 2 4" xfId="20934" xr:uid="{00000000-0005-0000-0000-0000D7320000}"/>
    <cellStyle name="40% - Accent2 13 3 2 3" xfId="6787" xr:uid="{00000000-0005-0000-0000-0000D8320000}"/>
    <cellStyle name="40% - Accent2 13 3 2 3 2" xfId="14759" xr:uid="{00000000-0005-0000-0000-0000D9320000}"/>
    <cellStyle name="40% - Accent2 13 3 2 3 3" xfId="22706" xr:uid="{00000000-0005-0000-0000-0000DA320000}"/>
    <cellStyle name="40% - Accent2 13 3 2 4" xfId="11223" xr:uid="{00000000-0005-0000-0000-0000DB320000}"/>
    <cellStyle name="40% - Accent2 13 3 2 5" xfId="19178" xr:uid="{00000000-0005-0000-0000-0000DC320000}"/>
    <cellStyle name="40% - Accent2 13 3 2_Exh G" xfId="2839" xr:uid="{00000000-0005-0000-0000-0000DD320000}"/>
    <cellStyle name="40% - Accent2 13 3 3" xfId="4076" xr:uid="{00000000-0005-0000-0000-0000DE320000}"/>
    <cellStyle name="40% - Accent2 13 3 3 2" xfId="7668" xr:uid="{00000000-0005-0000-0000-0000DF320000}"/>
    <cellStyle name="40% - Accent2 13 3 3 2 2" xfId="15639" xr:uid="{00000000-0005-0000-0000-0000E0320000}"/>
    <cellStyle name="40% - Accent2 13 3 3 2 3" xfId="23585" xr:uid="{00000000-0005-0000-0000-0000E1320000}"/>
    <cellStyle name="40% - Accent2 13 3 3 3" xfId="12101" xr:uid="{00000000-0005-0000-0000-0000E2320000}"/>
    <cellStyle name="40% - Accent2 13 3 3 4" xfId="20056" xr:uid="{00000000-0005-0000-0000-0000E3320000}"/>
    <cellStyle name="40% - Accent2 13 3 4" xfId="5896" xr:uid="{00000000-0005-0000-0000-0000E4320000}"/>
    <cellStyle name="40% - Accent2 13 3 4 2" xfId="13880" xr:uid="{00000000-0005-0000-0000-0000E5320000}"/>
    <cellStyle name="40% - Accent2 13 3 4 3" xfId="21828" xr:uid="{00000000-0005-0000-0000-0000E6320000}"/>
    <cellStyle name="40% - Accent2 13 3 5" xfId="9449" xr:uid="{00000000-0005-0000-0000-0000E7320000}"/>
    <cellStyle name="40% - Accent2 13 3 5 2" xfId="17407" xr:uid="{00000000-0005-0000-0000-0000E8320000}"/>
    <cellStyle name="40% - Accent2 13 3 5 3" xfId="25351" xr:uid="{00000000-0005-0000-0000-0000E9320000}"/>
    <cellStyle name="40% - Accent2 13 3 6" xfId="10345" xr:uid="{00000000-0005-0000-0000-0000EA320000}"/>
    <cellStyle name="40% - Accent2 13 3 7" xfId="18300" xr:uid="{00000000-0005-0000-0000-0000EB320000}"/>
    <cellStyle name="40% - Accent2 13 3_Exh G" xfId="2838" xr:uid="{00000000-0005-0000-0000-0000EC320000}"/>
    <cellStyle name="40% - Accent2 13 4" xfId="1422" xr:uid="{00000000-0005-0000-0000-0000ED320000}"/>
    <cellStyle name="40% - Accent2 13 4 2" xfId="4952" xr:uid="{00000000-0005-0000-0000-0000EE320000}"/>
    <cellStyle name="40% - Accent2 13 4 2 2" xfId="8543" xr:uid="{00000000-0005-0000-0000-0000EF320000}"/>
    <cellStyle name="40% - Accent2 13 4 2 2 2" xfId="16514" xr:uid="{00000000-0005-0000-0000-0000F0320000}"/>
    <cellStyle name="40% - Accent2 13 4 2 2 3" xfId="24460" xr:uid="{00000000-0005-0000-0000-0000F1320000}"/>
    <cellStyle name="40% - Accent2 13 4 2 3" xfId="12976" xr:uid="{00000000-0005-0000-0000-0000F2320000}"/>
    <cellStyle name="40% - Accent2 13 4 2 4" xfId="20931" xr:uid="{00000000-0005-0000-0000-0000F3320000}"/>
    <cellStyle name="40% - Accent2 13 4 3" xfId="6784" xr:uid="{00000000-0005-0000-0000-0000F4320000}"/>
    <cellStyle name="40% - Accent2 13 4 3 2" xfId="14756" xr:uid="{00000000-0005-0000-0000-0000F5320000}"/>
    <cellStyle name="40% - Accent2 13 4 3 3" xfId="22703" xr:uid="{00000000-0005-0000-0000-0000F6320000}"/>
    <cellStyle name="40% - Accent2 13 4 4" xfId="11220" xr:uid="{00000000-0005-0000-0000-0000F7320000}"/>
    <cellStyle name="40% - Accent2 13 4 5" xfId="19175" xr:uid="{00000000-0005-0000-0000-0000F8320000}"/>
    <cellStyle name="40% - Accent2 13 4_Exh G" xfId="2840" xr:uid="{00000000-0005-0000-0000-0000F9320000}"/>
    <cellStyle name="40% - Accent2 13 5" xfId="4073" xr:uid="{00000000-0005-0000-0000-0000FA320000}"/>
    <cellStyle name="40% - Accent2 13 5 2" xfId="7665" xr:uid="{00000000-0005-0000-0000-0000FB320000}"/>
    <cellStyle name="40% - Accent2 13 5 2 2" xfId="15636" xr:uid="{00000000-0005-0000-0000-0000FC320000}"/>
    <cellStyle name="40% - Accent2 13 5 2 3" xfId="23582" xr:uid="{00000000-0005-0000-0000-0000FD320000}"/>
    <cellStyle name="40% - Accent2 13 5 3" xfId="12098" xr:uid="{00000000-0005-0000-0000-0000FE320000}"/>
    <cellStyle name="40% - Accent2 13 5 4" xfId="20053" xr:uid="{00000000-0005-0000-0000-0000FF320000}"/>
    <cellStyle name="40% - Accent2 13 6" xfId="5893" xr:uid="{00000000-0005-0000-0000-000000330000}"/>
    <cellStyle name="40% - Accent2 13 6 2" xfId="13877" xr:uid="{00000000-0005-0000-0000-000001330000}"/>
    <cellStyle name="40% - Accent2 13 6 3" xfId="21825" xr:uid="{00000000-0005-0000-0000-000002330000}"/>
    <cellStyle name="40% - Accent2 13 7" xfId="9446" xr:uid="{00000000-0005-0000-0000-000003330000}"/>
    <cellStyle name="40% - Accent2 13 7 2" xfId="17404" xr:uid="{00000000-0005-0000-0000-000004330000}"/>
    <cellStyle name="40% - Accent2 13 7 3" xfId="25348" xr:uid="{00000000-0005-0000-0000-000005330000}"/>
    <cellStyle name="40% - Accent2 13 8" xfId="10342" xr:uid="{00000000-0005-0000-0000-000006330000}"/>
    <cellStyle name="40% - Accent2 13 9" xfId="18297" xr:uid="{00000000-0005-0000-0000-000007330000}"/>
    <cellStyle name="40% - Accent2 13_Exh G" xfId="2833" xr:uid="{00000000-0005-0000-0000-000008330000}"/>
    <cellStyle name="40% - Accent2 14" xfId="398" xr:uid="{00000000-0005-0000-0000-000009330000}"/>
    <cellStyle name="40% - Accent2 14 2" xfId="399" xr:uid="{00000000-0005-0000-0000-00000A330000}"/>
    <cellStyle name="40% - Accent2 14 2 2" xfId="1427" xr:uid="{00000000-0005-0000-0000-00000B330000}"/>
    <cellStyle name="40% - Accent2 14 2 2 2" xfId="4957" xr:uid="{00000000-0005-0000-0000-00000C330000}"/>
    <cellStyle name="40% - Accent2 14 2 2 2 2" xfId="8548" xr:uid="{00000000-0005-0000-0000-00000D330000}"/>
    <cellStyle name="40% - Accent2 14 2 2 2 2 2" xfId="16519" xr:uid="{00000000-0005-0000-0000-00000E330000}"/>
    <cellStyle name="40% - Accent2 14 2 2 2 2 3" xfId="24465" xr:uid="{00000000-0005-0000-0000-00000F330000}"/>
    <cellStyle name="40% - Accent2 14 2 2 2 3" xfId="12981" xr:uid="{00000000-0005-0000-0000-000010330000}"/>
    <cellStyle name="40% - Accent2 14 2 2 2 4" xfId="20936" xr:uid="{00000000-0005-0000-0000-000011330000}"/>
    <cellStyle name="40% - Accent2 14 2 2 3" xfId="6789" xr:uid="{00000000-0005-0000-0000-000012330000}"/>
    <cellStyle name="40% - Accent2 14 2 2 3 2" xfId="14761" xr:uid="{00000000-0005-0000-0000-000013330000}"/>
    <cellStyle name="40% - Accent2 14 2 2 3 3" xfId="22708" xr:uid="{00000000-0005-0000-0000-000014330000}"/>
    <cellStyle name="40% - Accent2 14 2 2 4" xfId="11225" xr:uid="{00000000-0005-0000-0000-000015330000}"/>
    <cellStyle name="40% - Accent2 14 2 2 5" xfId="19180" xr:uid="{00000000-0005-0000-0000-000016330000}"/>
    <cellStyle name="40% - Accent2 14 2 2_Exh G" xfId="2843" xr:uid="{00000000-0005-0000-0000-000017330000}"/>
    <cellStyle name="40% - Accent2 14 2 3" xfId="4078" xr:uid="{00000000-0005-0000-0000-000018330000}"/>
    <cellStyle name="40% - Accent2 14 2 3 2" xfId="7670" xr:uid="{00000000-0005-0000-0000-000019330000}"/>
    <cellStyle name="40% - Accent2 14 2 3 2 2" xfId="15641" xr:uid="{00000000-0005-0000-0000-00001A330000}"/>
    <cellStyle name="40% - Accent2 14 2 3 2 3" xfId="23587" xr:uid="{00000000-0005-0000-0000-00001B330000}"/>
    <cellStyle name="40% - Accent2 14 2 3 3" xfId="12103" xr:uid="{00000000-0005-0000-0000-00001C330000}"/>
    <cellStyle name="40% - Accent2 14 2 3 4" xfId="20058" xr:uid="{00000000-0005-0000-0000-00001D330000}"/>
    <cellStyle name="40% - Accent2 14 2 4" xfId="5898" xr:uid="{00000000-0005-0000-0000-00001E330000}"/>
    <cellStyle name="40% - Accent2 14 2 4 2" xfId="13882" xr:uid="{00000000-0005-0000-0000-00001F330000}"/>
    <cellStyle name="40% - Accent2 14 2 4 3" xfId="21830" xr:uid="{00000000-0005-0000-0000-000020330000}"/>
    <cellStyle name="40% - Accent2 14 2 5" xfId="9451" xr:uid="{00000000-0005-0000-0000-000021330000}"/>
    <cellStyle name="40% - Accent2 14 2 5 2" xfId="17409" xr:uid="{00000000-0005-0000-0000-000022330000}"/>
    <cellStyle name="40% - Accent2 14 2 5 3" xfId="25353" xr:uid="{00000000-0005-0000-0000-000023330000}"/>
    <cellStyle name="40% - Accent2 14 2 6" xfId="10347" xr:uid="{00000000-0005-0000-0000-000024330000}"/>
    <cellStyle name="40% - Accent2 14 2 7" xfId="18302" xr:uid="{00000000-0005-0000-0000-000025330000}"/>
    <cellStyle name="40% - Accent2 14 2_Exh G" xfId="2842" xr:uid="{00000000-0005-0000-0000-000026330000}"/>
    <cellStyle name="40% - Accent2 14 3" xfId="1426" xr:uid="{00000000-0005-0000-0000-000027330000}"/>
    <cellStyle name="40% - Accent2 14 3 2" xfId="4956" xr:uid="{00000000-0005-0000-0000-000028330000}"/>
    <cellStyle name="40% - Accent2 14 3 2 2" xfId="8547" xr:uid="{00000000-0005-0000-0000-000029330000}"/>
    <cellStyle name="40% - Accent2 14 3 2 2 2" xfId="16518" xr:uid="{00000000-0005-0000-0000-00002A330000}"/>
    <cellStyle name="40% - Accent2 14 3 2 2 3" xfId="24464" xr:uid="{00000000-0005-0000-0000-00002B330000}"/>
    <cellStyle name="40% - Accent2 14 3 2 3" xfId="12980" xr:uid="{00000000-0005-0000-0000-00002C330000}"/>
    <cellStyle name="40% - Accent2 14 3 2 4" xfId="20935" xr:uid="{00000000-0005-0000-0000-00002D330000}"/>
    <cellStyle name="40% - Accent2 14 3 3" xfId="6788" xr:uid="{00000000-0005-0000-0000-00002E330000}"/>
    <cellStyle name="40% - Accent2 14 3 3 2" xfId="14760" xr:uid="{00000000-0005-0000-0000-00002F330000}"/>
    <cellStyle name="40% - Accent2 14 3 3 3" xfId="22707" xr:uid="{00000000-0005-0000-0000-000030330000}"/>
    <cellStyle name="40% - Accent2 14 3 4" xfId="11224" xr:uid="{00000000-0005-0000-0000-000031330000}"/>
    <cellStyle name="40% - Accent2 14 3 5" xfId="19179" xr:uid="{00000000-0005-0000-0000-000032330000}"/>
    <cellStyle name="40% - Accent2 14 3_Exh G" xfId="2844" xr:uid="{00000000-0005-0000-0000-000033330000}"/>
    <cellStyle name="40% - Accent2 14 4" xfId="4077" xr:uid="{00000000-0005-0000-0000-000034330000}"/>
    <cellStyle name="40% - Accent2 14 4 2" xfId="7669" xr:uid="{00000000-0005-0000-0000-000035330000}"/>
    <cellStyle name="40% - Accent2 14 4 2 2" xfId="15640" xr:uid="{00000000-0005-0000-0000-000036330000}"/>
    <cellStyle name="40% - Accent2 14 4 2 3" xfId="23586" xr:uid="{00000000-0005-0000-0000-000037330000}"/>
    <cellStyle name="40% - Accent2 14 4 3" xfId="12102" xr:uid="{00000000-0005-0000-0000-000038330000}"/>
    <cellStyle name="40% - Accent2 14 4 4" xfId="20057" xr:uid="{00000000-0005-0000-0000-000039330000}"/>
    <cellStyle name="40% - Accent2 14 5" xfId="5897" xr:uid="{00000000-0005-0000-0000-00003A330000}"/>
    <cellStyle name="40% - Accent2 14 5 2" xfId="13881" xr:uid="{00000000-0005-0000-0000-00003B330000}"/>
    <cellStyle name="40% - Accent2 14 5 3" xfId="21829" xr:uid="{00000000-0005-0000-0000-00003C330000}"/>
    <cellStyle name="40% - Accent2 14 6" xfId="9450" xr:uid="{00000000-0005-0000-0000-00003D330000}"/>
    <cellStyle name="40% - Accent2 14 6 2" xfId="17408" xr:uid="{00000000-0005-0000-0000-00003E330000}"/>
    <cellStyle name="40% - Accent2 14 6 3" xfId="25352" xr:uid="{00000000-0005-0000-0000-00003F330000}"/>
    <cellStyle name="40% - Accent2 14 7" xfId="10346" xr:uid="{00000000-0005-0000-0000-000040330000}"/>
    <cellStyle name="40% - Accent2 14 8" xfId="18301" xr:uid="{00000000-0005-0000-0000-000041330000}"/>
    <cellStyle name="40% - Accent2 14_Exh G" xfId="2841" xr:uid="{00000000-0005-0000-0000-000042330000}"/>
    <cellStyle name="40% - Accent2 15" xfId="400" xr:uid="{00000000-0005-0000-0000-000043330000}"/>
    <cellStyle name="40% - Accent2 15 2" xfId="1428" xr:uid="{00000000-0005-0000-0000-000044330000}"/>
    <cellStyle name="40% - Accent2 15 2 2" xfId="4958" xr:uid="{00000000-0005-0000-0000-000045330000}"/>
    <cellStyle name="40% - Accent2 15 2 2 2" xfId="8549" xr:uid="{00000000-0005-0000-0000-000046330000}"/>
    <cellStyle name="40% - Accent2 15 2 2 2 2" xfId="16520" xr:uid="{00000000-0005-0000-0000-000047330000}"/>
    <cellStyle name="40% - Accent2 15 2 2 2 3" xfId="24466" xr:uid="{00000000-0005-0000-0000-000048330000}"/>
    <cellStyle name="40% - Accent2 15 2 2 3" xfId="12982" xr:uid="{00000000-0005-0000-0000-000049330000}"/>
    <cellStyle name="40% - Accent2 15 2 2 4" xfId="20937" xr:uid="{00000000-0005-0000-0000-00004A330000}"/>
    <cellStyle name="40% - Accent2 15 2 3" xfId="6790" xr:uid="{00000000-0005-0000-0000-00004B330000}"/>
    <cellStyle name="40% - Accent2 15 2 3 2" xfId="14762" xr:uid="{00000000-0005-0000-0000-00004C330000}"/>
    <cellStyle name="40% - Accent2 15 2 3 3" xfId="22709" xr:uid="{00000000-0005-0000-0000-00004D330000}"/>
    <cellStyle name="40% - Accent2 15 2 4" xfId="11226" xr:uid="{00000000-0005-0000-0000-00004E330000}"/>
    <cellStyle name="40% - Accent2 15 2 5" xfId="19181" xr:uid="{00000000-0005-0000-0000-00004F330000}"/>
    <cellStyle name="40% - Accent2 15 2_Exh G" xfId="2846" xr:uid="{00000000-0005-0000-0000-000050330000}"/>
    <cellStyle name="40% - Accent2 15 3" xfId="4079" xr:uid="{00000000-0005-0000-0000-000051330000}"/>
    <cellStyle name="40% - Accent2 15 3 2" xfId="7671" xr:uid="{00000000-0005-0000-0000-000052330000}"/>
    <cellStyle name="40% - Accent2 15 3 2 2" xfId="15642" xr:uid="{00000000-0005-0000-0000-000053330000}"/>
    <cellStyle name="40% - Accent2 15 3 2 3" xfId="23588" xr:uid="{00000000-0005-0000-0000-000054330000}"/>
    <cellStyle name="40% - Accent2 15 3 3" xfId="12104" xr:uid="{00000000-0005-0000-0000-000055330000}"/>
    <cellStyle name="40% - Accent2 15 3 4" xfId="20059" xr:uid="{00000000-0005-0000-0000-000056330000}"/>
    <cellStyle name="40% - Accent2 15 4" xfId="5899" xr:uid="{00000000-0005-0000-0000-000057330000}"/>
    <cellStyle name="40% - Accent2 15 4 2" xfId="13883" xr:uid="{00000000-0005-0000-0000-000058330000}"/>
    <cellStyle name="40% - Accent2 15 4 3" xfId="21831" xr:uid="{00000000-0005-0000-0000-000059330000}"/>
    <cellStyle name="40% - Accent2 15 5" xfId="9452" xr:uid="{00000000-0005-0000-0000-00005A330000}"/>
    <cellStyle name="40% - Accent2 15 5 2" xfId="17410" xr:uid="{00000000-0005-0000-0000-00005B330000}"/>
    <cellStyle name="40% - Accent2 15 5 3" xfId="25354" xr:uid="{00000000-0005-0000-0000-00005C330000}"/>
    <cellStyle name="40% - Accent2 15 6" xfId="10348" xr:uid="{00000000-0005-0000-0000-00005D330000}"/>
    <cellStyle name="40% - Accent2 15 7" xfId="18303" xr:uid="{00000000-0005-0000-0000-00005E330000}"/>
    <cellStyle name="40% - Accent2 15_Exh G" xfId="2845" xr:uid="{00000000-0005-0000-0000-00005F330000}"/>
    <cellStyle name="40% - Accent2 16" xfId="850" xr:uid="{00000000-0005-0000-0000-000060330000}"/>
    <cellStyle name="40% - Accent2 16 2" xfId="1789" xr:uid="{00000000-0005-0000-0000-000061330000}"/>
    <cellStyle name="40% - Accent2 16 2 2" xfId="5310" xr:uid="{00000000-0005-0000-0000-000062330000}"/>
    <cellStyle name="40% - Accent2 16 2 2 2" xfId="8901" xr:uid="{00000000-0005-0000-0000-000063330000}"/>
    <cellStyle name="40% - Accent2 16 2 2 2 2" xfId="16872" xr:uid="{00000000-0005-0000-0000-000064330000}"/>
    <cellStyle name="40% - Accent2 16 2 2 2 3" xfId="24818" xr:uid="{00000000-0005-0000-0000-000065330000}"/>
    <cellStyle name="40% - Accent2 16 2 2 3" xfId="13334" xr:uid="{00000000-0005-0000-0000-000066330000}"/>
    <cellStyle name="40% - Accent2 16 2 2 4" xfId="21289" xr:uid="{00000000-0005-0000-0000-000067330000}"/>
    <cellStyle name="40% - Accent2 16 2 3" xfId="7142" xr:uid="{00000000-0005-0000-0000-000068330000}"/>
    <cellStyle name="40% - Accent2 16 2 3 2" xfId="15114" xr:uid="{00000000-0005-0000-0000-000069330000}"/>
    <cellStyle name="40% - Accent2 16 2 3 3" xfId="23061" xr:uid="{00000000-0005-0000-0000-00006A330000}"/>
    <cellStyle name="40% - Accent2 16 2 4" xfId="11578" xr:uid="{00000000-0005-0000-0000-00006B330000}"/>
    <cellStyle name="40% - Accent2 16 2 5" xfId="19533" xr:uid="{00000000-0005-0000-0000-00006C330000}"/>
    <cellStyle name="40% - Accent2 16 2_Exh G" xfId="2848" xr:uid="{00000000-0005-0000-0000-00006D330000}"/>
    <cellStyle name="40% - Accent2 16 3" xfId="4431" xr:uid="{00000000-0005-0000-0000-00006E330000}"/>
    <cellStyle name="40% - Accent2 16 3 2" xfId="8023" xr:uid="{00000000-0005-0000-0000-00006F330000}"/>
    <cellStyle name="40% - Accent2 16 3 2 2" xfId="15994" xr:uid="{00000000-0005-0000-0000-000070330000}"/>
    <cellStyle name="40% - Accent2 16 3 2 3" xfId="23940" xr:uid="{00000000-0005-0000-0000-000071330000}"/>
    <cellStyle name="40% - Accent2 16 3 3" xfId="12456" xr:uid="{00000000-0005-0000-0000-000072330000}"/>
    <cellStyle name="40% - Accent2 16 3 4" xfId="20411" xr:uid="{00000000-0005-0000-0000-000073330000}"/>
    <cellStyle name="40% - Accent2 16 4" xfId="6261" xr:uid="{00000000-0005-0000-0000-000074330000}"/>
    <cellStyle name="40% - Accent2 16 4 2" xfId="14236" xr:uid="{00000000-0005-0000-0000-000075330000}"/>
    <cellStyle name="40% - Accent2 16 4 3" xfId="22183" xr:uid="{00000000-0005-0000-0000-000076330000}"/>
    <cellStyle name="40% - Accent2 16 5" xfId="9804" xr:uid="{00000000-0005-0000-0000-000077330000}"/>
    <cellStyle name="40% - Accent2 16 5 2" xfId="17762" xr:uid="{00000000-0005-0000-0000-000078330000}"/>
    <cellStyle name="40% - Accent2 16 5 3" xfId="25706" xr:uid="{00000000-0005-0000-0000-000079330000}"/>
    <cellStyle name="40% - Accent2 16 6" xfId="10700" xr:uid="{00000000-0005-0000-0000-00007A330000}"/>
    <cellStyle name="40% - Accent2 16 7" xfId="18655" xr:uid="{00000000-0005-0000-0000-00007B330000}"/>
    <cellStyle name="40% - Accent2 16_Exh G" xfId="2847" xr:uid="{00000000-0005-0000-0000-00007C330000}"/>
    <cellStyle name="40% - Accent2 2" xfId="401" xr:uid="{00000000-0005-0000-0000-00007D330000}"/>
    <cellStyle name="40% - Accent2 2 10" xfId="18304" xr:uid="{00000000-0005-0000-0000-00007E330000}"/>
    <cellStyle name="40% - Accent2 2 2" xfId="402" xr:uid="{00000000-0005-0000-0000-00007F330000}"/>
    <cellStyle name="40% - Accent2 2 2 2" xfId="403" xr:uid="{00000000-0005-0000-0000-000080330000}"/>
    <cellStyle name="40% - Accent2 2 2 2 2" xfId="1431" xr:uid="{00000000-0005-0000-0000-000081330000}"/>
    <cellStyle name="40% - Accent2 2 2 2 2 2" xfId="4961" xr:uid="{00000000-0005-0000-0000-000082330000}"/>
    <cellStyle name="40% - Accent2 2 2 2 2 2 2" xfId="8552" xr:uid="{00000000-0005-0000-0000-000083330000}"/>
    <cellStyle name="40% - Accent2 2 2 2 2 2 2 2" xfId="16523" xr:uid="{00000000-0005-0000-0000-000084330000}"/>
    <cellStyle name="40% - Accent2 2 2 2 2 2 2 3" xfId="24469" xr:uid="{00000000-0005-0000-0000-000085330000}"/>
    <cellStyle name="40% - Accent2 2 2 2 2 2 3" xfId="12985" xr:uid="{00000000-0005-0000-0000-000086330000}"/>
    <cellStyle name="40% - Accent2 2 2 2 2 2 4" xfId="20940" xr:uid="{00000000-0005-0000-0000-000087330000}"/>
    <cellStyle name="40% - Accent2 2 2 2 2 3" xfId="6793" xr:uid="{00000000-0005-0000-0000-000088330000}"/>
    <cellStyle name="40% - Accent2 2 2 2 2 3 2" xfId="14765" xr:uid="{00000000-0005-0000-0000-000089330000}"/>
    <cellStyle name="40% - Accent2 2 2 2 2 3 3" xfId="22712" xr:uid="{00000000-0005-0000-0000-00008A330000}"/>
    <cellStyle name="40% - Accent2 2 2 2 2 4" xfId="11229" xr:uid="{00000000-0005-0000-0000-00008B330000}"/>
    <cellStyle name="40% - Accent2 2 2 2 2 5" xfId="19184" xr:uid="{00000000-0005-0000-0000-00008C330000}"/>
    <cellStyle name="40% - Accent2 2 2 2 2_Exh G" xfId="2852" xr:uid="{00000000-0005-0000-0000-00008D330000}"/>
    <cellStyle name="40% - Accent2 2 2 2 3" xfId="4082" xr:uid="{00000000-0005-0000-0000-00008E330000}"/>
    <cellStyle name="40% - Accent2 2 2 2 3 2" xfId="7674" xr:uid="{00000000-0005-0000-0000-00008F330000}"/>
    <cellStyle name="40% - Accent2 2 2 2 3 2 2" xfId="15645" xr:uid="{00000000-0005-0000-0000-000090330000}"/>
    <cellStyle name="40% - Accent2 2 2 2 3 2 3" xfId="23591" xr:uid="{00000000-0005-0000-0000-000091330000}"/>
    <cellStyle name="40% - Accent2 2 2 2 3 3" xfId="12107" xr:uid="{00000000-0005-0000-0000-000092330000}"/>
    <cellStyle name="40% - Accent2 2 2 2 3 4" xfId="20062" xr:uid="{00000000-0005-0000-0000-000093330000}"/>
    <cellStyle name="40% - Accent2 2 2 2 4" xfId="5902" xr:uid="{00000000-0005-0000-0000-000094330000}"/>
    <cellStyle name="40% - Accent2 2 2 2 4 2" xfId="13886" xr:uid="{00000000-0005-0000-0000-000095330000}"/>
    <cellStyle name="40% - Accent2 2 2 2 4 3" xfId="21834" xr:uid="{00000000-0005-0000-0000-000096330000}"/>
    <cellStyle name="40% - Accent2 2 2 2 5" xfId="9455" xr:uid="{00000000-0005-0000-0000-000097330000}"/>
    <cellStyle name="40% - Accent2 2 2 2 5 2" xfId="17413" xr:uid="{00000000-0005-0000-0000-000098330000}"/>
    <cellStyle name="40% - Accent2 2 2 2 5 3" xfId="25357" xr:uid="{00000000-0005-0000-0000-000099330000}"/>
    <cellStyle name="40% - Accent2 2 2 2 6" xfId="10351" xr:uid="{00000000-0005-0000-0000-00009A330000}"/>
    <cellStyle name="40% - Accent2 2 2 2 7" xfId="18306" xr:uid="{00000000-0005-0000-0000-00009B330000}"/>
    <cellStyle name="40% - Accent2 2 2 2_Exh G" xfId="2851" xr:uid="{00000000-0005-0000-0000-00009C330000}"/>
    <cellStyle name="40% - Accent2 2 2 3" xfId="948" xr:uid="{00000000-0005-0000-0000-00009D330000}"/>
    <cellStyle name="40% - Accent2 2 2 3 2" xfId="1870" xr:uid="{00000000-0005-0000-0000-00009E330000}"/>
    <cellStyle name="40% - Accent2 2 2 3 2 2" xfId="5388" xr:uid="{00000000-0005-0000-0000-00009F330000}"/>
    <cellStyle name="40% - Accent2 2 2 3 2 2 2" xfId="8979" xr:uid="{00000000-0005-0000-0000-0000A0330000}"/>
    <cellStyle name="40% - Accent2 2 2 3 2 2 2 2" xfId="16950" xr:uid="{00000000-0005-0000-0000-0000A1330000}"/>
    <cellStyle name="40% - Accent2 2 2 3 2 2 2 3" xfId="24896" xr:uid="{00000000-0005-0000-0000-0000A2330000}"/>
    <cellStyle name="40% - Accent2 2 2 3 2 2 3" xfId="13412" xr:uid="{00000000-0005-0000-0000-0000A3330000}"/>
    <cellStyle name="40% - Accent2 2 2 3 2 2 4" xfId="21367" xr:uid="{00000000-0005-0000-0000-0000A4330000}"/>
    <cellStyle name="40% - Accent2 2 2 3 2 3" xfId="7220" xr:uid="{00000000-0005-0000-0000-0000A5330000}"/>
    <cellStyle name="40% - Accent2 2 2 3 2 3 2" xfId="15192" xr:uid="{00000000-0005-0000-0000-0000A6330000}"/>
    <cellStyle name="40% - Accent2 2 2 3 2 3 3" xfId="23139" xr:uid="{00000000-0005-0000-0000-0000A7330000}"/>
    <cellStyle name="40% - Accent2 2 2 3 2 4" xfId="11656" xr:uid="{00000000-0005-0000-0000-0000A8330000}"/>
    <cellStyle name="40% - Accent2 2 2 3 2 5" xfId="19611" xr:uid="{00000000-0005-0000-0000-0000A9330000}"/>
    <cellStyle name="40% - Accent2 2 2 3 2_Exh G" xfId="2854" xr:uid="{00000000-0005-0000-0000-0000AA330000}"/>
    <cellStyle name="40% - Accent2 2 2 3 3" xfId="4509" xr:uid="{00000000-0005-0000-0000-0000AB330000}"/>
    <cellStyle name="40% - Accent2 2 2 3 3 2" xfId="8101" xr:uid="{00000000-0005-0000-0000-0000AC330000}"/>
    <cellStyle name="40% - Accent2 2 2 3 3 2 2" xfId="16072" xr:uid="{00000000-0005-0000-0000-0000AD330000}"/>
    <cellStyle name="40% - Accent2 2 2 3 3 2 3" xfId="24018" xr:uid="{00000000-0005-0000-0000-0000AE330000}"/>
    <cellStyle name="40% - Accent2 2 2 3 3 3" xfId="12534" xr:uid="{00000000-0005-0000-0000-0000AF330000}"/>
    <cellStyle name="40% - Accent2 2 2 3 3 4" xfId="20489" xr:uid="{00000000-0005-0000-0000-0000B0330000}"/>
    <cellStyle name="40% - Accent2 2 2 3 4" xfId="6339" xr:uid="{00000000-0005-0000-0000-0000B1330000}"/>
    <cellStyle name="40% - Accent2 2 2 3 4 2" xfId="14314" xr:uid="{00000000-0005-0000-0000-0000B2330000}"/>
    <cellStyle name="40% - Accent2 2 2 3 4 3" xfId="22261" xr:uid="{00000000-0005-0000-0000-0000B3330000}"/>
    <cellStyle name="40% - Accent2 2 2 3 5" xfId="9882" xr:uid="{00000000-0005-0000-0000-0000B4330000}"/>
    <cellStyle name="40% - Accent2 2 2 3 5 2" xfId="17840" xr:uid="{00000000-0005-0000-0000-0000B5330000}"/>
    <cellStyle name="40% - Accent2 2 2 3 5 3" xfId="25784" xr:uid="{00000000-0005-0000-0000-0000B6330000}"/>
    <cellStyle name="40% - Accent2 2 2 3 6" xfId="10778" xr:uid="{00000000-0005-0000-0000-0000B7330000}"/>
    <cellStyle name="40% - Accent2 2 2 3 7" xfId="18733" xr:uid="{00000000-0005-0000-0000-0000B8330000}"/>
    <cellStyle name="40% - Accent2 2 2 3_Exh G" xfId="2853" xr:uid="{00000000-0005-0000-0000-0000B9330000}"/>
    <cellStyle name="40% - Accent2 2 2 4" xfId="1430" xr:uid="{00000000-0005-0000-0000-0000BA330000}"/>
    <cellStyle name="40% - Accent2 2 2 4 2" xfId="4960" xr:uid="{00000000-0005-0000-0000-0000BB330000}"/>
    <cellStyle name="40% - Accent2 2 2 4 2 2" xfId="8551" xr:uid="{00000000-0005-0000-0000-0000BC330000}"/>
    <cellStyle name="40% - Accent2 2 2 4 2 2 2" xfId="16522" xr:uid="{00000000-0005-0000-0000-0000BD330000}"/>
    <cellStyle name="40% - Accent2 2 2 4 2 2 3" xfId="24468" xr:uid="{00000000-0005-0000-0000-0000BE330000}"/>
    <cellStyle name="40% - Accent2 2 2 4 2 3" xfId="12984" xr:uid="{00000000-0005-0000-0000-0000BF330000}"/>
    <cellStyle name="40% - Accent2 2 2 4 2 4" xfId="20939" xr:uid="{00000000-0005-0000-0000-0000C0330000}"/>
    <cellStyle name="40% - Accent2 2 2 4 3" xfId="6792" xr:uid="{00000000-0005-0000-0000-0000C1330000}"/>
    <cellStyle name="40% - Accent2 2 2 4 3 2" xfId="14764" xr:uid="{00000000-0005-0000-0000-0000C2330000}"/>
    <cellStyle name="40% - Accent2 2 2 4 3 3" xfId="22711" xr:uid="{00000000-0005-0000-0000-0000C3330000}"/>
    <cellStyle name="40% - Accent2 2 2 4 4" xfId="11228" xr:uid="{00000000-0005-0000-0000-0000C4330000}"/>
    <cellStyle name="40% - Accent2 2 2 4 5" xfId="19183" xr:uid="{00000000-0005-0000-0000-0000C5330000}"/>
    <cellStyle name="40% - Accent2 2 2 4_Exh G" xfId="2855" xr:uid="{00000000-0005-0000-0000-0000C6330000}"/>
    <cellStyle name="40% - Accent2 2 2 5" xfId="4081" xr:uid="{00000000-0005-0000-0000-0000C7330000}"/>
    <cellStyle name="40% - Accent2 2 2 5 2" xfId="7673" xr:uid="{00000000-0005-0000-0000-0000C8330000}"/>
    <cellStyle name="40% - Accent2 2 2 5 2 2" xfId="15644" xr:uid="{00000000-0005-0000-0000-0000C9330000}"/>
    <cellStyle name="40% - Accent2 2 2 5 2 3" xfId="23590" xr:uid="{00000000-0005-0000-0000-0000CA330000}"/>
    <cellStyle name="40% - Accent2 2 2 5 3" xfId="12106" xr:uid="{00000000-0005-0000-0000-0000CB330000}"/>
    <cellStyle name="40% - Accent2 2 2 5 4" xfId="20061" xr:uid="{00000000-0005-0000-0000-0000CC330000}"/>
    <cellStyle name="40% - Accent2 2 2 6" xfId="5901" xr:uid="{00000000-0005-0000-0000-0000CD330000}"/>
    <cellStyle name="40% - Accent2 2 2 6 2" xfId="13885" xr:uid="{00000000-0005-0000-0000-0000CE330000}"/>
    <cellStyle name="40% - Accent2 2 2 6 3" xfId="21833" xr:uid="{00000000-0005-0000-0000-0000CF330000}"/>
    <cellStyle name="40% - Accent2 2 2 7" xfId="9454" xr:uid="{00000000-0005-0000-0000-0000D0330000}"/>
    <cellStyle name="40% - Accent2 2 2 7 2" xfId="17412" xr:uid="{00000000-0005-0000-0000-0000D1330000}"/>
    <cellStyle name="40% - Accent2 2 2 7 3" xfId="25356" xr:uid="{00000000-0005-0000-0000-0000D2330000}"/>
    <cellStyle name="40% - Accent2 2 2 8" xfId="10350" xr:uid="{00000000-0005-0000-0000-0000D3330000}"/>
    <cellStyle name="40% - Accent2 2 2 9" xfId="18305" xr:uid="{00000000-0005-0000-0000-0000D4330000}"/>
    <cellStyle name="40% - Accent2 2 2_Exh G" xfId="2850" xr:uid="{00000000-0005-0000-0000-0000D5330000}"/>
    <cellStyle name="40% - Accent2 2 3" xfId="404" xr:uid="{00000000-0005-0000-0000-0000D6330000}"/>
    <cellStyle name="40% - Accent2 2 3 2" xfId="1432" xr:uid="{00000000-0005-0000-0000-0000D7330000}"/>
    <cellStyle name="40% - Accent2 2 3 2 2" xfId="4962" xr:uid="{00000000-0005-0000-0000-0000D8330000}"/>
    <cellStyle name="40% - Accent2 2 3 2 2 2" xfId="8553" xr:uid="{00000000-0005-0000-0000-0000D9330000}"/>
    <cellStyle name="40% - Accent2 2 3 2 2 2 2" xfId="16524" xr:uid="{00000000-0005-0000-0000-0000DA330000}"/>
    <cellStyle name="40% - Accent2 2 3 2 2 2 3" xfId="24470" xr:uid="{00000000-0005-0000-0000-0000DB330000}"/>
    <cellStyle name="40% - Accent2 2 3 2 2 3" xfId="12986" xr:uid="{00000000-0005-0000-0000-0000DC330000}"/>
    <cellStyle name="40% - Accent2 2 3 2 2 4" xfId="20941" xr:uid="{00000000-0005-0000-0000-0000DD330000}"/>
    <cellStyle name="40% - Accent2 2 3 2 3" xfId="6794" xr:uid="{00000000-0005-0000-0000-0000DE330000}"/>
    <cellStyle name="40% - Accent2 2 3 2 3 2" xfId="14766" xr:uid="{00000000-0005-0000-0000-0000DF330000}"/>
    <cellStyle name="40% - Accent2 2 3 2 3 3" xfId="22713" xr:uid="{00000000-0005-0000-0000-0000E0330000}"/>
    <cellStyle name="40% - Accent2 2 3 2 4" xfId="11230" xr:uid="{00000000-0005-0000-0000-0000E1330000}"/>
    <cellStyle name="40% - Accent2 2 3 2 5" xfId="19185" xr:uid="{00000000-0005-0000-0000-0000E2330000}"/>
    <cellStyle name="40% - Accent2 2 3 2_Exh G" xfId="2857" xr:uid="{00000000-0005-0000-0000-0000E3330000}"/>
    <cellStyle name="40% - Accent2 2 3 3" xfId="4083" xr:uid="{00000000-0005-0000-0000-0000E4330000}"/>
    <cellStyle name="40% - Accent2 2 3 3 2" xfId="7675" xr:uid="{00000000-0005-0000-0000-0000E5330000}"/>
    <cellStyle name="40% - Accent2 2 3 3 2 2" xfId="15646" xr:uid="{00000000-0005-0000-0000-0000E6330000}"/>
    <cellStyle name="40% - Accent2 2 3 3 2 3" xfId="23592" xr:uid="{00000000-0005-0000-0000-0000E7330000}"/>
    <cellStyle name="40% - Accent2 2 3 3 3" xfId="12108" xr:uid="{00000000-0005-0000-0000-0000E8330000}"/>
    <cellStyle name="40% - Accent2 2 3 3 4" xfId="20063" xr:uid="{00000000-0005-0000-0000-0000E9330000}"/>
    <cellStyle name="40% - Accent2 2 3 4" xfId="5903" xr:uid="{00000000-0005-0000-0000-0000EA330000}"/>
    <cellStyle name="40% - Accent2 2 3 4 2" xfId="13887" xr:uid="{00000000-0005-0000-0000-0000EB330000}"/>
    <cellStyle name="40% - Accent2 2 3 4 3" xfId="21835" xr:uid="{00000000-0005-0000-0000-0000EC330000}"/>
    <cellStyle name="40% - Accent2 2 3 5" xfId="9456" xr:uid="{00000000-0005-0000-0000-0000ED330000}"/>
    <cellStyle name="40% - Accent2 2 3 5 2" xfId="17414" xr:uid="{00000000-0005-0000-0000-0000EE330000}"/>
    <cellStyle name="40% - Accent2 2 3 5 3" xfId="25358" xr:uid="{00000000-0005-0000-0000-0000EF330000}"/>
    <cellStyle name="40% - Accent2 2 3 6" xfId="10352" xr:uid="{00000000-0005-0000-0000-0000F0330000}"/>
    <cellStyle name="40% - Accent2 2 3 7" xfId="18307" xr:uid="{00000000-0005-0000-0000-0000F1330000}"/>
    <cellStyle name="40% - Accent2 2 3_Exh G" xfId="2856" xr:uid="{00000000-0005-0000-0000-0000F2330000}"/>
    <cellStyle name="40% - Accent2 2 4" xfId="947" xr:uid="{00000000-0005-0000-0000-0000F3330000}"/>
    <cellStyle name="40% - Accent2 2 4 2" xfId="1869" xr:uid="{00000000-0005-0000-0000-0000F4330000}"/>
    <cellStyle name="40% - Accent2 2 4 2 2" xfId="5387" xr:uid="{00000000-0005-0000-0000-0000F5330000}"/>
    <cellStyle name="40% - Accent2 2 4 2 2 2" xfId="8978" xr:uid="{00000000-0005-0000-0000-0000F6330000}"/>
    <cellStyle name="40% - Accent2 2 4 2 2 2 2" xfId="16949" xr:uid="{00000000-0005-0000-0000-0000F7330000}"/>
    <cellStyle name="40% - Accent2 2 4 2 2 2 3" xfId="24895" xr:uid="{00000000-0005-0000-0000-0000F8330000}"/>
    <cellStyle name="40% - Accent2 2 4 2 2 3" xfId="13411" xr:uid="{00000000-0005-0000-0000-0000F9330000}"/>
    <cellStyle name="40% - Accent2 2 4 2 2 4" xfId="21366" xr:uid="{00000000-0005-0000-0000-0000FA330000}"/>
    <cellStyle name="40% - Accent2 2 4 2 3" xfId="7219" xr:uid="{00000000-0005-0000-0000-0000FB330000}"/>
    <cellStyle name="40% - Accent2 2 4 2 3 2" xfId="15191" xr:uid="{00000000-0005-0000-0000-0000FC330000}"/>
    <cellStyle name="40% - Accent2 2 4 2 3 3" xfId="23138" xr:uid="{00000000-0005-0000-0000-0000FD330000}"/>
    <cellStyle name="40% - Accent2 2 4 2 4" xfId="11655" xr:uid="{00000000-0005-0000-0000-0000FE330000}"/>
    <cellStyle name="40% - Accent2 2 4 2 5" xfId="19610" xr:uid="{00000000-0005-0000-0000-0000FF330000}"/>
    <cellStyle name="40% - Accent2 2 4 2_Exh G" xfId="2859" xr:uid="{00000000-0005-0000-0000-000000340000}"/>
    <cellStyle name="40% - Accent2 2 4 3" xfId="4508" xr:uid="{00000000-0005-0000-0000-000001340000}"/>
    <cellStyle name="40% - Accent2 2 4 3 2" xfId="8100" xr:uid="{00000000-0005-0000-0000-000002340000}"/>
    <cellStyle name="40% - Accent2 2 4 3 2 2" xfId="16071" xr:uid="{00000000-0005-0000-0000-000003340000}"/>
    <cellStyle name="40% - Accent2 2 4 3 2 3" xfId="24017" xr:uid="{00000000-0005-0000-0000-000004340000}"/>
    <cellStyle name="40% - Accent2 2 4 3 3" xfId="12533" xr:uid="{00000000-0005-0000-0000-000005340000}"/>
    <cellStyle name="40% - Accent2 2 4 3 4" xfId="20488" xr:uid="{00000000-0005-0000-0000-000006340000}"/>
    <cellStyle name="40% - Accent2 2 4 4" xfId="6338" xr:uid="{00000000-0005-0000-0000-000007340000}"/>
    <cellStyle name="40% - Accent2 2 4 4 2" xfId="14313" xr:uid="{00000000-0005-0000-0000-000008340000}"/>
    <cellStyle name="40% - Accent2 2 4 4 3" xfId="22260" xr:uid="{00000000-0005-0000-0000-000009340000}"/>
    <cellStyle name="40% - Accent2 2 4 5" xfId="9881" xr:uid="{00000000-0005-0000-0000-00000A340000}"/>
    <cellStyle name="40% - Accent2 2 4 5 2" xfId="17839" xr:uid="{00000000-0005-0000-0000-00000B340000}"/>
    <cellStyle name="40% - Accent2 2 4 5 3" xfId="25783" xr:uid="{00000000-0005-0000-0000-00000C340000}"/>
    <cellStyle name="40% - Accent2 2 4 6" xfId="10777" xr:uid="{00000000-0005-0000-0000-00000D340000}"/>
    <cellStyle name="40% - Accent2 2 4 7" xfId="18732" xr:uid="{00000000-0005-0000-0000-00000E340000}"/>
    <cellStyle name="40% - Accent2 2 4_Exh G" xfId="2858" xr:uid="{00000000-0005-0000-0000-00000F340000}"/>
    <cellStyle name="40% - Accent2 2 5" xfId="1429" xr:uid="{00000000-0005-0000-0000-000010340000}"/>
    <cellStyle name="40% - Accent2 2 5 2" xfId="4959" xr:uid="{00000000-0005-0000-0000-000011340000}"/>
    <cellStyle name="40% - Accent2 2 5 2 2" xfId="8550" xr:uid="{00000000-0005-0000-0000-000012340000}"/>
    <cellStyle name="40% - Accent2 2 5 2 2 2" xfId="16521" xr:uid="{00000000-0005-0000-0000-000013340000}"/>
    <cellStyle name="40% - Accent2 2 5 2 2 3" xfId="24467" xr:uid="{00000000-0005-0000-0000-000014340000}"/>
    <cellStyle name="40% - Accent2 2 5 2 3" xfId="12983" xr:uid="{00000000-0005-0000-0000-000015340000}"/>
    <cellStyle name="40% - Accent2 2 5 2 4" xfId="20938" xr:uid="{00000000-0005-0000-0000-000016340000}"/>
    <cellStyle name="40% - Accent2 2 5 3" xfId="6791" xr:uid="{00000000-0005-0000-0000-000017340000}"/>
    <cellStyle name="40% - Accent2 2 5 3 2" xfId="14763" xr:uid="{00000000-0005-0000-0000-000018340000}"/>
    <cellStyle name="40% - Accent2 2 5 3 3" xfId="22710" xr:uid="{00000000-0005-0000-0000-000019340000}"/>
    <cellStyle name="40% - Accent2 2 5 4" xfId="11227" xr:uid="{00000000-0005-0000-0000-00001A340000}"/>
    <cellStyle name="40% - Accent2 2 5 5" xfId="19182" xr:uid="{00000000-0005-0000-0000-00001B340000}"/>
    <cellStyle name="40% - Accent2 2 5_Exh G" xfId="2860" xr:uid="{00000000-0005-0000-0000-00001C340000}"/>
    <cellStyle name="40% - Accent2 2 6" xfId="4080" xr:uid="{00000000-0005-0000-0000-00001D340000}"/>
    <cellStyle name="40% - Accent2 2 6 2" xfId="7672" xr:uid="{00000000-0005-0000-0000-00001E340000}"/>
    <cellStyle name="40% - Accent2 2 6 2 2" xfId="15643" xr:uid="{00000000-0005-0000-0000-00001F340000}"/>
    <cellStyle name="40% - Accent2 2 6 2 3" xfId="23589" xr:uid="{00000000-0005-0000-0000-000020340000}"/>
    <cellStyle name="40% - Accent2 2 6 3" xfId="12105" xr:uid="{00000000-0005-0000-0000-000021340000}"/>
    <cellStyle name="40% - Accent2 2 6 4" xfId="20060" xr:uid="{00000000-0005-0000-0000-000022340000}"/>
    <cellStyle name="40% - Accent2 2 7" xfId="5900" xr:uid="{00000000-0005-0000-0000-000023340000}"/>
    <cellStyle name="40% - Accent2 2 7 2" xfId="13884" xr:uid="{00000000-0005-0000-0000-000024340000}"/>
    <cellStyle name="40% - Accent2 2 7 3" xfId="21832" xr:uid="{00000000-0005-0000-0000-000025340000}"/>
    <cellStyle name="40% - Accent2 2 8" xfId="9453" xr:uid="{00000000-0005-0000-0000-000026340000}"/>
    <cellStyle name="40% - Accent2 2 8 2" xfId="17411" xr:uid="{00000000-0005-0000-0000-000027340000}"/>
    <cellStyle name="40% - Accent2 2 8 3" xfId="25355" xr:uid="{00000000-0005-0000-0000-000028340000}"/>
    <cellStyle name="40% - Accent2 2 9" xfId="10349" xr:uid="{00000000-0005-0000-0000-000029340000}"/>
    <cellStyle name="40% - Accent2 2_Exh G" xfId="2849" xr:uid="{00000000-0005-0000-0000-00002A340000}"/>
    <cellStyle name="40% - Accent2 3" xfId="405" xr:uid="{00000000-0005-0000-0000-00002B340000}"/>
    <cellStyle name="40% - Accent2 3 10" xfId="18308" xr:uid="{00000000-0005-0000-0000-00002C340000}"/>
    <cellStyle name="40% - Accent2 3 2" xfId="406" xr:uid="{00000000-0005-0000-0000-00002D340000}"/>
    <cellStyle name="40% - Accent2 3 2 2" xfId="407" xr:uid="{00000000-0005-0000-0000-00002E340000}"/>
    <cellStyle name="40% - Accent2 3 2 2 2" xfId="1435" xr:uid="{00000000-0005-0000-0000-00002F340000}"/>
    <cellStyle name="40% - Accent2 3 2 2 2 2" xfId="4965" xr:uid="{00000000-0005-0000-0000-000030340000}"/>
    <cellStyle name="40% - Accent2 3 2 2 2 2 2" xfId="8556" xr:uid="{00000000-0005-0000-0000-000031340000}"/>
    <cellStyle name="40% - Accent2 3 2 2 2 2 2 2" xfId="16527" xr:uid="{00000000-0005-0000-0000-000032340000}"/>
    <cellStyle name="40% - Accent2 3 2 2 2 2 2 3" xfId="24473" xr:uid="{00000000-0005-0000-0000-000033340000}"/>
    <cellStyle name="40% - Accent2 3 2 2 2 2 3" xfId="12989" xr:uid="{00000000-0005-0000-0000-000034340000}"/>
    <cellStyle name="40% - Accent2 3 2 2 2 2 4" xfId="20944" xr:uid="{00000000-0005-0000-0000-000035340000}"/>
    <cellStyle name="40% - Accent2 3 2 2 2 3" xfId="6797" xr:uid="{00000000-0005-0000-0000-000036340000}"/>
    <cellStyle name="40% - Accent2 3 2 2 2 3 2" xfId="14769" xr:uid="{00000000-0005-0000-0000-000037340000}"/>
    <cellStyle name="40% - Accent2 3 2 2 2 3 3" xfId="22716" xr:uid="{00000000-0005-0000-0000-000038340000}"/>
    <cellStyle name="40% - Accent2 3 2 2 2 4" xfId="11233" xr:uid="{00000000-0005-0000-0000-000039340000}"/>
    <cellStyle name="40% - Accent2 3 2 2 2 5" xfId="19188" xr:uid="{00000000-0005-0000-0000-00003A340000}"/>
    <cellStyle name="40% - Accent2 3 2 2 2_Exh G" xfId="2864" xr:uid="{00000000-0005-0000-0000-00003B340000}"/>
    <cellStyle name="40% - Accent2 3 2 2 3" xfId="4086" xr:uid="{00000000-0005-0000-0000-00003C340000}"/>
    <cellStyle name="40% - Accent2 3 2 2 3 2" xfId="7678" xr:uid="{00000000-0005-0000-0000-00003D340000}"/>
    <cellStyle name="40% - Accent2 3 2 2 3 2 2" xfId="15649" xr:uid="{00000000-0005-0000-0000-00003E340000}"/>
    <cellStyle name="40% - Accent2 3 2 2 3 2 3" xfId="23595" xr:uid="{00000000-0005-0000-0000-00003F340000}"/>
    <cellStyle name="40% - Accent2 3 2 2 3 3" xfId="12111" xr:uid="{00000000-0005-0000-0000-000040340000}"/>
    <cellStyle name="40% - Accent2 3 2 2 3 4" xfId="20066" xr:uid="{00000000-0005-0000-0000-000041340000}"/>
    <cellStyle name="40% - Accent2 3 2 2 4" xfId="5906" xr:uid="{00000000-0005-0000-0000-000042340000}"/>
    <cellStyle name="40% - Accent2 3 2 2 4 2" xfId="13890" xr:uid="{00000000-0005-0000-0000-000043340000}"/>
    <cellStyle name="40% - Accent2 3 2 2 4 3" xfId="21838" xr:uid="{00000000-0005-0000-0000-000044340000}"/>
    <cellStyle name="40% - Accent2 3 2 2 5" xfId="9459" xr:uid="{00000000-0005-0000-0000-000045340000}"/>
    <cellStyle name="40% - Accent2 3 2 2 5 2" xfId="17417" xr:uid="{00000000-0005-0000-0000-000046340000}"/>
    <cellStyle name="40% - Accent2 3 2 2 5 3" xfId="25361" xr:uid="{00000000-0005-0000-0000-000047340000}"/>
    <cellStyle name="40% - Accent2 3 2 2 6" xfId="10355" xr:uid="{00000000-0005-0000-0000-000048340000}"/>
    <cellStyle name="40% - Accent2 3 2 2 7" xfId="18310" xr:uid="{00000000-0005-0000-0000-000049340000}"/>
    <cellStyle name="40% - Accent2 3 2 2_Exh G" xfId="2863" xr:uid="{00000000-0005-0000-0000-00004A340000}"/>
    <cellStyle name="40% - Accent2 3 2 3" xfId="950" xr:uid="{00000000-0005-0000-0000-00004B340000}"/>
    <cellStyle name="40% - Accent2 3 2 3 2" xfId="1872" xr:uid="{00000000-0005-0000-0000-00004C340000}"/>
    <cellStyle name="40% - Accent2 3 2 3 2 2" xfId="5390" xr:uid="{00000000-0005-0000-0000-00004D340000}"/>
    <cellStyle name="40% - Accent2 3 2 3 2 2 2" xfId="8981" xr:uid="{00000000-0005-0000-0000-00004E340000}"/>
    <cellStyle name="40% - Accent2 3 2 3 2 2 2 2" xfId="16952" xr:uid="{00000000-0005-0000-0000-00004F340000}"/>
    <cellStyle name="40% - Accent2 3 2 3 2 2 2 3" xfId="24898" xr:uid="{00000000-0005-0000-0000-000050340000}"/>
    <cellStyle name="40% - Accent2 3 2 3 2 2 3" xfId="13414" xr:uid="{00000000-0005-0000-0000-000051340000}"/>
    <cellStyle name="40% - Accent2 3 2 3 2 2 4" xfId="21369" xr:uid="{00000000-0005-0000-0000-000052340000}"/>
    <cellStyle name="40% - Accent2 3 2 3 2 3" xfId="7222" xr:uid="{00000000-0005-0000-0000-000053340000}"/>
    <cellStyle name="40% - Accent2 3 2 3 2 3 2" xfId="15194" xr:uid="{00000000-0005-0000-0000-000054340000}"/>
    <cellStyle name="40% - Accent2 3 2 3 2 3 3" xfId="23141" xr:uid="{00000000-0005-0000-0000-000055340000}"/>
    <cellStyle name="40% - Accent2 3 2 3 2 4" xfId="11658" xr:uid="{00000000-0005-0000-0000-000056340000}"/>
    <cellStyle name="40% - Accent2 3 2 3 2 5" xfId="19613" xr:uid="{00000000-0005-0000-0000-000057340000}"/>
    <cellStyle name="40% - Accent2 3 2 3 2_Exh G" xfId="2866" xr:uid="{00000000-0005-0000-0000-000058340000}"/>
    <cellStyle name="40% - Accent2 3 2 3 3" xfId="4511" xr:uid="{00000000-0005-0000-0000-000059340000}"/>
    <cellStyle name="40% - Accent2 3 2 3 3 2" xfId="8103" xr:uid="{00000000-0005-0000-0000-00005A340000}"/>
    <cellStyle name="40% - Accent2 3 2 3 3 2 2" xfId="16074" xr:uid="{00000000-0005-0000-0000-00005B340000}"/>
    <cellStyle name="40% - Accent2 3 2 3 3 2 3" xfId="24020" xr:uid="{00000000-0005-0000-0000-00005C340000}"/>
    <cellStyle name="40% - Accent2 3 2 3 3 3" xfId="12536" xr:uid="{00000000-0005-0000-0000-00005D340000}"/>
    <cellStyle name="40% - Accent2 3 2 3 3 4" xfId="20491" xr:uid="{00000000-0005-0000-0000-00005E340000}"/>
    <cellStyle name="40% - Accent2 3 2 3 4" xfId="6341" xr:uid="{00000000-0005-0000-0000-00005F340000}"/>
    <cellStyle name="40% - Accent2 3 2 3 4 2" xfId="14316" xr:uid="{00000000-0005-0000-0000-000060340000}"/>
    <cellStyle name="40% - Accent2 3 2 3 4 3" xfId="22263" xr:uid="{00000000-0005-0000-0000-000061340000}"/>
    <cellStyle name="40% - Accent2 3 2 3 5" xfId="9884" xr:uid="{00000000-0005-0000-0000-000062340000}"/>
    <cellStyle name="40% - Accent2 3 2 3 5 2" xfId="17842" xr:uid="{00000000-0005-0000-0000-000063340000}"/>
    <cellStyle name="40% - Accent2 3 2 3 5 3" xfId="25786" xr:uid="{00000000-0005-0000-0000-000064340000}"/>
    <cellStyle name="40% - Accent2 3 2 3 6" xfId="10780" xr:uid="{00000000-0005-0000-0000-000065340000}"/>
    <cellStyle name="40% - Accent2 3 2 3 7" xfId="18735" xr:uid="{00000000-0005-0000-0000-000066340000}"/>
    <cellStyle name="40% - Accent2 3 2 3_Exh G" xfId="2865" xr:uid="{00000000-0005-0000-0000-000067340000}"/>
    <cellStyle name="40% - Accent2 3 2 4" xfId="1434" xr:uid="{00000000-0005-0000-0000-000068340000}"/>
    <cellStyle name="40% - Accent2 3 2 4 2" xfId="4964" xr:uid="{00000000-0005-0000-0000-000069340000}"/>
    <cellStyle name="40% - Accent2 3 2 4 2 2" xfId="8555" xr:uid="{00000000-0005-0000-0000-00006A340000}"/>
    <cellStyle name="40% - Accent2 3 2 4 2 2 2" xfId="16526" xr:uid="{00000000-0005-0000-0000-00006B340000}"/>
    <cellStyle name="40% - Accent2 3 2 4 2 2 3" xfId="24472" xr:uid="{00000000-0005-0000-0000-00006C340000}"/>
    <cellStyle name="40% - Accent2 3 2 4 2 3" xfId="12988" xr:uid="{00000000-0005-0000-0000-00006D340000}"/>
    <cellStyle name="40% - Accent2 3 2 4 2 4" xfId="20943" xr:uid="{00000000-0005-0000-0000-00006E340000}"/>
    <cellStyle name="40% - Accent2 3 2 4 3" xfId="6796" xr:uid="{00000000-0005-0000-0000-00006F340000}"/>
    <cellStyle name="40% - Accent2 3 2 4 3 2" xfId="14768" xr:uid="{00000000-0005-0000-0000-000070340000}"/>
    <cellStyle name="40% - Accent2 3 2 4 3 3" xfId="22715" xr:uid="{00000000-0005-0000-0000-000071340000}"/>
    <cellStyle name="40% - Accent2 3 2 4 4" xfId="11232" xr:uid="{00000000-0005-0000-0000-000072340000}"/>
    <cellStyle name="40% - Accent2 3 2 4 5" xfId="19187" xr:uid="{00000000-0005-0000-0000-000073340000}"/>
    <cellStyle name="40% - Accent2 3 2 4_Exh G" xfId="2867" xr:uid="{00000000-0005-0000-0000-000074340000}"/>
    <cellStyle name="40% - Accent2 3 2 5" xfId="4085" xr:uid="{00000000-0005-0000-0000-000075340000}"/>
    <cellStyle name="40% - Accent2 3 2 5 2" xfId="7677" xr:uid="{00000000-0005-0000-0000-000076340000}"/>
    <cellStyle name="40% - Accent2 3 2 5 2 2" xfId="15648" xr:uid="{00000000-0005-0000-0000-000077340000}"/>
    <cellStyle name="40% - Accent2 3 2 5 2 3" xfId="23594" xr:uid="{00000000-0005-0000-0000-000078340000}"/>
    <cellStyle name="40% - Accent2 3 2 5 3" xfId="12110" xr:uid="{00000000-0005-0000-0000-000079340000}"/>
    <cellStyle name="40% - Accent2 3 2 5 4" xfId="20065" xr:uid="{00000000-0005-0000-0000-00007A340000}"/>
    <cellStyle name="40% - Accent2 3 2 6" xfId="5905" xr:uid="{00000000-0005-0000-0000-00007B340000}"/>
    <cellStyle name="40% - Accent2 3 2 6 2" xfId="13889" xr:uid="{00000000-0005-0000-0000-00007C340000}"/>
    <cellStyle name="40% - Accent2 3 2 6 3" xfId="21837" xr:uid="{00000000-0005-0000-0000-00007D340000}"/>
    <cellStyle name="40% - Accent2 3 2 7" xfId="9458" xr:uid="{00000000-0005-0000-0000-00007E340000}"/>
    <cellStyle name="40% - Accent2 3 2 7 2" xfId="17416" xr:uid="{00000000-0005-0000-0000-00007F340000}"/>
    <cellStyle name="40% - Accent2 3 2 7 3" xfId="25360" xr:uid="{00000000-0005-0000-0000-000080340000}"/>
    <cellStyle name="40% - Accent2 3 2 8" xfId="10354" xr:uid="{00000000-0005-0000-0000-000081340000}"/>
    <cellStyle name="40% - Accent2 3 2 9" xfId="18309" xr:uid="{00000000-0005-0000-0000-000082340000}"/>
    <cellStyle name="40% - Accent2 3 2_Exh G" xfId="2862" xr:uid="{00000000-0005-0000-0000-000083340000}"/>
    <cellStyle name="40% - Accent2 3 3" xfId="408" xr:uid="{00000000-0005-0000-0000-000084340000}"/>
    <cellStyle name="40% - Accent2 3 3 2" xfId="1436" xr:uid="{00000000-0005-0000-0000-000085340000}"/>
    <cellStyle name="40% - Accent2 3 3 2 2" xfId="4966" xr:uid="{00000000-0005-0000-0000-000086340000}"/>
    <cellStyle name="40% - Accent2 3 3 2 2 2" xfId="8557" xr:uid="{00000000-0005-0000-0000-000087340000}"/>
    <cellStyle name="40% - Accent2 3 3 2 2 2 2" xfId="16528" xr:uid="{00000000-0005-0000-0000-000088340000}"/>
    <cellStyle name="40% - Accent2 3 3 2 2 2 3" xfId="24474" xr:uid="{00000000-0005-0000-0000-000089340000}"/>
    <cellStyle name="40% - Accent2 3 3 2 2 3" xfId="12990" xr:uid="{00000000-0005-0000-0000-00008A340000}"/>
    <cellStyle name="40% - Accent2 3 3 2 2 4" xfId="20945" xr:uid="{00000000-0005-0000-0000-00008B340000}"/>
    <cellStyle name="40% - Accent2 3 3 2 3" xfId="6798" xr:uid="{00000000-0005-0000-0000-00008C340000}"/>
    <cellStyle name="40% - Accent2 3 3 2 3 2" xfId="14770" xr:uid="{00000000-0005-0000-0000-00008D340000}"/>
    <cellStyle name="40% - Accent2 3 3 2 3 3" xfId="22717" xr:uid="{00000000-0005-0000-0000-00008E340000}"/>
    <cellStyle name="40% - Accent2 3 3 2 4" xfId="11234" xr:uid="{00000000-0005-0000-0000-00008F340000}"/>
    <cellStyle name="40% - Accent2 3 3 2 5" xfId="19189" xr:uid="{00000000-0005-0000-0000-000090340000}"/>
    <cellStyle name="40% - Accent2 3 3 2_Exh G" xfId="2869" xr:uid="{00000000-0005-0000-0000-000091340000}"/>
    <cellStyle name="40% - Accent2 3 3 3" xfId="4087" xr:uid="{00000000-0005-0000-0000-000092340000}"/>
    <cellStyle name="40% - Accent2 3 3 3 2" xfId="7679" xr:uid="{00000000-0005-0000-0000-000093340000}"/>
    <cellStyle name="40% - Accent2 3 3 3 2 2" xfId="15650" xr:uid="{00000000-0005-0000-0000-000094340000}"/>
    <cellStyle name="40% - Accent2 3 3 3 2 3" xfId="23596" xr:uid="{00000000-0005-0000-0000-000095340000}"/>
    <cellStyle name="40% - Accent2 3 3 3 3" xfId="12112" xr:uid="{00000000-0005-0000-0000-000096340000}"/>
    <cellStyle name="40% - Accent2 3 3 3 4" xfId="20067" xr:uid="{00000000-0005-0000-0000-000097340000}"/>
    <cellStyle name="40% - Accent2 3 3 4" xfId="5907" xr:uid="{00000000-0005-0000-0000-000098340000}"/>
    <cellStyle name="40% - Accent2 3 3 4 2" xfId="13891" xr:uid="{00000000-0005-0000-0000-000099340000}"/>
    <cellStyle name="40% - Accent2 3 3 4 3" xfId="21839" xr:uid="{00000000-0005-0000-0000-00009A340000}"/>
    <cellStyle name="40% - Accent2 3 3 5" xfId="9460" xr:uid="{00000000-0005-0000-0000-00009B340000}"/>
    <cellStyle name="40% - Accent2 3 3 5 2" xfId="17418" xr:uid="{00000000-0005-0000-0000-00009C340000}"/>
    <cellStyle name="40% - Accent2 3 3 5 3" xfId="25362" xr:uid="{00000000-0005-0000-0000-00009D340000}"/>
    <cellStyle name="40% - Accent2 3 3 6" xfId="10356" xr:uid="{00000000-0005-0000-0000-00009E340000}"/>
    <cellStyle name="40% - Accent2 3 3 7" xfId="18311" xr:uid="{00000000-0005-0000-0000-00009F340000}"/>
    <cellStyle name="40% - Accent2 3 3_Exh G" xfId="2868" xr:uid="{00000000-0005-0000-0000-0000A0340000}"/>
    <cellStyle name="40% - Accent2 3 4" xfId="949" xr:uid="{00000000-0005-0000-0000-0000A1340000}"/>
    <cellStyle name="40% - Accent2 3 4 2" xfId="1871" xr:uid="{00000000-0005-0000-0000-0000A2340000}"/>
    <cellStyle name="40% - Accent2 3 4 2 2" xfId="5389" xr:uid="{00000000-0005-0000-0000-0000A3340000}"/>
    <cellStyle name="40% - Accent2 3 4 2 2 2" xfId="8980" xr:uid="{00000000-0005-0000-0000-0000A4340000}"/>
    <cellStyle name="40% - Accent2 3 4 2 2 2 2" xfId="16951" xr:uid="{00000000-0005-0000-0000-0000A5340000}"/>
    <cellStyle name="40% - Accent2 3 4 2 2 2 3" xfId="24897" xr:uid="{00000000-0005-0000-0000-0000A6340000}"/>
    <cellStyle name="40% - Accent2 3 4 2 2 3" xfId="13413" xr:uid="{00000000-0005-0000-0000-0000A7340000}"/>
    <cellStyle name="40% - Accent2 3 4 2 2 4" xfId="21368" xr:uid="{00000000-0005-0000-0000-0000A8340000}"/>
    <cellStyle name="40% - Accent2 3 4 2 3" xfId="7221" xr:uid="{00000000-0005-0000-0000-0000A9340000}"/>
    <cellStyle name="40% - Accent2 3 4 2 3 2" xfId="15193" xr:uid="{00000000-0005-0000-0000-0000AA340000}"/>
    <cellStyle name="40% - Accent2 3 4 2 3 3" xfId="23140" xr:uid="{00000000-0005-0000-0000-0000AB340000}"/>
    <cellStyle name="40% - Accent2 3 4 2 4" xfId="11657" xr:uid="{00000000-0005-0000-0000-0000AC340000}"/>
    <cellStyle name="40% - Accent2 3 4 2 5" xfId="19612" xr:uid="{00000000-0005-0000-0000-0000AD340000}"/>
    <cellStyle name="40% - Accent2 3 4 2_Exh G" xfId="2871" xr:uid="{00000000-0005-0000-0000-0000AE340000}"/>
    <cellStyle name="40% - Accent2 3 4 3" xfId="4510" xr:uid="{00000000-0005-0000-0000-0000AF340000}"/>
    <cellStyle name="40% - Accent2 3 4 3 2" xfId="8102" xr:uid="{00000000-0005-0000-0000-0000B0340000}"/>
    <cellStyle name="40% - Accent2 3 4 3 2 2" xfId="16073" xr:uid="{00000000-0005-0000-0000-0000B1340000}"/>
    <cellStyle name="40% - Accent2 3 4 3 2 3" xfId="24019" xr:uid="{00000000-0005-0000-0000-0000B2340000}"/>
    <cellStyle name="40% - Accent2 3 4 3 3" xfId="12535" xr:uid="{00000000-0005-0000-0000-0000B3340000}"/>
    <cellStyle name="40% - Accent2 3 4 3 4" xfId="20490" xr:uid="{00000000-0005-0000-0000-0000B4340000}"/>
    <cellStyle name="40% - Accent2 3 4 4" xfId="6340" xr:uid="{00000000-0005-0000-0000-0000B5340000}"/>
    <cellStyle name="40% - Accent2 3 4 4 2" xfId="14315" xr:uid="{00000000-0005-0000-0000-0000B6340000}"/>
    <cellStyle name="40% - Accent2 3 4 4 3" xfId="22262" xr:uid="{00000000-0005-0000-0000-0000B7340000}"/>
    <cellStyle name="40% - Accent2 3 4 5" xfId="9883" xr:uid="{00000000-0005-0000-0000-0000B8340000}"/>
    <cellStyle name="40% - Accent2 3 4 5 2" xfId="17841" xr:uid="{00000000-0005-0000-0000-0000B9340000}"/>
    <cellStyle name="40% - Accent2 3 4 5 3" xfId="25785" xr:uid="{00000000-0005-0000-0000-0000BA340000}"/>
    <cellStyle name="40% - Accent2 3 4 6" xfId="10779" xr:uid="{00000000-0005-0000-0000-0000BB340000}"/>
    <cellStyle name="40% - Accent2 3 4 7" xfId="18734" xr:uid="{00000000-0005-0000-0000-0000BC340000}"/>
    <cellStyle name="40% - Accent2 3 4_Exh G" xfId="2870" xr:uid="{00000000-0005-0000-0000-0000BD340000}"/>
    <cellStyle name="40% - Accent2 3 5" xfId="1433" xr:uid="{00000000-0005-0000-0000-0000BE340000}"/>
    <cellStyle name="40% - Accent2 3 5 2" xfId="4963" xr:uid="{00000000-0005-0000-0000-0000BF340000}"/>
    <cellStyle name="40% - Accent2 3 5 2 2" xfId="8554" xr:uid="{00000000-0005-0000-0000-0000C0340000}"/>
    <cellStyle name="40% - Accent2 3 5 2 2 2" xfId="16525" xr:uid="{00000000-0005-0000-0000-0000C1340000}"/>
    <cellStyle name="40% - Accent2 3 5 2 2 3" xfId="24471" xr:uid="{00000000-0005-0000-0000-0000C2340000}"/>
    <cellStyle name="40% - Accent2 3 5 2 3" xfId="12987" xr:uid="{00000000-0005-0000-0000-0000C3340000}"/>
    <cellStyle name="40% - Accent2 3 5 2 4" xfId="20942" xr:uid="{00000000-0005-0000-0000-0000C4340000}"/>
    <cellStyle name="40% - Accent2 3 5 3" xfId="6795" xr:uid="{00000000-0005-0000-0000-0000C5340000}"/>
    <cellStyle name="40% - Accent2 3 5 3 2" xfId="14767" xr:uid="{00000000-0005-0000-0000-0000C6340000}"/>
    <cellStyle name="40% - Accent2 3 5 3 3" xfId="22714" xr:uid="{00000000-0005-0000-0000-0000C7340000}"/>
    <cellStyle name="40% - Accent2 3 5 4" xfId="11231" xr:uid="{00000000-0005-0000-0000-0000C8340000}"/>
    <cellStyle name="40% - Accent2 3 5 5" xfId="19186" xr:uid="{00000000-0005-0000-0000-0000C9340000}"/>
    <cellStyle name="40% - Accent2 3 5_Exh G" xfId="2872" xr:uid="{00000000-0005-0000-0000-0000CA340000}"/>
    <cellStyle name="40% - Accent2 3 6" xfId="4084" xr:uid="{00000000-0005-0000-0000-0000CB340000}"/>
    <cellStyle name="40% - Accent2 3 6 2" xfId="7676" xr:uid="{00000000-0005-0000-0000-0000CC340000}"/>
    <cellStyle name="40% - Accent2 3 6 2 2" xfId="15647" xr:uid="{00000000-0005-0000-0000-0000CD340000}"/>
    <cellStyle name="40% - Accent2 3 6 2 3" xfId="23593" xr:uid="{00000000-0005-0000-0000-0000CE340000}"/>
    <cellStyle name="40% - Accent2 3 6 3" xfId="12109" xr:uid="{00000000-0005-0000-0000-0000CF340000}"/>
    <cellStyle name="40% - Accent2 3 6 4" xfId="20064" xr:uid="{00000000-0005-0000-0000-0000D0340000}"/>
    <cellStyle name="40% - Accent2 3 7" xfId="5904" xr:uid="{00000000-0005-0000-0000-0000D1340000}"/>
    <cellStyle name="40% - Accent2 3 7 2" xfId="13888" xr:uid="{00000000-0005-0000-0000-0000D2340000}"/>
    <cellStyle name="40% - Accent2 3 7 3" xfId="21836" xr:uid="{00000000-0005-0000-0000-0000D3340000}"/>
    <cellStyle name="40% - Accent2 3 8" xfId="9457" xr:uid="{00000000-0005-0000-0000-0000D4340000}"/>
    <cellStyle name="40% - Accent2 3 8 2" xfId="17415" xr:uid="{00000000-0005-0000-0000-0000D5340000}"/>
    <cellStyle name="40% - Accent2 3 8 3" xfId="25359" xr:uid="{00000000-0005-0000-0000-0000D6340000}"/>
    <cellStyle name="40% - Accent2 3 9" xfId="10353" xr:uid="{00000000-0005-0000-0000-0000D7340000}"/>
    <cellStyle name="40% - Accent2 3_Exh G" xfId="2861" xr:uid="{00000000-0005-0000-0000-0000D8340000}"/>
    <cellStyle name="40% - Accent2 4" xfId="409" xr:uid="{00000000-0005-0000-0000-0000D9340000}"/>
    <cellStyle name="40% - Accent2 4 10" xfId="18312" xr:uid="{00000000-0005-0000-0000-0000DA340000}"/>
    <cellStyle name="40% - Accent2 4 2" xfId="410" xr:uid="{00000000-0005-0000-0000-0000DB340000}"/>
    <cellStyle name="40% - Accent2 4 2 2" xfId="411" xr:uid="{00000000-0005-0000-0000-0000DC340000}"/>
    <cellStyle name="40% - Accent2 4 2 2 2" xfId="1439" xr:uid="{00000000-0005-0000-0000-0000DD340000}"/>
    <cellStyle name="40% - Accent2 4 2 2 2 2" xfId="4969" xr:uid="{00000000-0005-0000-0000-0000DE340000}"/>
    <cellStyle name="40% - Accent2 4 2 2 2 2 2" xfId="8560" xr:uid="{00000000-0005-0000-0000-0000DF340000}"/>
    <cellStyle name="40% - Accent2 4 2 2 2 2 2 2" xfId="16531" xr:uid="{00000000-0005-0000-0000-0000E0340000}"/>
    <cellStyle name="40% - Accent2 4 2 2 2 2 2 3" xfId="24477" xr:uid="{00000000-0005-0000-0000-0000E1340000}"/>
    <cellStyle name="40% - Accent2 4 2 2 2 2 3" xfId="12993" xr:uid="{00000000-0005-0000-0000-0000E2340000}"/>
    <cellStyle name="40% - Accent2 4 2 2 2 2 4" xfId="20948" xr:uid="{00000000-0005-0000-0000-0000E3340000}"/>
    <cellStyle name="40% - Accent2 4 2 2 2 3" xfId="6801" xr:uid="{00000000-0005-0000-0000-0000E4340000}"/>
    <cellStyle name="40% - Accent2 4 2 2 2 3 2" xfId="14773" xr:uid="{00000000-0005-0000-0000-0000E5340000}"/>
    <cellStyle name="40% - Accent2 4 2 2 2 3 3" xfId="22720" xr:uid="{00000000-0005-0000-0000-0000E6340000}"/>
    <cellStyle name="40% - Accent2 4 2 2 2 4" xfId="11237" xr:uid="{00000000-0005-0000-0000-0000E7340000}"/>
    <cellStyle name="40% - Accent2 4 2 2 2 5" xfId="19192" xr:uid="{00000000-0005-0000-0000-0000E8340000}"/>
    <cellStyle name="40% - Accent2 4 2 2 2_Exh G" xfId="2876" xr:uid="{00000000-0005-0000-0000-0000E9340000}"/>
    <cellStyle name="40% - Accent2 4 2 2 3" xfId="4090" xr:uid="{00000000-0005-0000-0000-0000EA340000}"/>
    <cellStyle name="40% - Accent2 4 2 2 3 2" xfId="7682" xr:uid="{00000000-0005-0000-0000-0000EB340000}"/>
    <cellStyle name="40% - Accent2 4 2 2 3 2 2" xfId="15653" xr:uid="{00000000-0005-0000-0000-0000EC340000}"/>
    <cellStyle name="40% - Accent2 4 2 2 3 2 3" xfId="23599" xr:uid="{00000000-0005-0000-0000-0000ED340000}"/>
    <cellStyle name="40% - Accent2 4 2 2 3 3" xfId="12115" xr:uid="{00000000-0005-0000-0000-0000EE340000}"/>
    <cellStyle name="40% - Accent2 4 2 2 3 4" xfId="20070" xr:uid="{00000000-0005-0000-0000-0000EF340000}"/>
    <cellStyle name="40% - Accent2 4 2 2 4" xfId="5910" xr:uid="{00000000-0005-0000-0000-0000F0340000}"/>
    <cellStyle name="40% - Accent2 4 2 2 4 2" xfId="13894" xr:uid="{00000000-0005-0000-0000-0000F1340000}"/>
    <cellStyle name="40% - Accent2 4 2 2 4 3" xfId="21842" xr:uid="{00000000-0005-0000-0000-0000F2340000}"/>
    <cellStyle name="40% - Accent2 4 2 2 5" xfId="9463" xr:uid="{00000000-0005-0000-0000-0000F3340000}"/>
    <cellStyle name="40% - Accent2 4 2 2 5 2" xfId="17421" xr:uid="{00000000-0005-0000-0000-0000F4340000}"/>
    <cellStyle name="40% - Accent2 4 2 2 5 3" xfId="25365" xr:uid="{00000000-0005-0000-0000-0000F5340000}"/>
    <cellStyle name="40% - Accent2 4 2 2 6" xfId="10359" xr:uid="{00000000-0005-0000-0000-0000F6340000}"/>
    <cellStyle name="40% - Accent2 4 2 2 7" xfId="18314" xr:uid="{00000000-0005-0000-0000-0000F7340000}"/>
    <cellStyle name="40% - Accent2 4 2 2_Exh G" xfId="2875" xr:uid="{00000000-0005-0000-0000-0000F8340000}"/>
    <cellStyle name="40% - Accent2 4 2 3" xfId="952" xr:uid="{00000000-0005-0000-0000-0000F9340000}"/>
    <cellStyle name="40% - Accent2 4 2 3 2" xfId="1874" xr:uid="{00000000-0005-0000-0000-0000FA340000}"/>
    <cellStyle name="40% - Accent2 4 2 3 2 2" xfId="5392" xr:uid="{00000000-0005-0000-0000-0000FB340000}"/>
    <cellStyle name="40% - Accent2 4 2 3 2 2 2" xfId="8983" xr:uid="{00000000-0005-0000-0000-0000FC340000}"/>
    <cellStyle name="40% - Accent2 4 2 3 2 2 2 2" xfId="16954" xr:uid="{00000000-0005-0000-0000-0000FD340000}"/>
    <cellStyle name="40% - Accent2 4 2 3 2 2 2 3" xfId="24900" xr:uid="{00000000-0005-0000-0000-0000FE340000}"/>
    <cellStyle name="40% - Accent2 4 2 3 2 2 3" xfId="13416" xr:uid="{00000000-0005-0000-0000-0000FF340000}"/>
    <cellStyle name="40% - Accent2 4 2 3 2 2 4" xfId="21371" xr:uid="{00000000-0005-0000-0000-000000350000}"/>
    <cellStyle name="40% - Accent2 4 2 3 2 3" xfId="7224" xr:uid="{00000000-0005-0000-0000-000001350000}"/>
    <cellStyle name="40% - Accent2 4 2 3 2 3 2" xfId="15196" xr:uid="{00000000-0005-0000-0000-000002350000}"/>
    <cellStyle name="40% - Accent2 4 2 3 2 3 3" xfId="23143" xr:uid="{00000000-0005-0000-0000-000003350000}"/>
    <cellStyle name="40% - Accent2 4 2 3 2 4" xfId="11660" xr:uid="{00000000-0005-0000-0000-000004350000}"/>
    <cellStyle name="40% - Accent2 4 2 3 2 5" xfId="19615" xr:uid="{00000000-0005-0000-0000-000005350000}"/>
    <cellStyle name="40% - Accent2 4 2 3 2_Exh G" xfId="2878" xr:uid="{00000000-0005-0000-0000-000006350000}"/>
    <cellStyle name="40% - Accent2 4 2 3 3" xfId="4513" xr:uid="{00000000-0005-0000-0000-000007350000}"/>
    <cellStyle name="40% - Accent2 4 2 3 3 2" xfId="8105" xr:uid="{00000000-0005-0000-0000-000008350000}"/>
    <cellStyle name="40% - Accent2 4 2 3 3 2 2" xfId="16076" xr:uid="{00000000-0005-0000-0000-000009350000}"/>
    <cellStyle name="40% - Accent2 4 2 3 3 2 3" xfId="24022" xr:uid="{00000000-0005-0000-0000-00000A350000}"/>
    <cellStyle name="40% - Accent2 4 2 3 3 3" xfId="12538" xr:uid="{00000000-0005-0000-0000-00000B350000}"/>
    <cellStyle name="40% - Accent2 4 2 3 3 4" xfId="20493" xr:uid="{00000000-0005-0000-0000-00000C350000}"/>
    <cellStyle name="40% - Accent2 4 2 3 4" xfId="6343" xr:uid="{00000000-0005-0000-0000-00000D350000}"/>
    <cellStyle name="40% - Accent2 4 2 3 4 2" xfId="14318" xr:uid="{00000000-0005-0000-0000-00000E350000}"/>
    <cellStyle name="40% - Accent2 4 2 3 4 3" xfId="22265" xr:uid="{00000000-0005-0000-0000-00000F350000}"/>
    <cellStyle name="40% - Accent2 4 2 3 5" xfId="9886" xr:uid="{00000000-0005-0000-0000-000010350000}"/>
    <cellStyle name="40% - Accent2 4 2 3 5 2" xfId="17844" xr:uid="{00000000-0005-0000-0000-000011350000}"/>
    <cellStyle name="40% - Accent2 4 2 3 5 3" xfId="25788" xr:uid="{00000000-0005-0000-0000-000012350000}"/>
    <cellStyle name="40% - Accent2 4 2 3 6" xfId="10782" xr:uid="{00000000-0005-0000-0000-000013350000}"/>
    <cellStyle name="40% - Accent2 4 2 3 7" xfId="18737" xr:uid="{00000000-0005-0000-0000-000014350000}"/>
    <cellStyle name="40% - Accent2 4 2 3_Exh G" xfId="2877" xr:uid="{00000000-0005-0000-0000-000015350000}"/>
    <cellStyle name="40% - Accent2 4 2 4" xfId="1438" xr:uid="{00000000-0005-0000-0000-000016350000}"/>
    <cellStyle name="40% - Accent2 4 2 4 2" xfId="4968" xr:uid="{00000000-0005-0000-0000-000017350000}"/>
    <cellStyle name="40% - Accent2 4 2 4 2 2" xfId="8559" xr:uid="{00000000-0005-0000-0000-000018350000}"/>
    <cellStyle name="40% - Accent2 4 2 4 2 2 2" xfId="16530" xr:uid="{00000000-0005-0000-0000-000019350000}"/>
    <cellStyle name="40% - Accent2 4 2 4 2 2 3" xfId="24476" xr:uid="{00000000-0005-0000-0000-00001A350000}"/>
    <cellStyle name="40% - Accent2 4 2 4 2 3" xfId="12992" xr:uid="{00000000-0005-0000-0000-00001B350000}"/>
    <cellStyle name="40% - Accent2 4 2 4 2 4" xfId="20947" xr:uid="{00000000-0005-0000-0000-00001C350000}"/>
    <cellStyle name="40% - Accent2 4 2 4 3" xfId="6800" xr:uid="{00000000-0005-0000-0000-00001D350000}"/>
    <cellStyle name="40% - Accent2 4 2 4 3 2" xfId="14772" xr:uid="{00000000-0005-0000-0000-00001E350000}"/>
    <cellStyle name="40% - Accent2 4 2 4 3 3" xfId="22719" xr:uid="{00000000-0005-0000-0000-00001F350000}"/>
    <cellStyle name="40% - Accent2 4 2 4 4" xfId="11236" xr:uid="{00000000-0005-0000-0000-000020350000}"/>
    <cellStyle name="40% - Accent2 4 2 4 5" xfId="19191" xr:uid="{00000000-0005-0000-0000-000021350000}"/>
    <cellStyle name="40% - Accent2 4 2 4_Exh G" xfId="2879" xr:uid="{00000000-0005-0000-0000-000022350000}"/>
    <cellStyle name="40% - Accent2 4 2 5" xfId="4089" xr:uid="{00000000-0005-0000-0000-000023350000}"/>
    <cellStyle name="40% - Accent2 4 2 5 2" xfId="7681" xr:uid="{00000000-0005-0000-0000-000024350000}"/>
    <cellStyle name="40% - Accent2 4 2 5 2 2" xfId="15652" xr:uid="{00000000-0005-0000-0000-000025350000}"/>
    <cellStyle name="40% - Accent2 4 2 5 2 3" xfId="23598" xr:uid="{00000000-0005-0000-0000-000026350000}"/>
    <cellStyle name="40% - Accent2 4 2 5 3" xfId="12114" xr:uid="{00000000-0005-0000-0000-000027350000}"/>
    <cellStyle name="40% - Accent2 4 2 5 4" xfId="20069" xr:uid="{00000000-0005-0000-0000-000028350000}"/>
    <cellStyle name="40% - Accent2 4 2 6" xfId="5909" xr:uid="{00000000-0005-0000-0000-000029350000}"/>
    <cellStyle name="40% - Accent2 4 2 6 2" xfId="13893" xr:uid="{00000000-0005-0000-0000-00002A350000}"/>
    <cellStyle name="40% - Accent2 4 2 6 3" xfId="21841" xr:uid="{00000000-0005-0000-0000-00002B350000}"/>
    <cellStyle name="40% - Accent2 4 2 7" xfId="9462" xr:uid="{00000000-0005-0000-0000-00002C350000}"/>
    <cellStyle name="40% - Accent2 4 2 7 2" xfId="17420" xr:uid="{00000000-0005-0000-0000-00002D350000}"/>
    <cellStyle name="40% - Accent2 4 2 7 3" xfId="25364" xr:uid="{00000000-0005-0000-0000-00002E350000}"/>
    <cellStyle name="40% - Accent2 4 2 8" xfId="10358" xr:uid="{00000000-0005-0000-0000-00002F350000}"/>
    <cellStyle name="40% - Accent2 4 2 9" xfId="18313" xr:uid="{00000000-0005-0000-0000-000030350000}"/>
    <cellStyle name="40% - Accent2 4 2_Exh G" xfId="2874" xr:uid="{00000000-0005-0000-0000-000031350000}"/>
    <cellStyle name="40% - Accent2 4 3" xfId="412" xr:uid="{00000000-0005-0000-0000-000032350000}"/>
    <cellStyle name="40% - Accent2 4 3 2" xfId="1440" xr:uid="{00000000-0005-0000-0000-000033350000}"/>
    <cellStyle name="40% - Accent2 4 3 2 2" xfId="4970" xr:uid="{00000000-0005-0000-0000-000034350000}"/>
    <cellStyle name="40% - Accent2 4 3 2 2 2" xfId="8561" xr:uid="{00000000-0005-0000-0000-000035350000}"/>
    <cellStyle name="40% - Accent2 4 3 2 2 2 2" xfId="16532" xr:uid="{00000000-0005-0000-0000-000036350000}"/>
    <cellStyle name="40% - Accent2 4 3 2 2 2 3" xfId="24478" xr:uid="{00000000-0005-0000-0000-000037350000}"/>
    <cellStyle name="40% - Accent2 4 3 2 2 3" xfId="12994" xr:uid="{00000000-0005-0000-0000-000038350000}"/>
    <cellStyle name="40% - Accent2 4 3 2 2 4" xfId="20949" xr:uid="{00000000-0005-0000-0000-000039350000}"/>
    <cellStyle name="40% - Accent2 4 3 2 3" xfId="6802" xr:uid="{00000000-0005-0000-0000-00003A350000}"/>
    <cellStyle name="40% - Accent2 4 3 2 3 2" xfId="14774" xr:uid="{00000000-0005-0000-0000-00003B350000}"/>
    <cellStyle name="40% - Accent2 4 3 2 3 3" xfId="22721" xr:uid="{00000000-0005-0000-0000-00003C350000}"/>
    <cellStyle name="40% - Accent2 4 3 2 4" xfId="11238" xr:uid="{00000000-0005-0000-0000-00003D350000}"/>
    <cellStyle name="40% - Accent2 4 3 2 5" xfId="19193" xr:uid="{00000000-0005-0000-0000-00003E350000}"/>
    <cellStyle name="40% - Accent2 4 3 2_Exh G" xfId="2881" xr:uid="{00000000-0005-0000-0000-00003F350000}"/>
    <cellStyle name="40% - Accent2 4 3 3" xfId="4091" xr:uid="{00000000-0005-0000-0000-000040350000}"/>
    <cellStyle name="40% - Accent2 4 3 3 2" xfId="7683" xr:uid="{00000000-0005-0000-0000-000041350000}"/>
    <cellStyle name="40% - Accent2 4 3 3 2 2" xfId="15654" xr:uid="{00000000-0005-0000-0000-000042350000}"/>
    <cellStyle name="40% - Accent2 4 3 3 2 3" xfId="23600" xr:uid="{00000000-0005-0000-0000-000043350000}"/>
    <cellStyle name="40% - Accent2 4 3 3 3" xfId="12116" xr:uid="{00000000-0005-0000-0000-000044350000}"/>
    <cellStyle name="40% - Accent2 4 3 3 4" xfId="20071" xr:uid="{00000000-0005-0000-0000-000045350000}"/>
    <cellStyle name="40% - Accent2 4 3 4" xfId="5911" xr:uid="{00000000-0005-0000-0000-000046350000}"/>
    <cellStyle name="40% - Accent2 4 3 4 2" xfId="13895" xr:uid="{00000000-0005-0000-0000-000047350000}"/>
    <cellStyle name="40% - Accent2 4 3 4 3" xfId="21843" xr:uid="{00000000-0005-0000-0000-000048350000}"/>
    <cellStyle name="40% - Accent2 4 3 5" xfId="9464" xr:uid="{00000000-0005-0000-0000-000049350000}"/>
    <cellStyle name="40% - Accent2 4 3 5 2" xfId="17422" xr:uid="{00000000-0005-0000-0000-00004A350000}"/>
    <cellStyle name="40% - Accent2 4 3 5 3" xfId="25366" xr:uid="{00000000-0005-0000-0000-00004B350000}"/>
    <cellStyle name="40% - Accent2 4 3 6" xfId="10360" xr:uid="{00000000-0005-0000-0000-00004C350000}"/>
    <cellStyle name="40% - Accent2 4 3 7" xfId="18315" xr:uid="{00000000-0005-0000-0000-00004D350000}"/>
    <cellStyle name="40% - Accent2 4 3_Exh G" xfId="2880" xr:uid="{00000000-0005-0000-0000-00004E350000}"/>
    <cellStyle name="40% - Accent2 4 4" xfId="951" xr:uid="{00000000-0005-0000-0000-00004F350000}"/>
    <cellStyle name="40% - Accent2 4 4 2" xfId="1873" xr:uid="{00000000-0005-0000-0000-000050350000}"/>
    <cellStyle name="40% - Accent2 4 4 2 2" xfId="5391" xr:uid="{00000000-0005-0000-0000-000051350000}"/>
    <cellStyle name="40% - Accent2 4 4 2 2 2" xfId="8982" xr:uid="{00000000-0005-0000-0000-000052350000}"/>
    <cellStyle name="40% - Accent2 4 4 2 2 2 2" xfId="16953" xr:uid="{00000000-0005-0000-0000-000053350000}"/>
    <cellStyle name="40% - Accent2 4 4 2 2 2 3" xfId="24899" xr:uid="{00000000-0005-0000-0000-000054350000}"/>
    <cellStyle name="40% - Accent2 4 4 2 2 3" xfId="13415" xr:uid="{00000000-0005-0000-0000-000055350000}"/>
    <cellStyle name="40% - Accent2 4 4 2 2 4" xfId="21370" xr:uid="{00000000-0005-0000-0000-000056350000}"/>
    <cellStyle name="40% - Accent2 4 4 2 3" xfId="7223" xr:uid="{00000000-0005-0000-0000-000057350000}"/>
    <cellStyle name="40% - Accent2 4 4 2 3 2" xfId="15195" xr:uid="{00000000-0005-0000-0000-000058350000}"/>
    <cellStyle name="40% - Accent2 4 4 2 3 3" xfId="23142" xr:uid="{00000000-0005-0000-0000-000059350000}"/>
    <cellStyle name="40% - Accent2 4 4 2 4" xfId="11659" xr:uid="{00000000-0005-0000-0000-00005A350000}"/>
    <cellStyle name="40% - Accent2 4 4 2 5" xfId="19614" xr:uid="{00000000-0005-0000-0000-00005B350000}"/>
    <cellStyle name="40% - Accent2 4 4 2_Exh G" xfId="2883" xr:uid="{00000000-0005-0000-0000-00005C350000}"/>
    <cellStyle name="40% - Accent2 4 4 3" xfId="4512" xr:uid="{00000000-0005-0000-0000-00005D350000}"/>
    <cellStyle name="40% - Accent2 4 4 3 2" xfId="8104" xr:uid="{00000000-0005-0000-0000-00005E350000}"/>
    <cellStyle name="40% - Accent2 4 4 3 2 2" xfId="16075" xr:uid="{00000000-0005-0000-0000-00005F350000}"/>
    <cellStyle name="40% - Accent2 4 4 3 2 3" xfId="24021" xr:uid="{00000000-0005-0000-0000-000060350000}"/>
    <cellStyle name="40% - Accent2 4 4 3 3" xfId="12537" xr:uid="{00000000-0005-0000-0000-000061350000}"/>
    <cellStyle name="40% - Accent2 4 4 3 4" xfId="20492" xr:uid="{00000000-0005-0000-0000-000062350000}"/>
    <cellStyle name="40% - Accent2 4 4 4" xfId="6342" xr:uid="{00000000-0005-0000-0000-000063350000}"/>
    <cellStyle name="40% - Accent2 4 4 4 2" xfId="14317" xr:uid="{00000000-0005-0000-0000-000064350000}"/>
    <cellStyle name="40% - Accent2 4 4 4 3" xfId="22264" xr:uid="{00000000-0005-0000-0000-000065350000}"/>
    <cellStyle name="40% - Accent2 4 4 5" xfId="9885" xr:uid="{00000000-0005-0000-0000-000066350000}"/>
    <cellStyle name="40% - Accent2 4 4 5 2" xfId="17843" xr:uid="{00000000-0005-0000-0000-000067350000}"/>
    <cellStyle name="40% - Accent2 4 4 5 3" xfId="25787" xr:uid="{00000000-0005-0000-0000-000068350000}"/>
    <cellStyle name="40% - Accent2 4 4 6" xfId="10781" xr:uid="{00000000-0005-0000-0000-000069350000}"/>
    <cellStyle name="40% - Accent2 4 4 7" xfId="18736" xr:uid="{00000000-0005-0000-0000-00006A350000}"/>
    <cellStyle name="40% - Accent2 4 4_Exh G" xfId="2882" xr:uid="{00000000-0005-0000-0000-00006B350000}"/>
    <cellStyle name="40% - Accent2 4 5" xfId="1437" xr:uid="{00000000-0005-0000-0000-00006C350000}"/>
    <cellStyle name="40% - Accent2 4 5 2" xfId="4967" xr:uid="{00000000-0005-0000-0000-00006D350000}"/>
    <cellStyle name="40% - Accent2 4 5 2 2" xfId="8558" xr:uid="{00000000-0005-0000-0000-00006E350000}"/>
    <cellStyle name="40% - Accent2 4 5 2 2 2" xfId="16529" xr:uid="{00000000-0005-0000-0000-00006F350000}"/>
    <cellStyle name="40% - Accent2 4 5 2 2 3" xfId="24475" xr:uid="{00000000-0005-0000-0000-000070350000}"/>
    <cellStyle name="40% - Accent2 4 5 2 3" xfId="12991" xr:uid="{00000000-0005-0000-0000-000071350000}"/>
    <cellStyle name="40% - Accent2 4 5 2 4" xfId="20946" xr:uid="{00000000-0005-0000-0000-000072350000}"/>
    <cellStyle name="40% - Accent2 4 5 3" xfId="6799" xr:uid="{00000000-0005-0000-0000-000073350000}"/>
    <cellStyle name="40% - Accent2 4 5 3 2" xfId="14771" xr:uid="{00000000-0005-0000-0000-000074350000}"/>
    <cellStyle name="40% - Accent2 4 5 3 3" xfId="22718" xr:uid="{00000000-0005-0000-0000-000075350000}"/>
    <cellStyle name="40% - Accent2 4 5 4" xfId="11235" xr:uid="{00000000-0005-0000-0000-000076350000}"/>
    <cellStyle name="40% - Accent2 4 5 5" xfId="19190" xr:uid="{00000000-0005-0000-0000-000077350000}"/>
    <cellStyle name="40% - Accent2 4 5_Exh G" xfId="2884" xr:uid="{00000000-0005-0000-0000-000078350000}"/>
    <cellStyle name="40% - Accent2 4 6" xfId="4088" xr:uid="{00000000-0005-0000-0000-000079350000}"/>
    <cellStyle name="40% - Accent2 4 6 2" xfId="7680" xr:uid="{00000000-0005-0000-0000-00007A350000}"/>
    <cellStyle name="40% - Accent2 4 6 2 2" xfId="15651" xr:uid="{00000000-0005-0000-0000-00007B350000}"/>
    <cellStyle name="40% - Accent2 4 6 2 3" xfId="23597" xr:uid="{00000000-0005-0000-0000-00007C350000}"/>
    <cellStyle name="40% - Accent2 4 6 3" xfId="12113" xr:uid="{00000000-0005-0000-0000-00007D350000}"/>
    <cellStyle name="40% - Accent2 4 6 4" xfId="20068" xr:uid="{00000000-0005-0000-0000-00007E350000}"/>
    <cellStyle name="40% - Accent2 4 7" xfId="5908" xr:uid="{00000000-0005-0000-0000-00007F350000}"/>
    <cellStyle name="40% - Accent2 4 7 2" xfId="13892" xr:uid="{00000000-0005-0000-0000-000080350000}"/>
    <cellStyle name="40% - Accent2 4 7 3" xfId="21840" xr:uid="{00000000-0005-0000-0000-000081350000}"/>
    <cellStyle name="40% - Accent2 4 8" xfId="9461" xr:uid="{00000000-0005-0000-0000-000082350000}"/>
    <cellStyle name="40% - Accent2 4 8 2" xfId="17419" xr:uid="{00000000-0005-0000-0000-000083350000}"/>
    <cellStyle name="40% - Accent2 4 8 3" xfId="25363" xr:uid="{00000000-0005-0000-0000-000084350000}"/>
    <cellStyle name="40% - Accent2 4 9" xfId="10357" xr:uid="{00000000-0005-0000-0000-000085350000}"/>
    <cellStyle name="40% - Accent2 4_Exh G" xfId="2873" xr:uid="{00000000-0005-0000-0000-000086350000}"/>
    <cellStyle name="40% - Accent2 5" xfId="413" xr:uid="{00000000-0005-0000-0000-000087350000}"/>
    <cellStyle name="40% - Accent2 5 10" xfId="18316" xr:uid="{00000000-0005-0000-0000-000088350000}"/>
    <cellStyle name="40% - Accent2 5 2" xfId="414" xr:uid="{00000000-0005-0000-0000-000089350000}"/>
    <cellStyle name="40% - Accent2 5 2 2" xfId="415" xr:uid="{00000000-0005-0000-0000-00008A350000}"/>
    <cellStyle name="40% - Accent2 5 2 2 2" xfId="1443" xr:uid="{00000000-0005-0000-0000-00008B350000}"/>
    <cellStyle name="40% - Accent2 5 2 2 2 2" xfId="4973" xr:uid="{00000000-0005-0000-0000-00008C350000}"/>
    <cellStyle name="40% - Accent2 5 2 2 2 2 2" xfId="8564" xr:uid="{00000000-0005-0000-0000-00008D350000}"/>
    <cellStyle name="40% - Accent2 5 2 2 2 2 2 2" xfId="16535" xr:uid="{00000000-0005-0000-0000-00008E350000}"/>
    <cellStyle name="40% - Accent2 5 2 2 2 2 2 3" xfId="24481" xr:uid="{00000000-0005-0000-0000-00008F350000}"/>
    <cellStyle name="40% - Accent2 5 2 2 2 2 3" xfId="12997" xr:uid="{00000000-0005-0000-0000-000090350000}"/>
    <cellStyle name="40% - Accent2 5 2 2 2 2 4" xfId="20952" xr:uid="{00000000-0005-0000-0000-000091350000}"/>
    <cellStyle name="40% - Accent2 5 2 2 2 3" xfId="6805" xr:uid="{00000000-0005-0000-0000-000092350000}"/>
    <cellStyle name="40% - Accent2 5 2 2 2 3 2" xfId="14777" xr:uid="{00000000-0005-0000-0000-000093350000}"/>
    <cellStyle name="40% - Accent2 5 2 2 2 3 3" xfId="22724" xr:uid="{00000000-0005-0000-0000-000094350000}"/>
    <cellStyle name="40% - Accent2 5 2 2 2 4" xfId="11241" xr:uid="{00000000-0005-0000-0000-000095350000}"/>
    <cellStyle name="40% - Accent2 5 2 2 2 5" xfId="19196" xr:uid="{00000000-0005-0000-0000-000096350000}"/>
    <cellStyle name="40% - Accent2 5 2 2 2_Exh G" xfId="2888" xr:uid="{00000000-0005-0000-0000-000097350000}"/>
    <cellStyle name="40% - Accent2 5 2 2 3" xfId="4094" xr:uid="{00000000-0005-0000-0000-000098350000}"/>
    <cellStyle name="40% - Accent2 5 2 2 3 2" xfId="7686" xr:uid="{00000000-0005-0000-0000-000099350000}"/>
    <cellStyle name="40% - Accent2 5 2 2 3 2 2" xfId="15657" xr:uid="{00000000-0005-0000-0000-00009A350000}"/>
    <cellStyle name="40% - Accent2 5 2 2 3 2 3" xfId="23603" xr:uid="{00000000-0005-0000-0000-00009B350000}"/>
    <cellStyle name="40% - Accent2 5 2 2 3 3" xfId="12119" xr:uid="{00000000-0005-0000-0000-00009C350000}"/>
    <cellStyle name="40% - Accent2 5 2 2 3 4" xfId="20074" xr:uid="{00000000-0005-0000-0000-00009D350000}"/>
    <cellStyle name="40% - Accent2 5 2 2 4" xfId="5914" xr:uid="{00000000-0005-0000-0000-00009E350000}"/>
    <cellStyle name="40% - Accent2 5 2 2 4 2" xfId="13898" xr:uid="{00000000-0005-0000-0000-00009F350000}"/>
    <cellStyle name="40% - Accent2 5 2 2 4 3" xfId="21846" xr:uid="{00000000-0005-0000-0000-0000A0350000}"/>
    <cellStyle name="40% - Accent2 5 2 2 5" xfId="9467" xr:uid="{00000000-0005-0000-0000-0000A1350000}"/>
    <cellStyle name="40% - Accent2 5 2 2 5 2" xfId="17425" xr:uid="{00000000-0005-0000-0000-0000A2350000}"/>
    <cellStyle name="40% - Accent2 5 2 2 5 3" xfId="25369" xr:uid="{00000000-0005-0000-0000-0000A3350000}"/>
    <cellStyle name="40% - Accent2 5 2 2 6" xfId="10363" xr:uid="{00000000-0005-0000-0000-0000A4350000}"/>
    <cellStyle name="40% - Accent2 5 2 2 7" xfId="18318" xr:uid="{00000000-0005-0000-0000-0000A5350000}"/>
    <cellStyle name="40% - Accent2 5 2 2_Exh G" xfId="2887" xr:uid="{00000000-0005-0000-0000-0000A6350000}"/>
    <cellStyle name="40% - Accent2 5 2 3" xfId="1442" xr:uid="{00000000-0005-0000-0000-0000A7350000}"/>
    <cellStyle name="40% - Accent2 5 2 3 2" xfId="4972" xr:uid="{00000000-0005-0000-0000-0000A8350000}"/>
    <cellStyle name="40% - Accent2 5 2 3 2 2" xfId="8563" xr:uid="{00000000-0005-0000-0000-0000A9350000}"/>
    <cellStyle name="40% - Accent2 5 2 3 2 2 2" xfId="16534" xr:uid="{00000000-0005-0000-0000-0000AA350000}"/>
    <cellStyle name="40% - Accent2 5 2 3 2 2 3" xfId="24480" xr:uid="{00000000-0005-0000-0000-0000AB350000}"/>
    <cellStyle name="40% - Accent2 5 2 3 2 3" xfId="12996" xr:uid="{00000000-0005-0000-0000-0000AC350000}"/>
    <cellStyle name="40% - Accent2 5 2 3 2 4" xfId="20951" xr:uid="{00000000-0005-0000-0000-0000AD350000}"/>
    <cellStyle name="40% - Accent2 5 2 3 3" xfId="6804" xr:uid="{00000000-0005-0000-0000-0000AE350000}"/>
    <cellStyle name="40% - Accent2 5 2 3 3 2" xfId="14776" xr:uid="{00000000-0005-0000-0000-0000AF350000}"/>
    <cellStyle name="40% - Accent2 5 2 3 3 3" xfId="22723" xr:uid="{00000000-0005-0000-0000-0000B0350000}"/>
    <cellStyle name="40% - Accent2 5 2 3 4" xfId="11240" xr:uid="{00000000-0005-0000-0000-0000B1350000}"/>
    <cellStyle name="40% - Accent2 5 2 3 5" xfId="19195" xr:uid="{00000000-0005-0000-0000-0000B2350000}"/>
    <cellStyle name="40% - Accent2 5 2 3_Exh G" xfId="2889" xr:uid="{00000000-0005-0000-0000-0000B3350000}"/>
    <cellStyle name="40% - Accent2 5 2 4" xfId="4093" xr:uid="{00000000-0005-0000-0000-0000B4350000}"/>
    <cellStyle name="40% - Accent2 5 2 4 2" xfId="7685" xr:uid="{00000000-0005-0000-0000-0000B5350000}"/>
    <cellStyle name="40% - Accent2 5 2 4 2 2" xfId="15656" xr:uid="{00000000-0005-0000-0000-0000B6350000}"/>
    <cellStyle name="40% - Accent2 5 2 4 2 3" xfId="23602" xr:uid="{00000000-0005-0000-0000-0000B7350000}"/>
    <cellStyle name="40% - Accent2 5 2 4 3" xfId="12118" xr:uid="{00000000-0005-0000-0000-0000B8350000}"/>
    <cellStyle name="40% - Accent2 5 2 4 4" xfId="20073" xr:uid="{00000000-0005-0000-0000-0000B9350000}"/>
    <cellStyle name="40% - Accent2 5 2 5" xfId="5913" xr:uid="{00000000-0005-0000-0000-0000BA350000}"/>
    <cellStyle name="40% - Accent2 5 2 5 2" xfId="13897" xr:uid="{00000000-0005-0000-0000-0000BB350000}"/>
    <cellStyle name="40% - Accent2 5 2 5 3" xfId="21845" xr:uid="{00000000-0005-0000-0000-0000BC350000}"/>
    <cellStyle name="40% - Accent2 5 2 6" xfId="9466" xr:uid="{00000000-0005-0000-0000-0000BD350000}"/>
    <cellStyle name="40% - Accent2 5 2 6 2" xfId="17424" xr:uid="{00000000-0005-0000-0000-0000BE350000}"/>
    <cellStyle name="40% - Accent2 5 2 6 3" xfId="25368" xr:uid="{00000000-0005-0000-0000-0000BF350000}"/>
    <cellStyle name="40% - Accent2 5 2 7" xfId="10362" xr:uid="{00000000-0005-0000-0000-0000C0350000}"/>
    <cellStyle name="40% - Accent2 5 2 8" xfId="18317" xr:uid="{00000000-0005-0000-0000-0000C1350000}"/>
    <cellStyle name="40% - Accent2 5 2_Exh G" xfId="2886" xr:uid="{00000000-0005-0000-0000-0000C2350000}"/>
    <cellStyle name="40% - Accent2 5 3" xfId="416" xr:uid="{00000000-0005-0000-0000-0000C3350000}"/>
    <cellStyle name="40% - Accent2 5 3 2" xfId="1444" xr:uid="{00000000-0005-0000-0000-0000C4350000}"/>
    <cellStyle name="40% - Accent2 5 3 2 2" xfId="4974" xr:uid="{00000000-0005-0000-0000-0000C5350000}"/>
    <cellStyle name="40% - Accent2 5 3 2 2 2" xfId="8565" xr:uid="{00000000-0005-0000-0000-0000C6350000}"/>
    <cellStyle name="40% - Accent2 5 3 2 2 2 2" xfId="16536" xr:uid="{00000000-0005-0000-0000-0000C7350000}"/>
    <cellStyle name="40% - Accent2 5 3 2 2 2 3" xfId="24482" xr:uid="{00000000-0005-0000-0000-0000C8350000}"/>
    <cellStyle name="40% - Accent2 5 3 2 2 3" xfId="12998" xr:uid="{00000000-0005-0000-0000-0000C9350000}"/>
    <cellStyle name="40% - Accent2 5 3 2 2 4" xfId="20953" xr:uid="{00000000-0005-0000-0000-0000CA350000}"/>
    <cellStyle name="40% - Accent2 5 3 2 3" xfId="6806" xr:uid="{00000000-0005-0000-0000-0000CB350000}"/>
    <cellStyle name="40% - Accent2 5 3 2 3 2" xfId="14778" xr:uid="{00000000-0005-0000-0000-0000CC350000}"/>
    <cellStyle name="40% - Accent2 5 3 2 3 3" xfId="22725" xr:uid="{00000000-0005-0000-0000-0000CD350000}"/>
    <cellStyle name="40% - Accent2 5 3 2 4" xfId="11242" xr:uid="{00000000-0005-0000-0000-0000CE350000}"/>
    <cellStyle name="40% - Accent2 5 3 2 5" xfId="19197" xr:uid="{00000000-0005-0000-0000-0000CF350000}"/>
    <cellStyle name="40% - Accent2 5 3 2_Exh G" xfId="2891" xr:uid="{00000000-0005-0000-0000-0000D0350000}"/>
    <cellStyle name="40% - Accent2 5 3 3" xfId="4095" xr:uid="{00000000-0005-0000-0000-0000D1350000}"/>
    <cellStyle name="40% - Accent2 5 3 3 2" xfId="7687" xr:uid="{00000000-0005-0000-0000-0000D2350000}"/>
    <cellStyle name="40% - Accent2 5 3 3 2 2" xfId="15658" xr:uid="{00000000-0005-0000-0000-0000D3350000}"/>
    <cellStyle name="40% - Accent2 5 3 3 2 3" xfId="23604" xr:uid="{00000000-0005-0000-0000-0000D4350000}"/>
    <cellStyle name="40% - Accent2 5 3 3 3" xfId="12120" xr:uid="{00000000-0005-0000-0000-0000D5350000}"/>
    <cellStyle name="40% - Accent2 5 3 3 4" xfId="20075" xr:uid="{00000000-0005-0000-0000-0000D6350000}"/>
    <cellStyle name="40% - Accent2 5 3 4" xfId="5915" xr:uid="{00000000-0005-0000-0000-0000D7350000}"/>
    <cellStyle name="40% - Accent2 5 3 4 2" xfId="13899" xr:uid="{00000000-0005-0000-0000-0000D8350000}"/>
    <cellStyle name="40% - Accent2 5 3 4 3" xfId="21847" xr:uid="{00000000-0005-0000-0000-0000D9350000}"/>
    <cellStyle name="40% - Accent2 5 3 5" xfId="9468" xr:uid="{00000000-0005-0000-0000-0000DA350000}"/>
    <cellStyle name="40% - Accent2 5 3 5 2" xfId="17426" xr:uid="{00000000-0005-0000-0000-0000DB350000}"/>
    <cellStyle name="40% - Accent2 5 3 5 3" xfId="25370" xr:uid="{00000000-0005-0000-0000-0000DC350000}"/>
    <cellStyle name="40% - Accent2 5 3 6" xfId="10364" xr:uid="{00000000-0005-0000-0000-0000DD350000}"/>
    <cellStyle name="40% - Accent2 5 3 7" xfId="18319" xr:uid="{00000000-0005-0000-0000-0000DE350000}"/>
    <cellStyle name="40% - Accent2 5 3_Exh G" xfId="2890" xr:uid="{00000000-0005-0000-0000-0000DF350000}"/>
    <cellStyle name="40% - Accent2 5 4" xfId="953" xr:uid="{00000000-0005-0000-0000-0000E0350000}"/>
    <cellStyle name="40% - Accent2 5 5" xfId="1441" xr:uid="{00000000-0005-0000-0000-0000E1350000}"/>
    <cellStyle name="40% - Accent2 5 5 2" xfId="4971" xr:uid="{00000000-0005-0000-0000-0000E2350000}"/>
    <cellStyle name="40% - Accent2 5 5 2 2" xfId="8562" xr:uid="{00000000-0005-0000-0000-0000E3350000}"/>
    <cellStyle name="40% - Accent2 5 5 2 2 2" xfId="16533" xr:uid="{00000000-0005-0000-0000-0000E4350000}"/>
    <cellStyle name="40% - Accent2 5 5 2 2 3" xfId="24479" xr:uid="{00000000-0005-0000-0000-0000E5350000}"/>
    <cellStyle name="40% - Accent2 5 5 2 3" xfId="12995" xr:uid="{00000000-0005-0000-0000-0000E6350000}"/>
    <cellStyle name="40% - Accent2 5 5 2 4" xfId="20950" xr:uid="{00000000-0005-0000-0000-0000E7350000}"/>
    <cellStyle name="40% - Accent2 5 5 3" xfId="6803" xr:uid="{00000000-0005-0000-0000-0000E8350000}"/>
    <cellStyle name="40% - Accent2 5 5 3 2" xfId="14775" xr:uid="{00000000-0005-0000-0000-0000E9350000}"/>
    <cellStyle name="40% - Accent2 5 5 3 3" xfId="22722" xr:uid="{00000000-0005-0000-0000-0000EA350000}"/>
    <cellStyle name="40% - Accent2 5 5 4" xfId="11239" xr:uid="{00000000-0005-0000-0000-0000EB350000}"/>
    <cellStyle name="40% - Accent2 5 5 5" xfId="19194" xr:uid="{00000000-0005-0000-0000-0000EC350000}"/>
    <cellStyle name="40% - Accent2 5 5_Exh G" xfId="2892" xr:uid="{00000000-0005-0000-0000-0000ED350000}"/>
    <cellStyle name="40% - Accent2 5 6" xfId="4092" xr:uid="{00000000-0005-0000-0000-0000EE350000}"/>
    <cellStyle name="40% - Accent2 5 6 2" xfId="7684" xr:uid="{00000000-0005-0000-0000-0000EF350000}"/>
    <cellStyle name="40% - Accent2 5 6 2 2" xfId="15655" xr:uid="{00000000-0005-0000-0000-0000F0350000}"/>
    <cellStyle name="40% - Accent2 5 6 2 3" xfId="23601" xr:uid="{00000000-0005-0000-0000-0000F1350000}"/>
    <cellStyle name="40% - Accent2 5 6 3" xfId="12117" xr:uid="{00000000-0005-0000-0000-0000F2350000}"/>
    <cellStyle name="40% - Accent2 5 6 4" xfId="20072" xr:uid="{00000000-0005-0000-0000-0000F3350000}"/>
    <cellStyle name="40% - Accent2 5 7" xfId="5912" xr:uid="{00000000-0005-0000-0000-0000F4350000}"/>
    <cellStyle name="40% - Accent2 5 7 2" xfId="13896" xr:uid="{00000000-0005-0000-0000-0000F5350000}"/>
    <cellStyle name="40% - Accent2 5 7 3" xfId="21844" xr:uid="{00000000-0005-0000-0000-0000F6350000}"/>
    <cellStyle name="40% - Accent2 5 8" xfId="9465" xr:uid="{00000000-0005-0000-0000-0000F7350000}"/>
    <cellStyle name="40% - Accent2 5 8 2" xfId="17423" xr:uid="{00000000-0005-0000-0000-0000F8350000}"/>
    <cellStyle name="40% - Accent2 5 8 3" xfId="25367" xr:uid="{00000000-0005-0000-0000-0000F9350000}"/>
    <cellStyle name="40% - Accent2 5 9" xfId="10361" xr:uid="{00000000-0005-0000-0000-0000FA350000}"/>
    <cellStyle name="40% - Accent2 5_Exh G" xfId="2885" xr:uid="{00000000-0005-0000-0000-0000FB350000}"/>
    <cellStyle name="40% - Accent2 6" xfId="417" xr:uid="{00000000-0005-0000-0000-0000FC350000}"/>
    <cellStyle name="40% - Accent2 6 10" xfId="18320" xr:uid="{00000000-0005-0000-0000-0000FD350000}"/>
    <cellStyle name="40% - Accent2 6 2" xfId="418" xr:uid="{00000000-0005-0000-0000-0000FE350000}"/>
    <cellStyle name="40% - Accent2 6 2 2" xfId="419" xr:uid="{00000000-0005-0000-0000-0000FF350000}"/>
    <cellStyle name="40% - Accent2 6 2 2 2" xfId="1447" xr:uid="{00000000-0005-0000-0000-000000360000}"/>
    <cellStyle name="40% - Accent2 6 2 2 2 2" xfId="4977" xr:uid="{00000000-0005-0000-0000-000001360000}"/>
    <cellStyle name="40% - Accent2 6 2 2 2 2 2" xfId="8568" xr:uid="{00000000-0005-0000-0000-000002360000}"/>
    <cellStyle name="40% - Accent2 6 2 2 2 2 2 2" xfId="16539" xr:uid="{00000000-0005-0000-0000-000003360000}"/>
    <cellStyle name="40% - Accent2 6 2 2 2 2 2 3" xfId="24485" xr:uid="{00000000-0005-0000-0000-000004360000}"/>
    <cellStyle name="40% - Accent2 6 2 2 2 2 3" xfId="13001" xr:uid="{00000000-0005-0000-0000-000005360000}"/>
    <cellStyle name="40% - Accent2 6 2 2 2 2 4" xfId="20956" xr:uid="{00000000-0005-0000-0000-000006360000}"/>
    <cellStyle name="40% - Accent2 6 2 2 2 3" xfId="6809" xr:uid="{00000000-0005-0000-0000-000007360000}"/>
    <cellStyle name="40% - Accent2 6 2 2 2 3 2" xfId="14781" xr:uid="{00000000-0005-0000-0000-000008360000}"/>
    <cellStyle name="40% - Accent2 6 2 2 2 3 3" xfId="22728" xr:uid="{00000000-0005-0000-0000-000009360000}"/>
    <cellStyle name="40% - Accent2 6 2 2 2 4" xfId="11245" xr:uid="{00000000-0005-0000-0000-00000A360000}"/>
    <cellStyle name="40% - Accent2 6 2 2 2 5" xfId="19200" xr:uid="{00000000-0005-0000-0000-00000B360000}"/>
    <cellStyle name="40% - Accent2 6 2 2 2_Exh G" xfId="2896" xr:uid="{00000000-0005-0000-0000-00000C360000}"/>
    <cellStyle name="40% - Accent2 6 2 2 3" xfId="4098" xr:uid="{00000000-0005-0000-0000-00000D360000}"/>
    <cellStyle name="40% - Accent2 6 2 2 3 2" xfId="7690" xr:uid="{00000000-0005-0000-0000-00000E360000}"/>
    <cellStyle name="40% - Accent2 6 2 2 3 2 2" xfId="15661" xr:uid="{00000000-0005-0000-0000-00000F360000}"/>
    <cellStyle name="40% - Accent2 6 2 2 3 2 3" xfId="23607" xr:uid="{00000000-0005-0000-0000-000010360000}"/>
    <cellStyle name="40% - Accent2 6 2 2 3 3" xfId="12123" xr:uid="{00000000-0005-0000-0000-000011360000}"/>
    <cellStyle name="40% - Accent2 6 2 2 3 4" xfId="20078" xr:uid="{00000000-0005-0000-0000-000012360000}"/>
    <cellStyle name="40% - Accent2 6 2 2 4" xfId="5918" xr:uid="{00000000-0005-0000-0000-000013360000}"/>
    <cellStyle name="40% - Accent2 6 2 2 4 2" xfId="13902" xr:uid="{00000000-0005-0000-0000-000014360000}"/>
    <cellStyle name="40% - Accent2 6 2 2 4 3" xfId="21850" xr:uid="{00000000-0005-0000-0000-000015360000}"/>
    <cellStyle name="40% - Accent2 6 2 2 5" xfId="9471" xr:uid="{00000000-0005-0000-0000-000016360000}"/>
    <cellStyle name="40% - Accent2 6 2 2 5 2" xfId="17429" xr:uid="{00000000-0005-0000-0000-000017360000}"/>
    <cellStyle name="40% - Accent2 6 2 2 5 3" xfId="25373" xr:uid="{00000000-0005-0000-0000-000018360000}"/>
    <cellStyle name="40% - Accent2 6 2 2 6" xfId="10367" xr:uid="{00000000-0005-0000-0000-000019360000}"/>
    <cellStyle name="40% - Accent2 6 2 2 7" xfId="18322" xr:uid="{00000000-0005-0000-0000-00001A360000}"/>
    <cellStyle name="40% - Accent2 6 2 2_Exh G" xfId="2895" xr:uid="{00000000-0005-0000-0000-00001B360000}"/>
    <cellStyle name="40% - Accent2 6 2 3" xfId="1446" xr:uid="{00000000-0005-0000-0000-00001C360000}"/>
    <cellStyle name="40% - Accent2 6 2 3 2" xfId="4976" xr:uid="{00000000-0005-0000-0000-00001D360000}"/>
    <cellStyle name="40% - Accent2 6 2 3 2 2" xfId="8567" xr:uid="{00000000-0005-0000-0000-00001E360000}"/>
    <cellStyle name="40% - Accent2 6 2 3 2 2 2" xfId="16538" xr:uid="{00000000-0005-0000-0000-00001F360000}"/>
    <cellStyle name="40% - Accent2 6 2 3 2 2 3" xfId="24484" xr:uid="{00000000-0005-0000-0000-000020360000}"/>
    <cellStyle name="40% - Accent2 6 2 3 2 3" xfId="13000" xr:uid="{00000000-0005-0000-0000-000021360000}"/>
    <cellStyle name="40% - Accent2 6 2 3 2 4" xfId="20955" xr:uid="{00000000-0005-0000-0000-000022360000}"/>
    <cellStyle name="40% - Accent2 6 2 3 3" xfId="6808" xr:uid="{00000000-0005-0000-0000-000023360000}"/>
    <cellStyle name="40% - Accent2 6 2 3 3 2" xfId="14780" xr:uid="{00000000-0005-0000-0000-000024360000}"/>
    <cellStyle name="40% - Accent2 6 2 3 3 3" xfId="22727" xr:uid="{00000000-0005-0000-0000-000025360000}"/>
    <cellStyle name="40% - Accent2 6 2 3 4" xfId="11244" xr:uid="{00000000-0005-0000-0000-000026360000}"/>
    <cellStyle name="40% - Accent2 6 2 3 5" xfId="19199" xr:uid="{00000000-0005-0000-0000-000027360000}"/>
    <cellStyle name="40% - Accent2 6 2 3_Exh G" xfId="2897" xr:uid="{00000000-0005-0000-0000-000028360000}"/>
    <cellStyle name="40% - Accent2 6 2 4" xfId="4097" xr:uid="{00000000-0005-0000-0000-000029360000}"/>
    <cellStyle name="40% - Accent2 6 2 4 2" xfId="7689" xr:uid="{00000000-0005-0000-0000-00002A360000}"/>
    <cellStyle name="40% - Accent2 6 2 4 2 2" xfId="15660" xr:uid="{00000000-0005-0000-0000-00002B360000}"/>
    <cellStyle name="40% - Accent2 6 2 4 2 3" xfId="23606" xr:uid="{00000000-0005-0000-0000-00002C360000}"/>
    <cellStyle name="40% - Accent2 6 2 4 3" xfId="12122" xr:uid="{00000000-0005-0000-0000-00002D360000}"/>
    <cellStyle name="40% - Accent2 6 2 4 4" xfId="20077" xr:uid="{00000000-0005-0000-0000-00002E360000}"/>
    <cellStyle name="40% - Accent2 6 2 5" xfId="5917" xr:uid="{00000000-0005-0000-0000-00002F360000}"/>
    <cellStyle name="40% - Accent2 6 2 5 2" xfId="13901" xr:uid="{00000000-0005-0000-0000-000030360000}"/>
    <cellStyle name="40% - Accent2 6 2 5 3" xfId="21849" xr:uid="{00000000-0005-0000-0000-000031360000}"/>
    <cellStyle name="40% - Accent2 6 2 6" xfId="9470" xr:uid="{00000000-0005-0000-0000-000032360000}"/>
    <cellStyle name="40% - Accent2 6 2 6 2" xfId="17428" xr:uid="{00000000-0005-0000-0000-000033360000}"/>
    <cellStyle name="40% - Accent2 6 2 6 3" xfId="25372" xr:uid="{00000000-0005-0000-0000-000034360000}"/>
    <cellStyle name="40% - Accent2 6 2 7" xfId="10366" xr:uid="{00000000-0005-0000-0000-000035360000}"/>
    <cellStyle name="40% - Accent2 6 2 8" xfId="18321" xr:uid="{00000000-0005-0000-0000-000036360000}"/>
    <cellStyle name="40% - Accent2 6 2_Exh G" xfId="2894" xr:uid="{00000000-0005-0000-0000-000037360000}"/>
    <cellStyle name="40% - Accent2 6 3" xfId="420" xr:uid="{00000000-0005-0000-0000-000038360000}"/>
    <cellStyle name="40% - Accent2 6 3 2" xfId="1448" xr:uid="{00000000-0005-0000-0000-000039360000}"/>
    <cellStyle name="40% - Accent2 6 3 2 2" xfId="4978" xr:uid="{00000000-0005-0000-0000-00003A360000}"/>
    <cellStyle name="40% - Accent2 6 3 2 2 2" xfId="8569" xr:uid="{00000000-0005-0000-0000-00003B360000}"/>
    <cellStyle name="40% - Accent2 6 3 2 2 2 2" xfId="16540" xr:uid="{00000000-0005-0000-0000-00003C360000}"/>
    <cellStyle name="40% - Accent2 6 3 2 2 2 3" xfId="24486" xr:uid="{00000000-0005-0000-0000-00003D360000}"/>
    <cellStyle name="40% - Accent2 6 3 2 2 3" xfId="13002" xr:uid="{00000000-0005-0000-0000-00003E360000}"/>
    <cellStyle name="40% - Accent2 6 3 2 2 4" xfId="20957" xr:uid="{00000000-0005-0000-0000-00003F360000}"/>
    <cellStyle name="40% - Accent2 6 3 2 3" xfId="6810" xr:uid="{00000000-0005-0000-0000-000040360000}"/>
    <cellStyle name="40% - Accent2 6 3 2 3 2" xfId="14782" xr:uid="{00000000-0005-0000-0000-000041360000}"/>
    <cellStyle name="40% - Accent2 6 3 2 3 3" xfId="22729" xr:uid="{00000000-0005-0000-0000-000042360000}"/>
    <cellStyle name="40% - Accent2 6 3 2 4" xfId="11246" xr:uid="{00000000-0005-0000-0000-000043360000}"/>
    <cellStyle name="40% - Accent2 6 3 2 5" xfId="19201" xr:uid="{00000000-0005-0000-0000-000044360000}"/>
    <cellStyle name="40% - Accent2 6 3 2_Exh G" xfId="2899" xr:uid="{00000000-0005-0000-0000-000045360000}"/>
    <cellStyle name="40% - Accent2 6 3 3" xfId="4099" xr:uid="{00000000-0005-0000-0000-000046360000}"/>
    <cellStyle name="40% - Accent2 6 3 3 2" xfId="7691" xr:uid="{00000000-0005-0000-0000-000047360000}"/>
    <cellStyle name="40% - Accent2 6 3 3 2 2" xfId="15662" xr:uid="{00000000-0005-0000-0000-000048360000}"/>
    <cellStyle name="40% - Accent2 6 3 3 2 3" xfId="23608" xr:uid="{00000000-0005-0000-0000-000049360000}"/>
    <cellStyle name="40% - Accent2 6 3 3 3" xfId="12124" xr:uid="{00000000-0005-0000-0000-00004A360000}"/>
    <cellStyle name="40% - Accent2 6 3 3 4" xfId="20079" xr:uid="{00000000-0005-0000-0000-00004B360000}"/>
    <cellStyle name="40% - Accent2 6 3 4" xfId="5919" xr:uid="{00000000-0005-0000-0000-00004C360000}"/>
    <cellStyle name="40% - Accent2 6 3 4 2" xfId="13903" xr:uid="{00000000-0005-0000-0000-00004D360000}"/>
    <cellStyle name="40% - Accent2 6 3 4 3" xfId="21851" xr:uid="{00000000-0005-0000-0000-00004E360000}"/>
    <cellStyle name="40% - Accent2 6 3 5" xfId="9472" xr:uid="{00000000-0005-0000-0000-00004F360000}"/>
    <cellStyle name="40% - Accent2 6 3 5 2" xfId="17430" xr:uid="{00000000-0005-0000-0000-000050360000}"/>
    <cellStyle name="40% - Accent2 6 3 5 3" xfId="25374" xr:uid="{00000000-0005-0000-0000-000051360000}"/>
    <cellStyle name="40% - Accent2 6 3 6" xfId="10368" xr:uid="{00000000-0005-0000-0000-000052360000}"/>
    <cellStyle name="40% - Accent2 6 3 7" xfId="18323" xr:uid="{00000000-0005-0000-0000-000053360000}"/>
    <cellStyle name="40% - Accent2 6 3_Exh G" xfId="2898" xr:uid="{00000000-0005-0000-0000-000054360000}"/>
    <cellStyle name="40% - Accent2 6 4" xfId="954" xr:uid="{00000000-0005-0000-0000-000055360000}"/>
    <cellStyle name="40% - Accent2 6 4 2" xfId="1875" xr:uid="{00000000-0005-0000-0000-000056360000}"/>
    <cellStyle name="40% - Accent2 6 4 2 2" xfId="5393" xr:uid="{00000000-0005-0000-0000-000057360000}"/>
    <cellStyle name="40% - Accent2 6 4 2 2 2" xfId="8984" xr:uid="{00000000-0005-0000-0000-000058360000}"/>
    <cellStyle name="40% - Accent2 6 4 2 2 2 2" xfId="16955" xr:uid="{00000000-0005-0000-0000-000059360000}"/>
    <cellStyle name="40% - Accent2 6 4 2 2 2 3" xfId="24901" xr:uid="{00000000-0005-0000-0000-00005A360000}"/>
    <cellStyle name="40% - Accent2 6 4 2 2 3" xfId="13417" xr:uid="{00000000-0005-0000-0000-00005B360000}"/>
    <cellStyle name="40% - Accent2 6 4 2 2 4" xfId="21372" xr:uid="{00000000-0005-0000-0000-00005C360000}"/>
    <cellStyle name="40% - Accent2 6 4 2 3" xfId="7225" xr:uid="{00000000-0005-0000-0000-00005D360000}"/>
    <cellStyle name="40% - Accent2 6 4 2 3 2" xfId="15197" xr:uid="{00000000-0005-0000-0000-00005E360000}"/>
    <cellStyle name="40% - Accent2 6 4 2 3 3" xfId="23144" xr:uid="{00000000-0005-0000-0000-00005F360000}"/>
    <cellStyle name="40% - Accent2 6 4 2 4" xfId="11661" xr:uid="{00000000-0005-0000-0000-000060360000}"/>
    <cellStyle name="40% - Accent2 6 4 2 5" xfId="19616" xr:uid="{00000000-0005-0000-0000-000061360000}"/>
    <cellStyle name="40% - Accent2 6 4 2_Exh G" xfId="2901" xr:uid="{00000000-0005-0000-0000-000062360000}"/>
    <cellStyle name="40% - Accent2 6 4 3" xfId="4514" xr:uid="{00000000-0005-0000-0000-000063360000}"/>
    <cellStyle name="40% - Accent2 6 4 3 2" xfId="8106" xr:uid="{00000000-0005-0000-0000-000064360000}"/>
    <cellStyle name="40% - Accent2 6 4 3 2 2" xfId="16077" xr:uid="{00000000-0005-0000-0000-000065360000}"/>
    <cellStyle name="40% - Accent2 6 4 3 2 3" xfId="24023" xr:uid="{00000000-0005-0000-0000-000066360000}"/>
    <cellStyle name="40% - Accent2 6 4 3 3" xfId="12539" xr:uid="{00000000-0005-0000-0000-000067360000}"/>
    <cellStyle name="40% - Accent2 6 4 3 4" xfId="20494" xr:uid="{00000000-0005-0000-0000-000068360000}"/>
    <cellStyle name="40% - Accent2 6 4 4" xfId="6344" xr:uid="{00000000-0005-0000-0000-000069360000}"/>
    <cellStyle name="40% - Accent2 6 4 4 2" xfId="14319" xr:uid="{00000000-0005-0000-0000-00006A360000}"/>
    <cellStyle name="40% - Accent2 6 4 4 3" xfId="22266" xr:uid="{00000000-0005-0000-0000-00006B360000}"/>
    <cellStyle name="40% - Accent2 6 4 5" xfId="9887" xr:uid="{00000000-0005-0000-0000-00006C360000}"/>
    <cellStyle name="40% - Accent2 6 4 5 2" xfId="17845" xr:uid="{00000000-0005-0000-0000-00006D360000}"/>
    <cellStyle name="40% - Accent2 6 4 5 3" xfId="25789" xr:uid="{00000000-0005-0000-0000-00006E360000}"/>
    <cellStyle name="40% - Accent2 6 4 6" xfId="10783" xr:uid="{00000000-0005-0000-0000-00006F360000}"/>
    <cellStyle name="40% - Accent2 6 4 7" xfId="18738" xr:uid="{00000000-0005-0000-0000-000070360000}"/>
    <cellStyle name="40% - Accent2 6 4_Exh G" xfId="2900" xr:uid="{00000000-0005-0000-0000-000071360000}"/>
    <cellStyle name="40% - Accent2 6 5" xfId="1445" xr:uid="{00000000-0005-0000-0000-000072360000}"/>
    <cellStyle name="40% - Accent2 6 5 2" xfId="4975" xr:uid="{00000000-0005-0000-0000-000073360000}"/>
    <cellStyle name="40% - Accent2 6 5 2 2" xfId="8566" xr:uid="{00000000-0005-0000-0000-000074360000}"/>
    <cellStyle name="40% - Accent2 6 5 2 2 2" xfId="16537" xr:uid="{00000000-0005-0000-0000-000075360000}"/>
    <cellStyle name="40% - Accent2 6 5 2 2 3" xfId="24483" xr:uid="{00000000-0005-0000-0000-000076360000}"/>
    <cellStyle name="40% - Accent2 6 5 2 3" xfId="12999" xr:uid="{00000000-0005-0000-0000-000077360000}"/>
    <cellStyle name="40% - Accent2 6 5 2 4" xfId="20954" xr:uid="{00000000-0005-0000-0000-000078360000}"/>
    <cellStyle name="40% - Accent2 6 5 3" xfId="6807" xr:uid="{00000000-0005-0000-0000-000079360000}"/>
    <cellStyle name="40% - Accent2 6 5 3 2" xfId="14779" xr:uid="{00000000-0005-0000-0000-00007A360000}"/>
    <cellStyle name="40% - Accent2 6 5 3 3" xfId="22726" xr:uid="{00000000-0005-0000-0000-00007B360000}"/>
    <cellStyle name="40% - Accent2 6 5 4" xfId="11243" xr:uid="{00000000-0005-0000-0000-00007C360000}"/>
    <cellStyle name="40% - Accent2 6 5 5" xfId="19198" xr:uid="{00000000-0005-0000-0000-00007D360000}"/>
    <cellStyle name="40% - Accent2 6 5_Exh G" xfId="2902" xr:uid="{00000000-0005-0000-0000-00007E360000}"/>
    <cellStyle name="40% - Accent2 6 6" xfId="4096" xr:uid="{00000000-0005-0000-0000-00007F360000}"/>
    <cellStyle name="40% - Accent2 6 6 2" xfId="7688" xr:uid="{00000000-0005-0000-0000-000080360000}"/>
    <cellStyle name="40% - Accent2 6 6 2 2" xfId="15659" xr:uid="{00000000-0005-0000-0000-000081360000}"/>
    <cellStyle name="40% - Accent2 6 6 2 3" xfId="23605" xr:uid="{00000000-0005-0000-0000-000082360000}"/>
    <cellStyle name="40% - Accent2 6 6 3" xfId="12121" xr:uid="{00000000-0005-0000-0000-000083360000}"/>
    <cellStyle name="40% - Accent2 6 6 4" xfId="20076" xr:uid="{00000000-0005-0000-0000-000084360000}"/>
    <cellStyle name="40% - Accent2 6 7" xfId="5916" xr:uid="{00000000-0005-0000-0000-000085360000}"/>
    <cellStyle name="40% - Accent2 6 7 2" xfId="13900" xr:uid="{00000000-0005-0000-0000-000086360000}"/>
    <cellStyle name="40% - Accent2 6 7 3" xfId="21848" xr:uid="{00000000-0005-0000-0000-000087360000}"/>
    <cellStyle name="40% - Accent2 6 8" xfId="9469" xr:uid="{00000000-0005-0000-0000-000088360000}"/>
    <cellStyle name="40% - Accent2 6 8 2" xfId="17427" xr:uid="{00000000-0005-0000-0000-000089360000}"/>
    <cellStyle name="40% - Accent2 6 8 3" xfId="25371" xr:uid="{00000000-0005-0000-0000-00008A360000}"/>
    <cellStyle name="40% - Accent2 6 9" xfId="10365" xr:uid="{00000000-0005-0000-0000-00008B360000}"/>
    <cellStyle name="40% - Accent2 6_Exh G" xfId="2893" xr:uid="{00000000-0005-0000-0000-00008C360000}"/>
    <cellStyle name="40% - Accent2 7" xfId="421" xr:uid="{00000000-0005-0000-0000-00008D360000}"/>
    <cellStyle name="40% - Accent2 7 10" xfId="18324" xr:uid="{00000000-0005-0000-0000-00008E360000}"/>
    <cellStyle name="40% - Accent2 7 2" xfId="422" xr:uid="{00000000-0005-0000-0000-00008F360000}"/>
    <cellStyle name="40% - Accent2 7 2 2" xfId="423" xr:uid="{00000000-0005-0000-0000-000090360000}"/>
    <cellStyle name="40% - Accent2 7 2 2 2" xfId="1451" xr:uid="{00000000-0005-0000-0000-000091360000}"/>
    <cellStyle name="40% - Accent2 7 2 2 2 2" xfId="4981" xr:uid="{00000000-0005-0000-0000-000092360000}"/>
    <cellStyle name="40% - Accent2 7 2 2 2 2 2" xfId="8572" xr:uid="{00000000-0005-0000-0000-000093360000}"/>
    <cellStyle name="40% - Accent2 7 2 2 2 2 2 2" xfId="16543" xr:uid="{00000000-0005-0000-0000-000094360000}"/>
    <cellStyle name="40% - Accent2 7 2 2 2 2 2 3" xfId="24489" xr:uid="{00000000-0005-0000-0000-000095360000}"/>
    <cellStyle name="40% - Accent2 7 2 2 2 2 3" xfId="13005" xr:uid="{00000000-0005-0000-0000-000096360000}"/>
    <cellStyle name="40% - Accent2 7 2 2 2 2 4" xfId="20960" xr:uid="{00000000-0005-0000-0000-000097360000}"/>
    <cellStyle name="40% - Accent2 7 2 2 2 3" xfId="6813" xr:uid="{00000000-0005-0000-0000-000098360000}"/>
    <cellStyle name="40% - Accent2 7 2 2 2 3 2" xfId="14785" xr:uid="{00000000-0005-0000-0000-000099360000}"/>
    <cellStyle name="40% - Accent2 7 2 2 2 3 3" xfId="22732" xr:uid="{00000000-0005-0000-0000-00009A360000}"/>
    <cellStyle name="40% - Accent2 7 2 2 2 4" xfId="11249" xr:uid="{00000000-0005-0000-0000-00009B360000}"/>
    <cellStyle name="40% - Accent2 7 2 2 2 5" xfId="19204" xr:uid="{00000000-0005-0000-0000-00009C360000}"/>
    <cellStyle name="40% - Accent2 7 2 2 2_Exh G" xfId="2906" xr:uid="{00000000-0005-0000-0000-00009D360000}"/>
    <cellStyle name="40% - Accent2 7 2 2 3" xfId="4102" xr:uid="{00000000-0005-0000-0000-00009E360000}"/>
    <cellStyle name="40% - Accent2 7 2 2 3 2" xfId="7694" xr:uid="{00000000-0005-0000-0000-00009F360000}"/>
    <cellStyle name="40% - Accent2 7 2 2 3 2 2" xfId="15665" xr:uid="{00000000-0005-0000-0000-0000A0360000}"/>
    <cellStyle name="40% - Accent2 7 2 2 3 2 3" xfId="23611" xr:uid="{00000000-0005-0000-0000-0000A1360000}"/>
    <cellStyle name="40% - Accent2 7 2 2 3 3" xfId="12127" xr:uid="{00000000-0005-0000-0000-0000A2360000}"/>
    <cellStyle name="40% - Accent2 7 2 2 3 4" xfId="20082" xr:uid="{00000000-0005-0000-0000-0000A3360000}"/>
    <cellStyle name="40% - Accent2 7 2 2 4" xfId="5922" xr:uid="{00000000-0005-0000-0000-0000A4360000}"/>
    <cellStyle name="40% - Accent2 7 2 2 4 2" xfId="13906" xr:uid="{00000000-0005-0000-0000-0000A5360000}"/>
    <cellStyle name="40% - Accent2 7 2 2 4 3" xfId="21854" xr:uid="{00000000-0005-0000-0000-0000A6360000}"/>
    <cellStyle name="40% - Accent2 7 2 2 5" xfId="9475" xr:uid="{00000000-0005-0000-0000-0000A7360000}"/>
    <cellStyle name="40% - Accent2 7 2 2 5 2" xfId="17433" xr:uid="{00000000-0005-0000-0000-0000A8360000}"/>
    <cellStyle name="40% - Accent2 7 2 2 5 3" xfId="25377" xr:uid="{00000000-0005-0000-0000-0000A9360000}"/>
    <cellStyle name="40% - Accent2 7 2 2 6" xfId="10371" xr:uid="{00000000-0005-0000-0000-0000AA360000}"/>
    <cellStyle name="40% - Accent2 7 2 2 7" xfId="18326" xr:uid="{00000000-0005-0000-0000-0000AB360000}"/>
    <cellStyle name="40% - Accent2 7 2 2_Exh G" xfId="2905" xr:uid="{00000000-0005-0000-0000-0000AC360000}"/>
    <cellStyle name="40% - Accent2 7 2 3" xfId="1450" xr:uid="{00000000-0005-0000-0000-0000AD360000}"/>
    <cellStyle name="40% - Accent2 7 2 3 2" xfId="4980" xr:uid="{00000000-0005-0000-0000-0000AE360000}"/>
    <cellStyle name="40% - Accent2 7 2 3 2 2" xfId="8571" xr:uid="{00000000-0005-0000-0000-0000AF360000}"/>
    <cellStyle name="40% - Accent2 7 2 3 2 2 2" xfId="16542" xr:uid="{00000000-0005-0000-0000-0000B0360000}"/>
    <cellStyle name="40% - Accent2 7 2 3 2 2 3" xfId="24488" xr:uid="{00000000-0005-0000-0000-0000B1360000}"/>
    <cellStyle name="40% - Accent2 7 2 3 2 3" xfId="13004" xr:uid="{00000000-0005-0000-0000-0000B2360000}"/>
    <cellStyle name="40% - Accent2 7 2 3 2 4" xfId="20959" xr:uid="{00000000-0005-0000-0000-0000B3360000}"/>
    <cellStyle name="40% - Accent2 7 2 3 3" xfId="6812" xr:uid="{00000000-0005-0000-0000-0000B4360000}"/>
    <cellStyle name="40% - Accent2 7 2 3 3 2" xfId="14784" xr:uid="{00000000-0005-0000-0000-0000B5360000}"/>
    <cellStyle name="40% - Accent2 7 2 3 3 3" xfId="22731" xr:uid="{00000000-0005-0000-0000-0000B6360000}"/>
    <cellStyle name="40% - Accent2 7 2 3 4" xfId="11248" xr:uid="{00000000-0005-0000-0000-0000B7360000}"/>
    <cellStyle name="40% - Accent2 7 2 3 5" xfId="19203" xr:uid="{00000000-0005-0000-0000-0000B8360000}"/>
    <cellStyle name="40% - Accent2 7 2 3_Exh G" xfId="2907" xr:uid="{00000000-0005-0000-0000-0000B9360000}"/>
    <cellStyle name="40% - Accent2 7 2 4" xfId="4101" xr:uid="{00000000-0005-0000-0000-0000BA360000}"/>
    <cellStyle name="40% - Accent2 7 2 4 2" xfId="7693" xr:uid="{00000000-0005-0000-0000-0000BB360000}"/>
    <cellStyle name="40% - Accent2 7 2 4 2 2" xfId="15664" xr:uid="{00000000-0005-0000-0000-0000BC360000}"/>
    <cellStyle name="40% - Accent2 7 2 4 2 3" xfId="23610" xr:uid="{00000000-0005-0000-0000-0000BD360000}"/>
    <cellStyle name="40% - Accent2 7 2 4 3" xfId="12126" xr:uid="{00000000-0005-0000-0000-0000BE360000}"/>
    <cellStyle name="40% - Accent2 7 2 4 4" xfId="20081" xr:uid="{00000000-0005-0000-0000-0000BF360000}"/>
    <cellStyle name="40% - Accent2 7 2 5" xfId="5921" xr:uid="{00000000-0005-0000-0000-0000C0360000}"/>
    <cellStyle name="40% - Accent2 7 2 5 2" xfId="13905" xr:uid="{00000000-0005-0000-0000-0000C1360000}"/>
    <cellStyle name="40% - Accent2 7 2 5 3" xfId="21853" xr:uid="{00000000-0005-0000-0000-0000C2360000}"/>
    <cellStyle name="40% - Accent2 7 2 6" xfId="9474" xr:uid="{00000000-0005-0000-0000-0000C3360000}"/>
    <cellStyle name="40% - Accent2 7 2 6 2" xfId="17432" xr:uid="{00000000-0005-0000-0000-0000C4360000}"/>
    <cellStyle name="40% - Accent2 7 2 6 3" xfId="25376" xr:uid="{00000000-0005-0000-0000-0000C5360000}"/>
    <cellStyle name="40% - Accent2 7 2 7" xfId="10370" xr:uid="{00000000-0005-0000-0000-0000C6360000}"/>
    <cellStyle name="40% - Accent2 7 2 8" xfId="18325" xr:uid="{00000000-0005-0000-0000-0000C7360000}"/>
    <cellStyle name="40% - Accent2 7 2_Exh G" xfId="2904" xr:uid="{00000000-0005-0000-0000-0000C8360000}"/>
    <cellStyle name="40% - Accent2 7 3" xfId="424" xr:uid="{00000000-0005-0000-0000-0000C9360000}"/>
    <cellStyle name="40% - Accent2 7 3 2" xfId="1452" xr:uid="{00000000-0005-0000-0000-0000CA360000}"/>
    <cellStyle name="40% - Accent2 7 3 2 2" xfId="4982" xr:uid="{00000000-0005-0000-0000-0000CB360000}"/>
    <cellStyle name="40% - Accent2 7 3 2 2 2" xfId="8573" xr:uid="{00000000-0005-0000-0000-0000CC360000}"/>
    <cellStyle name="40% - Accent2 7 3 2 2 2 2" xfId="16544" xr:uid="{00000000-0005-0000-0000-0000CD360000}"/>
    <cellStyle name="40% - Accent2 7 3 2 2 2 3" xfId="24490" xr:uid="{00000000-0005-0000-0000-0000CE360000}"/>
    <cellStyle name="40% - Accent2 7 3 2 2 3" xfId="13006" xr:uid="{00000000-0005-0000-0000-0000CF360000}"/>
    <cellStyle name="40% - Accent2 7 3 2 2 4" xfId="20961" xr:uid="{00000000-0005-0000-0000-0000D0360000}"/>
    <cellStyle name="40% - Accent2 7 3 2 3" xfId="6814" xr:uid="{00000000-0005-0000-0000-0000D1360000}"/>
    <cellStyle name="40% - Accent2 7 3 2 3 2" xfId="14786" xr:uid="{00000000-0005-0000-0000-0000D2360000}"/>
    <cellStyle name="40% - Accent2 7 3 2 3 3" xfId="22733" xr:uid="{00000000-0005-0000-0000-0000D3360000}"/>
    <cellStyle name="40% - Accent2 7 3 2 4" xfId="11250" xr:uid="{00000000-0005-0000-0000-0000D4360000}"/>
    <cellStyle name="40% - Accent2 7 3 2 5" xfId="19205" xr:uid="{00000000-0005-0000-0000-0000D5360000}"/>
    <cellStyle name="40% - Accent2 7 3 2_Exh G" xfId="2909" xr:uid="{00000000-0005-0000-0000-0000D6360000}"/>
    <cellStyle name="40% - Accent2 7 3 3" xfId="4103" xr:uid="{00000000-0005-0000-0000-0000D7360000}"/>
    <cellStyle name="40% - Accent2 7 3 3 2" xfId="7695" xr:uid="{00000000-0005-0000-0000-0000D8360000}"/>
    <cellStyle name="40% - Accent2 7 3 3 2 2" xfId="15666" xr:uid="{00000000-0005-0000-0000-0000D9360000}"/>
    <cellStyle name="40% - Accent2 7 3 3 2 3" xfId="23612" xr:uid="{00000000-0005-0000-0000-0000DA360000}"/>
    <cellStyle name="40% - Accent2 7 3 3 3" xfId="12128" xr:uid="{00000000-0005-0000-0000-0000DB360000}"/>
    <cellStyle name="40% - Accent2 7 3 3 4" xfId="20083" xr:uid="{00000000-0005-0000-0000-0000DC360000}"/>
    <cellStyle name="40% - Accent2 7 3 4" xfId="5923" xr:uid="{00000000-0005-0000-0000-0000DD360000}"/>
    <cellStyle name="40% - Accent2 7 3 4 2" xfId="13907" xr:uid="{00000000-0005-0000-0000-0000DE360000}"/>
    <cellStyle name="40% - Accent2 7 3 4 3" xfId="21855" xr:uid="{00000000-0005-0000-0000-0000DF360000}"/>
    <cellStyle name="40% - Accent2 7 3 5" xfId="9476" xr:uid="{00000000-0005-0000-0000-0000E0360000}"/>
    <cellStyle name="40% - Accent2 7 3 5 2" xfId="17434" xr:uid="{00000000-0005-0000-0000-0000E1360000}"/>
    <cellStyle name="40% - Accent2 7 3 5 3" xfId="25378" xr:uid="{00000000-0005-0000-0000-0000E2360000}"/>
    <cellStyle name="40% - Accent2 7 3 6" xfId="10372" xr:uid="{00000000-0005-0000-0000-0000E3360000}"/>
    <cellStyle name="40% - Accent2 7 3 7" xfId="18327" xr:uid="{00000000-0005-0000-0000-0000E4360000}"/>
    <cellStyle name="40% - Accent2 7 3_Exh G" xfId="2908" xr:uid="{00000000-0005-0000-0000-0000E5360000}"/>
    <cellStyle name="40% - Accent2 7 4" xfId="955" xr:uid="{00000000-0005-0000-0000-0000E6360000}"/>
    <cellStyle name="40% - Accent2 7 4 2" xfId="1876" xr:uid="{00000000-0005-0000-0000-0000E7360000}"/>
    <cellStyle name="40% - Accent2 7 4 2 2" xfId="5394" xr:uid="{00000000-0005-0000-0000-0000E8360000}"/>
    <cellStyle name="40% - Accent2 7 4 2 2 2" xfId="8985" xr:uid="{00000000-0005-0000-0000-0000E9360000}"/>
    <cellStyle name="40% - Accent2 7 4 2 2 2 2" xfId="16956" xr:uid="{00000000-0005-0000-0000-0000EA360000}"/>
    <cellStyle name="40% - Accent2 7 4 2 2 2 3" xfId="24902" xr:uid="{00000000-0005-0000-0000-0000EB360000}"/>
    <cellStyle name="40% - Accent2 7 4 2 2 3" xfId="13418" xr:uid="{00000000-0005-0000-0000-0000EC360000}"/>
    <cellStyle name="40% - Accent2 7 4 2 2 4" xfId="21373" xr:uid="{00000000-0005-0000-0000-0000ED360000}"/>
    <cellStyle name="40% - Accent2 7 4 2 3" xfId="7226" xr:uid="{00000000-0005-0000-0000-0000EE360000}"/>
    <cellStyle name="40% - Accent2 7 4 2 3 2" xfId="15198" xr:uid="{00000000-0005-0000-0000-0000EF360000}"/>
    <cellStyle name="40% - Accent2 7 4 2 3 3" xfId="23145" xr:uid="{00000000-0005-0000-0000-0000F0360000}"/>
    <cellStyle name="40% - Accent2 7 4 2 4" xfId="11662" xr:uid="{00000000-0005-0000-0000-0000F1360000}"/>
    <cellStyle name="40% - Accent2 7 4 2 5" xfId="19617" xr:uid="{00000000-0005-0000-0000-0000F2360000}"/>
    <cellStyle name="40% - Accent2 7 4 2_Exh G" xfId="2911" xr:uid="{00000000-0005-0000-0000-0000F3360000}"/>
    <cellStyle name="40% - Accent2 7 4 3" xfId="4515" xr:uid="{00000000-0005-0000-0000-0000F4360000}"/>
    <cellStyle name="40% - Accent2 7 4 3 2" xfId="8107" xr:uid="{00000000-0005-0000-0000-0000F5360000}"/>
    <cellStyle name="40% - Accent2 7 4 3 2 2" xfId="16078" xr:uid="{00000000-0005-0000-0000-0000F6360000}"/>
    <cellStyle name="40% - Accent2 7 4 3 2 3" xfId="24024" xr:uid="{00000000-0005-0000-0000-0000F7360000}"/>
    <cellStyle name="40% - Accent2 7 4 3 3" xfId="12540" xr:uid="{00000000-0005-0000-0000-0000F8360000}"/>
    <cellStyle name="40% - Accent2 7 4 3 4" xfId="20495" xr:uid="{00000000-0005-0000-0000-0000F9360000}"/>
    <cellStyle name="40% - Accent2 7 4 4" xfId="6345" xr:uid="{00000000-0005-0000-0000-0000FA360000}"/>
    <cellStyle name="40% - Accent2 7 4 4 2" xfId="14320" xr:uid="{00000000-0005-0000-0000-0000FB360000}"/>
    <cellStyle name="40% - Accent2 7 4 4 3" xfId="22267" xr:uid="{00000000-0005-0000-0000-0000FC360000}"/>
    <cellStyle name="40% - Accent2 7 4 5" xfId="9888" xr:uid="{00000000-0005-0000-0000-0000FD360000}"/>
    <cellStyle name="40% - Accent2 7 4 5 2" xfId="17846" xr:uid="{00000000-0005-0000-0000-0000FE360000}"/>
    <cellStyle name="40% - Accent2 7 4 5 3" xfId="25790" xr:uid="{00000000-0005-0000-0000-0000FF360000}"/>
    <cellStyle name="40% - Accent2 7 4 6" xfId="10784" xr:uid="{00000000-0005-0000-0000-000000370000}"/>
    <cellStyle name="40% - Accent2 7 4 7" xfId="18739" xr:uid="{00000000-0005-0000-0000-000001370000}"/>
    <cellStyle name="40% - Accent2 7 4_Exh G" xfId="2910" xr:uid="{00000000-0005-0000-0000-000002370000}"/>
    <cellStyle name="40% - Accent2 7 5" xfId="1449" xr:uid="{00000000-0005-0000-0000-000003370000}"/>
    <cellStyle name="40% - Accent2 7 5 2" xfId="4979" xr:uid="{00000000-0005-0000-0000-000004370000}"/>
    <cellStyle name="40% - Accent2 7 5 2 2" xfId="8570" xr:uid="{00000000-0005-0000-0000-000005370000}"/>
    <cellStyle name="40% - Accent2 7 5 2 2 2" xfId="16541" xr:uid="{00000000-0005-0000-0000-000006370000}"/>
    <cellStyle name="40% - Accent2 7 5 2 2 3" xfId="24487" xr:uid="{00000000-0005-0000-0000-000007370000}"/>
    <cellStyle name="40% - Accent2 7 5 2 3" xfId="13003" xr:uid="{00000000-0005-0000-0000-000008370000}"/>
    <cellStyle name="40% - Accent2 7 5 2 4" xfId="20958" xr:uid="{00000000-0005-0000-0000-000009370000}"/>
    <cellStyle name="40% - Accent2 7 5 3" xfId="6811" xr:uid="{00000000-0005-0000-0000-00000A370000}"/>
    <cellStyle name="40% - Accent2 7 5 3 2" xfId="14783" xr:uid="{00000000-0005-0000-0000-00000B370000}"/>
    <cellStyle name="40% - Accent2 7 5 3 3" xfId="22730" xr:uid="{00000000-0005-0000-0000-00000C370000}"/>
    <cellStyle name="40% - Accent2 7 5 4" xfId="11247" xr:uid="{00000000-0005-0000-0000-00000D370000}"/>
    <cellStyle name="40% - Accent2 7 5 5" xfId="19202" xr:uid="{00000000-0005-0000-0000-00000E370000}"/>
    <cellStyle name="40% - Accent2 7 5_Exh G" xfId="2912" xr:uid="{00000000-0005-0000-0000-00000F370000}"/>
    <cellStyle name="40% - Accent2 7 6" xfId="4100" xr:uid="{00000000-0005-0000-0000-000010370000}"/>
    <cellStyle name="40% - Accent2 7 6 2" xfId="7692" xr:uid="{00000000-0005-0000-0000-000011370000}"/>
    <cellStyle name="40% - Accent2 7 6 2 2" xfId="15663" xr:uid="{00000000-0005-0000-0000-000012370000}"/>
    <cellStyle name="40% - Accent2 7 6 2 3" xfId="23609" xr:uid="{00000000-0005-0000-0000-000013370000}"/>
    <cellStyle name="40% - Accent2 7 6 3" xfId="12125" xr:uid="{00000000-0005-0000-0000-000014370000}"/>
    <cellStyle name="40% - Accent2 7 6 4" xfId="20080" xr:uid="{00000000-0005-0000-0000-000015370000}"/>
    <cellStyle name="40% - Accent2 7 7" xfId="5920" xr:uid="{00000000-0005-0000-0000-000016370000}"/>
    <cellStyle name="40% - Accent2 7 7 2" xfId="13904" xr:uid="{00000000-0005-0000-0000-000017370000}"/>
    <cellStyle name="40% - Accent2 7 7 3" xfId="21852" xr:uid="{00000000-0005-0000-0000-000018370000}"/>
    <cellStyle name="40% - Accent2 7 8" xfId="9473" xr:uid="{00000000-0005-0000-0000-000019370000}"/>
    <cellStyle name="40% - Accent2 7 8 2" xfId="17431" xr:uid="{00000000-0005-0000-0000-00001A370000}"/>
    <cellStyle name="40% - Accent2 7 8 3" xfId="25375" xr:uid="{00000000-0005-0000-0000-00001B370000}"/>
    <cellStyle name="40% - Accent2 7 9" xfId="10369" xr:uid="{00000000-0005-0000-0000-00001C370000}"/>
    <cellStyle name="40% - Accent2 7_Exh G" xfId="2903" xr:uid="{00000000-0005-0000-0000-00001D370000}"/>
    <cellStyle name="40% - Accent2 8" xfId="425" xr:uid="{00000000-0005-0000-0000-00001E370000}"/>
    <cellStyle name="40% - Accent2 8 10" xfId="18328" xr:uid="{00000000-0005-0000-0000-00001F370000}"/>
    <cellStyle name="40% - Accent2 8 2" xfId="426" xr:uid="{00000000-0005-0000-0000-000020370000}"/>
    <cellStyle name="40% - Accent2 8 2 2" xfId="427" xr:uid="{00000000-0005-0000-0000-000021370000}"/>
    <cellStyle name="40% - Accent2 8 2 2 2" xfId="1455" xr:uid="{00000000-0005-0000-0000-000022370000}"/>
    <cellStyle name="40% - Accent2 8 2 2 2 2" xfId="4985" xr:uid="{00000000-0005-0000-0000-000023370000}"/>
    <cellStyle name="40% - Accent2 8 2 2 2 2 2" xfId="8576" xr:uid="{00000000-0005-0000-0000-000024370000}"/>
    <cellStyle name="40% - Accent2 8 2 2 2 2 2 2" xfId="16547" xr:uid="{00000000-0005-0000-0000-000025370000}"/>
    <cellStyle name="40% - Accent2 8 2 2 2 2 2 3" xfId="24493" xr:uid="{00000000-0005-0000-0000-000026370000}"/>
    <cellStyle name="40% - Accent2 8 2 2 2 2 3" xfId="13009" xr:uid="{00000000-0005-0000-0000-000027370000}"/>
    <cellStyle name="40% - Accent2 8 2 2 2 2 4" xfId="20964" xr:uid="{00000000-0005-0000-0000-000028370000}"/>
    <cellStyle name="40% - Accent2 8 2 2 2 3" xfId="6817" xr:uid="{00000000-0005-0000-0000-000029370000}"/>
    <cellStyle name="40% - Accent2 8 2 2 2 3 2" xfId="14789" xr:uid="{00000000-0005-0000-0000-00002A370000}"/>
    <cellStyle name="40% - Accent2 8 2 2 2 3 3" xfId="22736" xr:uid="{00000000-0005-0000-0000-00002B370000}"/>
    <cellStyle name="40% - Accent2 8 2 2 2 4" xfId="11253" xr:uid="{00000000-0005-0000-0000-00002C370000}"/>
    <cellStyle name="40% - Accent2 8 2 2 2 5" xfId="19208" xr:uid="{00000000-0005-0000-0000-00002D370000}"/>
    <cellStyle name="40% - Accent2 8 2 2 2_Exh G" xfId="2916" xr:uid="{00000000-0005-0000-0000-00002E370000}"/>
    <cellStyle name="40% - Accent2 8 2 2 3" xfId="4106" xr:uid="{00000000-0005-0000-0000-00002F370000}"/>
    <cellStyle name="40% - Accent2 8 2 2 3 2" xfId="7698" xr:uid="{00000000-0005-0000-0000-000030370000}"/>
    <cellStyle name="40% - Accent2 8 2 2 3 2 2" xfId="15669" xr:uid="{00000000-0005-0000-0000-000031370000}"/>
    <cellStyle name="40% - Accent2 8 2 2 3 2 3" xfId="23615" xr:uid="{00000000-0005-0000-0000-000032370000}"/>
    <cellStyle name="40% - Accent2 8 2 2 3 3" xfId="12131" xr:uid="{00000000-0005-0000-0000-000033370000}"/>
    <cellStyle name="40% - Accent2 8 2 2 3 4" xfId="20086" xr:uid="{00000000-0005-0000-0000-000034370000}"/>
    <cellStyle name="40% - Accent2 8 2 2 4" xfId="5926" xr:uid="{00000000-0005-0000-0000-000035370000}"/>
    <cellStyle name="40% - Accent2 8 2 2 4 2" xfId="13910" xr:uid="{00000000-0005-0000-0000-000036370000}"/>
    <cellStyle name="40% - Accent2 8 2 2 4 3" xfId="21858" xr:uid="{00000000-0005-0000-0000-000037370000}"/>
    <cellStyle name="40% - Accent2 8 2 2 5" xfId="9479" xr:uid="{00000000-0005-0000-0000-000038370000}"/>
    <cellStyle name="40% - Accent2 8 2 2 5 2" xfId="17437" xr:uid="{00000000-0005-0000-0000-000039370000}"/>
    <cellStyle name="40% - Accent2 8 2 2 5 3" xfId="25381" xr:uid="{00000000-0005-0000-0000-00003A370000}"/>
    <cellStyle name="40% - Accent2 8 2 2 6" xfId="10375" xr:uid="{00000000-0005-0000-0000-00003B370000}"/>
    <cellStyle name="40% - Accent2 8 2 2 7" xfId="18330" xr:uid="{00000000-0005-0000-0000-00003C370000}"/>
    <cellStyle name="40% - Accent2 8 2 2_Exh G" xfId="2915" xr:uid="{00000000-0005-0000-0000-00003D370000}"/>
    <cellStyle name="40% - Accent2 8 2 3" xfId="1454" xr:uid="{00000000-0005-0000-0000-00003E370000}"/>
    <cellStyle name="40% - Accent2 8 2 3 2" xfId="4984" xr:uid="{00000000-0005-0000-0000-00003F370000}"/>
    <cellStyle name="40% - Accent2 8 2 3 2 2" xfId="8575" xr:uid="{00000000-0005-0000-0000-000040370000}"/>
    <cellStyle name="40% - Accent2 8 2 3 2 2 2" xfId="16546" xr:uid="{00000000-0005-0000-0000-000041370000}"/>
    <cellStyle name="40% - Accent2 8 2 3 2 2 3" xfId="24492" xr:uid="{00000000-0005-0000-0000-000042370000}"/>
    <cellStyle name="40% - Accent2 8 2 3 2 3" xfId="13008" xr:uid="{00000000-0005-0000-0000-000043370000}"/>
    <cellStyle name="40% - Accent2 8 2 3 2 4" xfId="20963" xr:uid="{00000000-0005-0000-0000-000044370000}"/>
    <cellStyle name="40% - Accent2 8 2 3 3" xfId="6816" xr:uid="{00000000-0005-0000-0000-000045370000}"/>
    <cellStyle name="40% - Accent2 8 2 3 3 2" xfId="14788" xr:uid="{00000000-0005-0000-0000-000046370000}"/>
    <cellStyle name="40% - Accent2 8 2 3 3 3" xfId="22735" xr:uid="{00000000-0005-0000-0000-000047370000}"/>
    <cellStyle name="40% - Accent2 8 2 3 4" xfId="11252" xr:uid="{00000000-0005-0000-0000-000048370000}"/>
    <cellStyle name="40% - Accent2 8 2 3 5" xfId="19207" xr:uid="{00000000-0005-0000-0000-000049370000}"/>
    <cellStyle name="40% - Accent2 8 2 3_Exh G" xfId="2917" xr:uid="{00000000-0005-0000-0000-00004A370000}"/>
    <cellStyle name="40% - Accent2 8 2 4" xfId="4105" xr:uid="{00000000-0005-0000-0000-00004B370000}"/>
    <cellStyle name="40% - Accent2 8 2 4 2" xfId="7697" xr:uid="{00000000-0005-0000-0000-00004C370000}"/>
    <cellStyle name="40% - Accent2 8 2 4 2 2" xfId="15668" xr:uid="{00000000-0005-0000-0000-00004D370000}"/>
    <cellStyle name="40% - Accent2 8 2 4 2 3" xfId="23614" xr:uid="{00000000-0005-0000-0000-00004E370000}"/>
    <cellStyle name="40% - Accent2 8 2 4 3" xfId="12130" xr:uid="{00000000-0005-0000-0000-00004F370000}"/>
    <cellStyle name="40% - Accent2 8 2 4 4" xfId="20085" xr:uid="{00000000-0005-0000-0000-000050370000}"/>
    <cellStyle name="40% - Accent2 8 2 5" xfId="5925" xr:uid="{00000000-0005-0000-0000-000051370000}"/>
    <cellStyle name="40% - Accent2 8 2 5 2" xfId="13909" xr:uid="{00000000-0005-0000-0000-000052370000}"/>
    <cellStyle name="40% - Accent2 8 2 5 3" xfId="21857" xr:uid="{00000000-0005-0000-0000-000053370000}"/>
    <cellStyle name="40% - Accent2 8 2 6" xfId="9478" xr:uid="{00000000-0005-0000-0000-000054370000}"/>
    <cellStyle name="40% - Accent2 8 2 6 2" xfId="17436" xr:uid="{00000000-0005-0000-0000-000055370000}"/>
    <cellStyle name="40% - Accent2 8 2 6 3" xfId="25380" xr:uid="{00000000-0005-0000-0000-000056370000}"/>
    <cellStyle name="40% - Accent2 8 2 7" xfId="10374" xr:uid="{00000000-0005-0000-0000-000057370000}"/>
    <cellStyle name="40% - Accent2 8 2 8" xfId="18329" xr:uid="{00000000-0005-0000-0000-000058370000}"/>
    <cellStyle name="40% - Accent2 8 2_Exh G" xfId="2914" xr:uid="{00000000-0005-0000-0000-000059370000}"/>
    <cellStyle name="40% - Accent2 8 3" xfId="428" xr:uid="{00000000-0005-0000-0000-00005A370000}"/>
    <cellStyle name="40% - Accent2 8 3 2" xfId="1456" xr:uid="{00000000-0005-0000-0000-00005B370000}"/>
    <cellStyle name="40% - Accent2 8 3 2 2" xfId="4986" xr:uid="{00000000-0005-0000-0000-00005C370000}"/>
    <cellStyle name="40% - Accent2 8 3 2 2 2" xfId="8577" xr:uid="{00000000-0005-0000-0000-00005D370000}"/>
    <cellStyle name="40% - Accent2 8 3 2 2 2 2" xfId="16548" xr:uid="{00000000-0005-0000-0000-00005E370000}"/>
    <cellStyle name="40% - Accent2 8 3 2 2 2 3" xfId="24494" xr:uid="{00000000-0005-0000-0000-00005F370000}"/>
    <cellStyle name="40% - Accent2 8 3 2 2 3" xfId="13010" xr:uid="{00000000-0005-0000-0000-000060370000}"/>
    <cellStyle name="40% - Accent2 8 3 2 2 4" xfId="20965" xr:uid="{00000000-0005-0000-0000-000061370000}"/>
    <cellStyle name="40% - Accent2 8 3 2 3" xfId="6818" xr:uid="{00000000-0005-0000-0000-000062370000}"/>
    <cellStyle name="40% - Accent2 8 3 2 3 2" xfId="14790" xr:uid="{00000000-0005-0000-0000-000063370000}"/>
    <cellStyle name="40% - Accent2 8 3 2 3 3" xfId="22737" xr:uid="{00000000-0005-0000-0000-000064370000}"/>
    <cellStyle name="40% - Accent2 8 3 2 4" xfId="11254" xr:uid="{00000000-0005-0000-0000-000065370000}"/>
    <cellStyle name="40% - Accent2 8 3 2 5" xfId="19209" xr:uid="{00000000-0005-0000-0000-000066370000}"/>
    <cellStyle name="40% - Accent2 8 3 2_Exh G" xfId="2919" xr:uid="{00000000-0005-0000-0000-000067370000}"/>
    <cellStyle name="40% - Accent2 8 3 3" xfId="4107" xr:uid="{00000000-0005-0000-0000-000068370000}"/>
    <cellStyle name="40% - Accent2 8 3 3 2" xfId="7699" xr:uid="{00000000-0005-0000-0000-000069370000}"/>
    <cellStyle name="40% - Accent2 8 3 3 2 2" xfId="15670" xr:uid="{00000000-0005-0000-0000-00006A370000}"/>
    <cellStyle name="40% - Accent2 8 3 3 2 3" xfId="23616" xr:uid="{00000000-0005-0000-0000-00006B370000}"/>
    <cellStyle name="40% - Accent2 8 3 3 3" xfId="12132" xr:uid="{00000000-0005-0000-0000-00006C370000}"/>
    <cellStyle name="40% - Accent2 8 3 3 4" xfId="20087" xr:uid="{00000000-0005-0000-0000-00006D370000}"/>
    <cellStyle name="40% - Accent2 8 3 4" xfId="5927" xr:uid="{00000000-0005-0000-0000-00006E370000}"/>
    <cellStyle name="40% - Accent2 8 3 4 2" xfId="13911" xr:uid="{00000000-0005-0000-0000-00006F370000}"/>
    <cellStyle name="40% - Accent2 8 3 4 3" xfId="21859" xr:uid="{00000000-0005-0000-0000-000070370000}"/>
    <cellStyle name="40% - Accent2 8 3 5" xfId="9480" xr:uid="{00000000-0005-0000-0000-000071370000}"/>
    <cellStyle name="40% - Accent2 8 3 5 2" xfId="17438" xr:uid="{00000000-0005-0000-0000-000072370000}"/>
    <cellStyle name="40% - Accent2 8 3 5 3" xfId="25382" xr:uid="{00000000-0005-0000-0000-000073370000}"/>
    <cellStyle name="40% - Accent2 8 3 6" xfId="10376" xr:uid="{00000000-0005-0000-0000-000074370000}"/>
    <cellStyle name="40% - Accent2 8 3 7" xfId="18331" xr:uid="{00000000-0005-0000-0000-000075370000}"/>
    <cellStyle name="40% - Accent2 8 3_Exh G" xfId="2918" xr:uid="{00000000-0005-0000-0000-000076370000}"/>
    <cellStyle name="40% - Accent2 8 4" xfId="956" xr:uid="{00000000-0005-0000-0000-000077370000}"/>
    <cellStyle name="40% - Accent2 8 4 2" xfId="1877" xr:uid="{00000000-0005-0000-0000-000078370000}"/>
    <cellStyle name="40% - Accent2 8 4 2 2" xfId="5395" xr:uid="{00000000-0005-0000-0000-000079370000}"/>
    <cellStyle name="40% - Accent2 8 4 2 2 2" xfId="8986" xr:uid="{00000000-0005-0000-0000-00007A370000}"/>
    <cellStyle name="40% - Accent2 8 4 2 2 2 2" xfId="16957" xr:uid="{00000000-0005-0000-0000-00007B370000}"/>
    <cellStyle name="40% - Accent2 8 4 2 2 2 3" xfId="24903" xr:uid="{00000000-0005-0000-0000-00007C370000}"/>
    <cellStyle name="40% - Accent2 8 4 2 2 3" xfId="13419" xr:uid="{00000000-0005-0000-0000-00007D370000}"/>
    <cellStyle name="40% - Accent2 8 4 2 2 4" xfId="21374" xr:uid="{00000000-0005-0000-0000-00007E370000}"/>
    <cellStyle name="40% - Accent2 8 4 2 3" xfId="7227" xr:uid="{00000000-0005-0000-0000-00007F370000}"/>
    <cellStyle name="40% - Accent2 8 4 2 3 2" xfId="15199" xr:uid="{00000000-0005-0000-0000-000080370000}"/>
    <cellStyle name="40% - Accent2 8 4 2 3 3" xfId="23146" xr:uid="{00000000-0005-0000-0000-000081370000}"/>
    <cellStyle name="40% - Accent2 8 4 2 4" xfId="11663" xr:uid="{00000000-0005-0000-0000-000082370000}"/>
    <cellStyle name="40% - Accent2 8 4 2 5" xfId="19618" xr:uid="{00000000-0005-0000-0000-000083370000}"/>
    <cellStyle name="40% - Accent2 8 4 2_Exh G" xfId="2921" xr:uid="{00000000-0005-0000-0000-000084370000}"/>
    <cellStyle name="40% - Accent2 8 4 3" xfId="4516" xr:uid="{00000000-0005-0000-0000-000085370000}"/>
    <cellStyle name="40% - Accent2 8 4 3 2" xfId="8108" xr:uid="{00000000-0005-0000-0000-000086370000}"/>
    <cellStyle name="40% - Accent2 8 4 3 2 2" xfId="16079" xr:uid="{00000000-0005-0000-0000-000087370000}"/>
    <cellStyle name="40% - Accent2 8 4 3 2 3" xfId="24025" xr:uid="{00000000-0005-0000-0000-000088370000}"/>
    <cellStyle name="40% - Accent2 8 4 3 3" xfId="12541" xr:uid="{00000000-0005-0000-0000-000089370000}"/>
    <cellStyle name="40% - Accent2 8 4 3 4" xfId="20496" xr:uid="{00000000-0005-0000-0000-00008A370000}"/>
    <cellStyle name="40% - Accent2 8 4 4" xfId="6346" xr:uid="{00000000-0005-0000-0000-00008B370000}"/>
    <cellStyle name="40% - Accent2 8 4 4 2" xfId="14321" xr:uid="{00000000-0005-0000-0000-00008C370000}"/>
    <cellStyle name="40% - Accent2 8 4 4 3" xfId="22268" xr:uid="{00000000-0005-0000-0000-00008D370000}"/>
    <cellStyle name="40% - Accent2 8 4 5" xfId="9889" xr:uid="{00000000-0005-0000-0000-00008E370000}"/>
    <cellStyle name="40% - Accent2 8 4 5 2" xfId="17847" xr:uid="{00000000-0005-0000-0000-00008F370000}"/>
    <cellStyle name="40% - Accent2 8 4 5 3" xfId="25791" xr:uid="{00000000-0005-0000-0000-000090370000}"/>
    <cellStyle name="40% - Accent2 8 4 6" xfId="10785" xr:uid="{00000000-0005-0000-0000-000091370000}"/>
    <cellStyle name="40% - Accent2 8 4 7" xfId="18740" xr:uid="{00000000-0005-0000-0000-000092370000}"/>
    <cellStyle name="40% - Accent2 8 4_Exh G" xfId="2920" xr:uid="{00000000-0005-0000-0000-000093370000}"/>
    <cellStyle name="40% - Accent2 8 5" xfId="1453" xr:uid="{00000000-0005-0000-0000-000094370000}"/>
    <cellStyle name="40% - Accent2 8 5 2" xfId="4983" xr:uid="{00000000-0005-0000-0000-000095370000}"/>
    <cellStyle name="40% - Accent2 8 5 2 2" xfId="8574" xr:uid="{00000000-0005-0000-0000-000096370000}"/>
    <cellStyle name="40% - Accent2 8 5 2 2 2" xfId="16545" xr:uid="{00000000-0005-0000-0000-000097370000}"/>
    <cellStyle name="40% - Accent2 8 5 2 2 3" xfId="24491" xr:uid="{00000000-0005-0000-0000-000098370000}"/>
    <cellStyle name="40% - Accent2 8 5 2 3" xfId="13007" xr:uid="{00000000-0005-0000-0000-000099370000}"/>
    <cellStyle name="40% - Accent2 8 5 2 4" xfId="20962" xr:uid="{00000000-0005-0000-0000-00009A370000}"/>
    <cellStyle name="40% - Accent2 8 5 3" xfId="6815" xr:uid="{00000000-0005-0000-0000-00009B370000}"/>
    <cellStyle name="40% - Accent2 8 5 3 2" xfId="14787" xr:uid="{00000000-0005-0000-0000-00009C370000}"/>
    <cellStyle name="40% - Accent2 8 5 3 3" xfId="22734" xr:uid="{00000000-0005-0000-0000-00009D370000}"/>
    <cellStyle name="40% - Accent2 8 5 4" xfId="11251" xr:uid="{00000000-0005-0000-0000-00009E370000}"/>
    <cellStyle name="40% - Accent2 8 5 5" xfId="19206" xr:uid="{00000000-0005-0000-0000-00009F370000}"/>
    <cellStyle name="40% - Accent2 8 5_Exh G" xfId="2922" xr:uid="{00000000-0005-0000-0000-0000A0370000}"/>
    <cellStyle name="40% - Accent2 8 6" xfId="4104" xr:uid="{00000000-0005-0000-0000-0000A1370000}"/>
    <cellStyle name="40% - Accent2 8 6 2" xfId="7696" xr:uid="{00000000-0005-0000-0000-0000A2370000}"/>
    <cellStyle name="40% - Accent2 8 6 2 2" xfId="15667" xr:uid="{00000000-0005-0000-0000-0000A3370000}"/>
    <cellStyle name="40% - Accent2 8 6 2 3" xfId="23613" xr:uid="{00000000-0005-0000-0000-0000A4370000}"/>
    <cellStyle name="40% - Accent2 8 6 3" xfId="12129" xr:uid="{00000000-0005-0000-0000-0000A5370000}"/>
    <cellStyle name="40% - Accent2 8 6 4" xfId="20084" xr:uid="{00000000-0005-0000-0000-0000A6370000}"/>
    <cellStyle name="40% - Accent2 8 7" xfId="5924" xr:uid="{00000000-0005-0000-0000-0000A7370000}"/>
    <cellStyle name="40% - Accent2 8 7 2" xfId="13908" xr:uid="{00000000-0005-0000-0000-0000A8370000}"/>
    <cellStyle name="40% - Accent2 8 7 3" xfId="21856" xr:uid="{00000000-0005-0000-0000-0000A9370000}"/>
    <cellStyle name="40% - Accent2 8 8" xfId="9477" xr:uid="{00000000-0005-0000-0000-0000AA370000}"/>
    <cellStyle name="40% - Accent2 8 8 2" xfId="17435" xr:uid="{00000000-0005-0000-0000-0000AB370000}"/>
    <cellStyle name="40% - Accent2 8 8 3" xfId="25379" xr:uid="{00000000-0005-0000-0000-0000AC370000}"/>
    <cellStyle name="40% - Accent2 8 9" xfId="10373" xr:uid="{00000000-0005-0000-0000-0000AD370000}"/>
    <cellStyle name="40% - Accent2 8_Exh G" xfId="2913" xr:uid="{00000000-0005-0000-0000-0000AE370000}"/>
    <cellStyle name="40% - Accent2 9" xfId="429" xr:uid="{00000000-0005-0000-0000-0000AF370000}"/>
    <cellStyle name="40% - Accent2 9 10" xfId="18332" xr:uid="{00000000-0005-0000-0000-0000B0370000}"/>
    <cellStyle name="40% - Accent2 9 2" xfId="430" xr:uid="{00000000-0005-0000-0000-0000B1370000}"/>
    <cellStyle name="40% - Accent2 9 2 2" xfId="431" xr:uid="{00000000-0005-0000-0000-0000B2370000}"/>
    <cellStyle name="40% - Accent2 9 2 2 2" xfId="1459" xr:uid="{00000000-0005-0000-0000-0000B3370000}"/>
    <cellStyle name="40% - Accent2 9 2 2 2 2" xfId="4989" xr:uid="{00000000-0005-0000-0000-0000B4370000}"/>
    <cellStyle name="40% - Accent2 9 2 2 2 2 2" xfId="8580" xr:uid="{00000000-0005-0000-0000-0000B5370000}"/>
    <cellStyle name="40% - Accent2 9 2 2 2 2 2 2" xfId="16551" xr:uid="{00000000-0005-0000-0000-0000B6370000}"/>
    <cellStyle name="40% - Accent2 9 2 2 2 2 2 3" xfId="24497" xr:uid="{00000000-0005-0000-0000-0000B7370000}"/>
    <cellStyle name="40% - Accent2 9 2 2 2 2 3" xfId="13013" xr:uid="{00000000-0005-0000-0000-0000B8370000}"/>
    <cellStyle name="40% - Accent2 9 2 2 2 2 4" xfId="20968" xr:uid="{00000000-0005-0000-0000-0000B9370000}"/>
    <cellStyle name="40% - Accent2 9 2 2 2 3" xfId="6821" xr:uid="{00000000-0005-0000-0000-0000BA370000}"/>
    <cellStyle name="40% - Accent2 9 2 2 2 3 2" xfId="14793" xr:uid="{00000000-0005-0000-0000-0000BB370000}"/>
    <cellStyle name="40% - Accent2 9 2 2 2 3 3" xfId="22740" xr:uid="{00000000-0005-0000-0000-0000BC370000}"/>
    <cellStyle name="40% - Accent2 9 2 2 2 4" xfId="11257" xr:uid="{00000000-0005-0000-0000-0000BD370000}"/>
    <cellStyle name="40% - Accent2 9 2 2 2 5" xfId="19212" xr:uid="{00000000-0005-0000-0000-0000BE370000}"/>
    <cellStyle name="40% - Accent2 9 2 2 2_Exh G" xfId="2926" xr:uid="{00000000-0005-0000-0000-0000BF370000}"/>
    <cellStyle name="40% - Accent2 9 2 2 3" xfId="4110" xr:uid="{00000000-0005-0000-0000-0000C0370000}"/>
    <cellStyle name="40% - Accent2 9 2 2 3 2" xfId="7702" xr:uid="{00000000-0005-0000-0000-0000C1370000}"/>
    <cellStyle name="40% - Accent2 9 2 2 3 2 2" xfId="15673" xr:uid="{00000000-0005-0000-0000-0000C2370000}"/>
    <cellStyle name="40% - Accent2 9 2 2 3 2 3" xfId="23619" xr:uid="{00000000-0005-0000-0000-0000C3370000}"/>
    <cellStyle name="40% - Accent2 9 2 2 3 3" xfId="12135" xr:uid="{00000000-0005-0000-0000-0000C4370000}"/>
    <cellStyle name="40% - Accent2 9 2 2 3 4" xfId="20090" xr:uid="{00000000-0005-0000-0000-0000C5370000}"/>
    <cellStyle name="40% - Accent2 9 2 2 4" xfId="5930" xr:uid="{00000000-0005-0000-0000-0000C6370000}"/>
    <cellStyle name="40% - Accent2 9 2 2 4 2" xfId="13914" xr:uid="{00000000-0005-0000-0000-0000C7370000}"/>
    <cellStyle name="40% - Accent2 9 2 2 4 3" xfId="21862" xr:uid="{00000000-0005-0000-0000-0000C8370000}"/>
    <cellStyle name="40% - Accent2 9 2 2 5" xfId="9483" xr:uid="{00000000-0005-0000-0000-0000C9370000}"/>
    <cellStyle name="40% - Accent2 9 2 2 5 2" xfId="17441" xr:uid="{00000000-0005-0000-0000-0000CA370000}"/>
    <cellStyle name="40% - Accent2 9 2 2 5 3" xfId="25385" xr:uid="{00000000-0005-0000-0000-0000CB370000}"/>
    <cellStyle name="40% - Accent2 9 2 2 6" xfId="10379" xr:uid="{00000000-0005-0000-0000-0000CC370000}"/>
    <cellStyle name="40% - Accent2 9 2 2 7" xfId="18334" xr:uid="{00000000-0005-0000-0000-0000CD370000}"/>
    <cellStyle name="40% - Accent2 9 2 2_Exh G" xfId="2925" xr:uid="{00000000-0005-0000-0000-0000CE370000}"/>
    <cellStyle name="40% - Accent2 9 2 3" xfId="1458" xr:uid="{00000000-0005-0000-0000-0000CF370000}"/>
    <cellStyle name="40% - Accent2 9 2 3 2" xfId="4988" xr:uid="{00000000-0005-0000-0000-0000D0370000}"/>
    <cellStyle name="40% - Accent2 9 2 3 2 2" xfId="8579" xr:uid="{00000000-0005-0000-0000-0000D1370000}"/>
    <cellStyle name="40% - Accent2 9 2 3 2 2 2" xfId="16550" xr:uid="{00000000-0005-0000-0000-0000D2370000}"/>
    <cellStyle name="40% - Accent2 9 2 3 2 2 3" xfId="24496" xr:uid="{00000000-0005-0000-0000-0000D3370000}"/>
    <cellStyle name="40% - Accent2 9 2 3 2 3" xfId="13012" xr:uid="{00000000-0005-0000-0000-0000D4370000}"/>
    <cellStyle name="40% - Accent2 9 2 3 2 4" xfId="20967" xr:uid="{00000000-0005-0000-0000-0000D5370000}"/>
    <cellStyle name="40% - Accent2 9 2 3 3" xfId="6820" xr:uid="{00000000-0005-0000-0000-0000D6370000}"/>
    <cellStyle name="40% - Accent2 9 2 3 3 2" xfId="14792" xr:uid="{00000000-0005-0000-0000-0000D7370000}"/>
    <cellStyle name="40% - Accent2 9 2 3 3 3" xfId="22739" xr:uid="{00000000-0005-0000-0000-0000D8370000}"/>
    <cellStyle name="40% - Accent2 9 2 3 4" xfId="11256" xr:uid="{00000000-0005-0000-0000-0000D9370000}"/>
    <cellStyle name="40% - Accent2 9 2 3 5" xfId="19211" xr:uid="{00000000-0005-0000-0000-0000DA370000}"/>
    <cellStyle name="40% - Accent2 9 2 3_Exh G" xfId="2927" xr:uid="{00000000-0005-0000-0000-0000DB370000}"/>
    <cellStyle name="40% - Accent2 9 2 4" xfId="4109" xr:uid="{00000000-0005-0000-0000-0000DC370000}"/>
    <cellStyle name="40% - Accent2 9 2 4 2" xfId="7701" xr:uid="{00000000-0005-0000-0000-0000DD370000}"/>
    <cellStyle name="40% - Accent2 9 2 4 2 2" xfId="15672" xr:uid="{00000000-0005-0000-0000-0000DE370000}"/>
    <cellStyle name="40% - Accent2 9 2 4 2 3" xfId="23618" xr:uid="{00000000-0005-0000-0000-0000DF370000}"/>
    <cellStyle name="40% - Accent2 9 2 4 3" xfId="12134" xr:uid="{00000000-0005-0000-0000-0000E0370000}"/>
    <cellStyle name="40% - Accent2 9 2 4 4" xfId="20089" xr:uid="{00000000-0005-0000-0000-0000E1370000}"/>
    <cellStyle name="40% - Accent2 9 2 5" xfId="5929" xr:uid="{00000000-0005-0000-0000-0000E2370000}"/>
    <cellStyle name="40% - Accent2 9 2 5 2" xfId="13913" xr:uid="{00000000-0005-0000-0000-0000E3370000}"/>
    <cellStyle name="40% - Accent2 9 2 5 3" xfId="21861" xr:uid="{00000000-0005-0000-0000-0000E4370000}"/>
    <cellStyle name="40% - Accent2 9 2 6" xfId="9482" xr:uid="{00000000-0005-0000-0000-0000E5370000}"/>
    <cellStyle name="40% - Accent2 9 2 6 2" xfId="17440" xr:uid="{00000000-0005-0000-0000-0000E6370000}"/>
    <cellStyle name="40% - Accent2 9 2 6 3" xfId="25384" xr:uid="{00000000-0005-0000-0000-0000E7370000}"/>
    <cellStyle name="40% - Accent2 9 2 7" xfId="10378" xr:uid="{00000000-0005-0000-0000-0000E8370000}"/>
    <cellStyle name="40% - Accent2 9 2 8" xfId="18333" xr:uid="{00000000-0005-0000-0000-0000E9370000}"/>
    <cellStyle name="40% - Accent2 9 2_Exh G" xfId="2924" xr:uid="{00000000-0005-0000-0000-0000EA370000}"/>
    <cellStyle name="40% - Accent2 9 3" xfId="432" xr:uid="{00000000-0005-0000-0000-0000EB370000}"/>
    <cellStyle name="40% - Accent2 9 3 2" xfId="1460" xr:uid="{00000000-0005-0000-0000-0000EC370000}"/>
    <cellStyle name="40% - Accent2 9 3 2 2" xfId="4990" xr:uid="{00000000-0005-0000-0000-0000ED370000}"/>
    <cellStyle name="40% - Accent2 9 3 2 2 2" xfId="8581" xr:uid="{00000000-0005-0000-0000-0000EE370000}"/>
    <cellStyle name="40% - Accent2 9 3 2 2 2 2" xfId="16552" xr:uid="{00000000-0005-0000-0000-0000EF370000}"/>
    <cellStyle name="40% - Accent2 9 3 2 2 2 3" xfId="24498" xr:uid="{00000000-0005-0000-0000-0000F0370000}"/>
    <cellStyle name="40% - Accent2 9 3 2 2 3" xfId="13014" xr:uid="{00000000-0005-0000-0000-0000F1370000}"/>
    <cellStyle name="40% - Accent2 9 3 2 2 4" xfId="20969" xr:uid="{00000000-0005-0000-0000-0000F2370000}"/>
    <cellStyle name="40% - Accent2 9 3 2 3" xfId="6822" xr:uid="{00000000-0005-0000-0000-0000F3370000}"/>
    <cellStyle name="40% - Accent2 9 3 2 3 2" xfId="14794" xr:uid="{00000000-0005-0000-0000-0000F4370000}"/>
    <cellStyle name="40% - Accent2 9 3 2 3 3" xfId="22741" xr:uid="{00000000-0005-0000-0000-0000F5370000}"/>
    <cellStyle name="40% - Accent2 9 3 2 4" xfId="11258" xr:uid="{00000000-0005-0000-0000-0000F6370000}"/>
    <cellStyle name="40% - Accent2 9 3 2 5" xfId="19213" xr:uid="{00000000-0005-0000-0000-0000F7370000}"/>
    <cellStyle name="40% - Accent2 9 3 2_Exh G" xfId="2929" xr:uid="{00000000-0005-0000-0000-0000F8370000}"/>
    <cellStyle name="40% - Accent2 9 3 3" xfId="4111" xr:uid="{00000000-0005-0000-0000-0000F9370000}"/>
    <cellStyle name="40% - Accent2 9 3 3 2" xfId="7703" xr:uid="{00000000-0005-0000-0000-0000FA370000}"/>
    <cellStyle name="40% - Accent2 9 3 3 2 2" xfId="15674" xr:uid="{00000000-0005-0000-0000-0000FB370000}"/>
    <cellStyle name="40% - Accent2 9 3 3 2 3" xfId="23620" xr:uid="{00000000-0005-0000-0000-0000FC370000}"/>
    <cellStyle name="40% - Accent2 9 3 3 3" xfId="12136" xr:uid="{00000000-0005-0000-0000-0000FD370000}"/>
    <cellStyle name="40% - Accent2 9 3 3 4" xfId="20091" xr:uid="{00000000-0005-0000-0000-0000FE370000}"/>
    <cellStyle name="40% - Accent2 9 3 4" xfId="5931" xr:uid="{00000000-0005-0000-0000-0000FF370000}"/>
    <cellStyle name="40% - Accent2 9 3 4 2" xfId="13915" xr:uid="{00000000-0005-0000-0000-000000380000}"/>
    <cellStyle name="40% - Accent2 9 3 4 3" xfId="21863" xr:uid="{00000000-0005-0000-0000-000001380000}"/>
    <cellStyle name="40% - Accent2 9 3 5" xfId="9484" xr:uid="{00000000-0005-0000-0000-000002380000}"/>
    <cellStyle name="40% - Accent2 9 3 5 2" xfId="17442" xr:uid="{00000000-0005-0000-0000-000003380000}"/>
    <cellStyle name="40% - Accent2 9 3 5 3" xfId="25386" xr:uid="{00000000-0005-0000-0000-000004380000}"/>
    <cellStyle name="40% - Accent2 9 3 6" xfId="10380" xr:uid="{00000000-0005-0000-0000-000005380000}"/>
    <cellStyle name="40% - Accent2 9 3 7" xfId="18335" xr:uid="{00000000-0005-0000-0000-000006380000}"/>
    <cellStyle name="40% - Accent2 9 3_Exh G" xfId="2928" xr:uid="{00000000-0005-0000-0000-000007380000}"/>
    <cellStyle name="40% - Accent2 9 4" xfId="957" xr:uid="{00000000-0005-0000-0000-000008380000}"/>
    <cellStyle name="40% - Accent2 9 4 2" xfId="1878" xr:uid="{00000000-0005-0000-0000-000009380000}"/>
    <cellStyle name="40% - Accent2 9 4 2 2" xfId="5396" xr:uid="{00000000-0005-0000-0000-00000A380000}"/>
    <cellStyle name="40% - Accent2 9 4 2 2 2" xfId="8987" xr:uid="{00000000-0005-0000-0000-00000B380000}"/>
    <cellStyle name="40% - Accent2 9 4 2 2 2 2" xfId="16958" xr:uid="{00000000-0005-0000-0000-00000C380000}"/>
    <cellStyle name="40% - Accent2 9 4 2 2 2 3" xfId="24904" xr:uid="{00000000-0005-0000-0000-00000D380000}"/>
    <cellStyle name="40% - Accent2 9 4 2 2 3" xfId="13420" xr:uid="{00000000-0005-0000-0000-00000E380000}"/>
    <cellStyle name="40% - Accent2 9 4 2 2 4" xfId="21375" xr:uid="{00000000-0005-0000-0000-00000F380000}"/>
    <cellStyle name="40% - Accent2 9 4 2 3" xfId="7228" xr:uid="{00000000-0005-0000-0000-000010380000}"/>
    <cellStyle name="40% - Accent2 9 4 2 3 2" xfId="15200" xr:uid="{00000000-0005-0000-0000-000011380000}"/>
    <cellStyle name="40% - Accent2 9 4 2 3 3" xfId="23147" xr:uid="{00000000-0005-0000-0000-000012380000}"/>
    <cellStyle name="40% - Accent2 9 4 2 4" xfId="11664" xr:uid="{00000000-0005-0000-0000-000013380000}"/>
    <cellStyle name="40% - Accent2 9 4 2 5" xfId="19619" xr:uid="{00000000-0005-0000-0000-000014380000}"/>
    <cellStyle name="40% - Accent2 9 4 2_Exh G" xfId="2931" xr:uid="{00000000-0005-0000-0000-000015380000}"/>
    <cellStyle name="40% - Accent2 9 4 3" xfId="4517" xr:uid="{00000000-0005-0000-0000-000016380000}"/>
    <cellStyle name="40% - Accent2 9 4 3 2" xfId="8109" xr:uid="{00000000-0005-0000-0000-000017380000}"/>
    <cellStyle name="40% - Accent2 9 4 3 2 2" xfId="16080" xr:uid="{00000000-0005-0000-0000-000018380000}"/>
    <cellStyle name="40% - Accent2 9 4 3 2 3" xfId="24026" xr:uid="{00000000-0005-0000-0000-000019380000}"/>
    <cellStyle name="40% - Accent2 9 4 3 3" xfId="12542" xr:uid="{00000000-0005-0000-0000-00001A380000}"/>
    <cellStyle name="40% - Accent2 9 4 3 4" xfId="20497" xr:uid="{00000000-0005-0000-0000-00001B380000}"/>
    <cellStyle name="40% - Accent2 9 4 4" xfId="6347" xr:uid="{00000000-0005-0000-0000-00001C380000}"/>
    <cellStyle name="40% - Accent2 9 4 4 2" xfId="14322" xr:uid="{00000000-0005-0000-0000-00001D380000}"/>
    <cellStyle name="40% - Accent2 9 4 4 3" xfId="22269" xr:uid="{00000000-0005-0000-0000-00001E380000}"/>
    <cellStyle name="40% - Accent2 9 4 5" xfId="9890" xr:uid="{00000000-0005-0000-0000-00001F380000}"/>
    <cellStyle name="40% - Accent2 9 4 5 2" xfId="17848" xr:uid="{00000000-0005-0000-0000-000020380000}"/>
    <cellStyle name="40% - Accent2 9 4 5 3" xfId="25792" xr:uid="{00000000-0005-0000-0000-000021380000}"/>
    <cellStyle name="40% - Accent2 9 4 6" xfId="10786" xr:uid="{00000000-0005-0000-0000-000022380000}"/>
    <cellStyle name="40% - Accent2 9 4 7" xfId="18741" xr:uid="{00000000-0005-0000-0000-000023380000}"/>
    <cellStyle name="40% - Accent2 9 4_Exh G" xfId="2930" xr:uid="{00000000-0005-0000-0000-000024380000}"/>
    <cellStyle name="40% - Accent2 9 5" xfId="1457" xr:uid="{00000000-0005-0000-0000-000025380000}"/>
    <cellStyle name="40% - Accent2 9 5 2" xfId="4987" xr:uid="{00000000-0005-0000-0000-000026380000}"/>
    <cellStyle name="40% - Accent2 9 5 2 2" xfId="8578" xr:uid="{00000000-0005-0000-0000-000027380000}"/>
    <cellStyle name="40% - Accent2 9 5 2 2 2" xfId="16549" xr:uid="{00000000-0005-0000-0000-000028380000}"/>
    <cellStyle name="40% - Accent2 9 5 2 2 3" xfId="24495" xr:uid="{00000000-0005-0000-0000-000029380000}"/>
    <cellStyle name="40% - Accent2 9 5 2 3" xfId="13011" xr:uid="{00000000-0005-0000-0000-00002A380000}"/>
    <cellStyle name="40% - Accent2 9 5 2 4" xfId="20966" xr:uid="{00000000-0005-0000-0000-00002B380000}"/>
    <cellStyle name="40% - Accent2 9 5 3" xfId="6819" xr:uid="{00000000-0005-0000-0000-00002C380000}"/>
    <cellStyle name="40% - Accent2 9 5 3 2" xfId="14791" xr:uid="{00000000-0005-0000-0000-00002D380000}"/>
    <cellStyle name="40% - Accent2 9 5 3 3" xfId="22738" xr:uid="{00000000-0005-0000-0000-00002E380000}"/>
    <cellStyle name="40% - Accent2 9 5 4" xfId="11255" xr:uid="{00000000-0005-0000-0000-00002F380000}"/>
    <cellStyle name="40% - Accent2 9 5 5" xfId="19210" xr:uid="{00000000-0005-0000-0000-000030380000}"/>
    <cellStyle name="40% - Accent2 9 5_Exh G" xfId="2932" xr:uid="{00000000-0005-0000-0000-000031380000}"/>
    <cellStyle name="40% - Accent2 9 6" xfId="4108" xr:uid="{00000000-0005-0000-0000-000032380000}"/>
    <cellStyle name="40% - Accent2 9 6 2" xfId="7700" xr:uid="{00000000-0005-0000-0000-000033380000}"/>
    <cellStyle name="40% - Accent2 9 6 2 2" xfId="15671" xr:uid="{00000000-0005-0000-0000-000034380000}"/>
    <cellStyle name="40% - Accent2 9 6 2 3" xfId="23617" xr:uid="{00000000-0005-0000-0000-000035380000}"/>
    <cellStyle name="40% - Accent2 9 6 3" xfId="12133" xr:uid="{00000000-0005-0000-0000-000036380000}"/>
    <cellStyle name="40% - Accent2 9 6 4" xfId="20088" xr:uid="{00000000-0005-0000-0000-000037380000}"/>
    <cellStyle name="40% - Accent2 9 7" xfId="5928" xr:uid="{00000000-0005-0000-0000-000038380000}"/>
    <cellStyle name="40% - Accent2 9 7 2" xfId="13912" xr:uid="{00000000-0005-0000-0000-000039380000}"/>
    <cellStyle name="40% - Accent2 9 7 3" xfId="21860" xr:uid="{00000000-0005-0000-0000-00003A380000}"/>
    <cellStyle name="40% - Accent2 9 8" xfId="9481" xr:uid="{00000000-0005-0000-0000-00003B380000}"/>
    <cellStyle name="40% - Accent2 9 8 2" xfId="17439" xr:uid="{00000000-0005-0000-0000-00003C380000}"/>
    <cellStyle name="40% - Accent2 9 8 3" xfId="25383" xr:uid="{00000000-0005-0000-0000-00003D380000}"/>
    <cellStyle name="40% - Accent2 9 9" xfId="10377" xr:uid="{00000000-0005-0000-0000-00003E380000}"/>
    <cellStyle name="40% - Accent2 9_Exh G" xfId="2923" xr:uid="{00000000-0005-0000-0000-00003F380000}"/>
    <cellStyle name="40% - Accent3 10" xfId="433" xr:uid="{00000000-0005-0000-0000-000040380000}"/>
    <cellStyle name="40% - Accent3 10 10" xfId="18336" xr:uid="{00000000-0005-0000-0000-000041380000}"/>
    <cellStyle name="40% - Accent3 10 2" xfId="434" xr:uid="{00000000-0005-0000-0000-000042380000}"/>
    <cellStyle name="40% - Accent3 10 2 2" xfId="435" xr:uid="{00000000-0005-0000-0000-000043380000}"/>
    <cellStyle name="40% - Accent3 10 2 2 2" xfId="1463" xr:uid="{00000000-0005-0000-0000-000044380000}"/>
    <cellStyle name="40% - Accent3 10 2 2 2 2" xfId="4993" xr:uid="{00000000-0005-0000-0000-000045380000}"/>
    <cellStyle name="40% - Accent3 10 2 2 2 2 2" xfId="8584" xr:uid="{00000000-0005-0000-0000-000046380000}"/>
    <cellStyle name="40% - Accent3 10 2 2 2 2 2 2" xfId="16555" xr:uid="{00000000-0005-0000-0000-000047380000}"/>
    <cellStyle name="40% - Accent3 10 2 2 2 2 2 3" xfId="24501" xr:uid="{00000000-0005-0000-0000-000048380000}"/>
    <cellStyle name="40% - Accent3 10 2 2 2 2 3" xfId="13017" xr:uid="{00000000-0005-0000-0000-000049380000}"/>
    <cellStyle name="40% - Accent3 10 2 2 2 2 4" xfId="20972" xr:uid="{00000000-0005-0000-0000-00004A380000}"/>
    <cellStyle name="40% - Accent3 10 2 2 2 3" xfId="6825" xr:uid="{00000000-0005-0000-0000-00004B380000}"/>
    <cellStyle name="40% - Accent3 10 2 2 2 3 2" xfId="14797" xr:uid="{00000000-0005-0000-0000-00004C380000}"/>
    <cellStyle name="40% - Accent3 10 2 2 2 3 3" xfId="22744" xr:uid="{00000000-0005-0000-0000-00004D380000}"/>
    <cellStyle name="40% - Accent3 10 2 2 2 4" xfId="11261" xr:uid="{00000000-0005-0000-0000-00004E380000}"/>
    <cellStyle name="40% - Accent3 10 2 2 2 5" xfId="19216" xr:uid="{00000000-0005-0000-0000-00004F380000}"/>
    <cellStyle name="40% - Accent3 10 2 2 2_Exh G" xfId="2936" xr:uid="{00000000-0005-0000-0000-000050380000}"/>
    <cellStyle name="40% - Accent3 10 2 2 3" xfId="4114" xr:uid="{00000000-0005-0000-0000-000051380000}"/>
    <cellStyle name="40% - Accent3 10 2 2 3 2" xfId="7706" xr:uid="{00000000-0005-0000-0000-000052380000}"/>
    <cellStyle name="40% - Accent3 10 2 2 3 2 2" xfId="15677" xr:uid="{00000000-0005-0000-0000-000053380000}"/>
    <cellStyle name="40% - Accent3 10 2 2 3 2 3" xfId="23623" xr:uid="{00000000-0005-0000-0000-000054380000}"/>
    <cellStyle name="40% - Accent3 10 2 2 3 3" xfId="12139" xr:uid="{00000000-0005-0000-0000-000055380000}"/>
    <cellStyle name="40% - Accent3 10 2 2 3 4" xfId="20094" xr:uid="{00000000-0005-0000-0000-000056380000}"/>
    <cellStyle name="40% - Accent3 10 2 2 4" xfId="5934" xr:uid="{00000000-0005-0000-0000-000057380000}"/>
    <cellStyle name="40% - Accent3 10 2 2 4 2" xfId="13918" xr:uid="{00000000-0005-0000-0000-000058380000}"/>
    <cellStyle name="40% - Accent3 10 2 2 4 3" xfId="21866" xr:uid="{00000000-0005-0000-0000-000059380000}"/>
    <cellStyle name="40% - Accent3 10 2 2 5" xfId="9487" xr:uid="{00000000-0005-0000-0000-00005A380000}"/>
    <cellStyle name="40% - Accent3 10 2 2 5 2" xfId="17445" xr:uid="{00000000-0005-0000-0000-00005B380000}"/>
    <cellStyle name="40% - Accent3 10 2 2 5 3" xfId="25389" xr:uid="{00000000-0005-0000-0000-00005C380000}"/>
    <cellStyle name="40% - Accent3 10 2 2 6" xfId="10383" xr:uid="{00000000-0005-0000-0000-00005D380000}"/>
    <cellStyle name="40% - Accent3 10 2 2 7" xfId="18338" xr:uid="{00000000-0005-0000-0000-00005E380000}"/>
    <cellStyle name="40% - Accent3 10 2 2_Exh G" xfId="2935" xr:uid="{00000000-0005-0000-0000-00005F380000}"/>
    <cellStyle name="40% - Accent3 10 2 3" xfId="1462" xr:uid="{00000000-0005-0000-0000-000060380000}"/>
    <cellStyle name="40% - Accent3 10 2 3 2" xfId="4992" xr:uid="{00000000-0005-0000-0000-000061380000}"/>
    <cellStyle name="40% - Accent3 10 2 3 2 2" xfId="8583" xr:uid="{00000000-0005-0000-0000-000062380000}"/>
    <cellStyle name="40% - Accent3 10 2 3 2 2 2" xfId="16554" xr:uid="{00000000-0005-0000-0000-000063380000}"/>
    <cellStyle name="40% - Accent3 10 2 3 2 2 3" xfId="24500" xr:uid="{00000000-0005-0000-0000-000064380000}"/>
    <cellStyle name="40% - Accent3 10 2 3 2 3" xfId="13016" xr:uid="{00000000-0005-0000-0000-000065380000}"/>
    <cellStyle name="40% - Accent3 10 2 3 2 4" xfId="20971" xr:uid="{00000000-0005-0000-0000-000066380000}"/>
    <cellStyle name="40% - Accent3 10 2 3 3" xfId="6824" xr:uid="{00000000-0005-0000-0000-000067380000}"/>
    <cellStyle name="40% - Accent3 10 2 3 3 2" xfId="14796" xr:uid="{00000000-0005-0000-0000-000068380000}"/>
    <cellStyle name="40% - Accent3 10 2 3 3 3" xfId="22743" xr:uid="{00000000-0005-0000-0000-000069380000}"/>
    <cellStyle name="40% - Accent3 10 2 3 4" xfId="11260" xr:uid="{00000000-0005-0000-0000-00006A380000}"/>
    <cellStyle name="40% - Accent3 10 2 3 5" xfId="19215" xr:uid="{00000000-0005-0000-0000-00006B380000}"/>
    <cellStyle name="40% - Accent3 10 2 3_Exh G" xfId="2937" xr:uid="{00000000-0005-0000-0000-00006C380000}"/>
    <cellStyle name="40% - Accent3 10 2 4" xfId="4113" xr:uid="{00000000-0005-0000-0000-00006D380000}"/>
    <cellStyle name="40% - Accent3 10 2 4 2" xfId="7705" xr:uid="{00000000-0005-0000-0000-00006E380000}"/>
    <cellStyle name="40% - Accent3 10 2 4 2 2" xfId="15676" xr:uid="{00000000-0005-0000-0000-00006F380000}"/>
    <cellStyle name="40% - Accent3 10 2 4 2 3" xfId="23622" xr:uid="{00000000-0005-0000-0000-000070380000}"/>
    <cellStyle name="40% - Accent3 10 2 4 3" xfId="12138" xr:uid="{00000000-0005-0000-0000-000071380000}"/>
    <cellStyle name="40% - Accent3 10 2 4 4" xfId="20093" xr:uid="{00000000-0005-0000-0000-000072380000}"/>
    <cellStyle name="40% - Accent3 10 2 5" xfId="5933" xr:uid="{00000000-0005-0000-0000-000073380000}"/>
    <cellStyle name="40% - Accent3 10 2 5 2" xfId="13917" xr:uid="{00000000-0005-0000-0000-000074380000}"/>
    <cellStyle name="40% - Accent3 10 2 5 3" xfId="21865" xr:uid="{00000000-0005-0000-0000-000075380000}"/>
    <cellStyle name="40% - Accent3 10 2 6" xfId="9486" xr:uid="{00000000-0005-0000-0000-000076380000}"/>
    <cellStyle name="40% - Accent3 10 2 6 2" xfId="17444" xr:uid="{00000000-0005-0000-0000-000077380000}"/>
    <cellStyle name="40% - Accent3 10 2 6 3" xfId="25388" xr:uid="{00000000-0005-0000-0000-000078380000}"/>
    <cellStyle name="40% - Accent3 10 2 7" xfId="10382" xr:uid="{00000000-0005-0000-0000-000079380000}"/>
    <cellStyle name="40% - Accent3 10 2 8" xfId="18337" xr:uid="{00000000-0005-0000-0000-00007A380000}"/>
    <cellStyle name="40% - Accent3 10 2_Exh G" xfId="2934" xr:uid="{00000000-0005-0000-0000-00007B380000}"/>
    <cellStyle name="40% - Accent3 10 3" xfId="436" xr:uid="{00000000-0005-0000-0000-00007C380000}"/>
    <cellStyle name="40% - Accent3 10 3 2" xfId="1464" xr:uid="{00000000-0005-0000-0000-00007D380000}"/>
    <cellStyle name="40% - Accent3 10 3 2 2" xfId="4994" xr:uid="{00000000-0005-0000-0000-00007E380000}"/>
    <cellStyle name="40% - Accent3 10 3 2 2 2" xfId="8585" xr:uid="{00000000-0005-0000-0000-00007F380000}"/>
    <cellStyle name="40% - Accent3 10 3 2 2 2 2" xfId="16556" xr:uid="{00000000-0005-0000-0000-000080380000}"/>
    <cellStyle name="40% - Accent3 10 3 2 2 2 3" xfId="24502" xr:uid="{00000000-0005-0000-0000-000081380000}"/>
    <cellStyle name="40% - Accent3 10 3 2 2 3" xfId="13018" xr:uid="{00000000-0005-0000-0000-000082380000}"/>
    <cellStyle name="40% - Accent3 10 3 2 2 4" xfId="20973" xr:uid="{00000000-0005-0000-0000-000083380000}"/>
    <cellStyle name="40% - Accent3 10 3 2 3" xfId="6826" xr:uid="{00000000-0005-0000-0000-000084380000}"/>
    <cellStyle name="40% - Accent3 10 3 2 3 2" xfId="14798" xr:uid="{00000000-0005-0000-0000-000085380000}"/>
    <cellStyle name="40% - Accent3 10 3 2 3 3" xfId="22745" xr:uid="{00000000-0005-0000-0000-000086380000}"/>
    <cellStyle name="40% - Accent3 10 3 2 4" xfId="11262" xr:uid="{00000000-0005-0000-0000-000087380000}"/>
    <cellStyle name="40% - Accent3 10 3 2 5" xfId="19217" xr:uid="{00000000-0005-0000-0000-000088380000}"/>
    <cellStyle name="40% - Accent3 10 3 2_Exh G" xfId="2939" xr:uid="{00000000-0005-0000-0000-000089380000}"/>
    <cellStyle name="40% - Accent3 10 3 3" xfId="4115" xr:uid="{00000000-0005-0000-0000-00008A380000}"/>
    <cellStyle name="40% - Accent3 10 3 3 2" xfId="7707" xr:uid="{00000000-0005-0000-0000-00008B380000}"/>
    <cellStyle name="40% - Accent3 10 3 3 2 2" xfId="15678" xr:uid="{00000000-0005-0000-0000-00008C380000}"/>
    <cellStyle name="40% - Accent3 10 3 3 2 3" xfId="23624" xr:uid="{00000000-0005-0000-0000-00008D380000}"/>
    <cellStyle name="40% - Accent3 10 3 3 3" xfId="12140" xr:uid="{00000000-0005-0000-0000-00008E380000}"/>
    <cellStyle name="40% - Accent3 10 3 3 4" xfId="20095" xr:uid="{00000000-0005-0000-0000-00008F380000}"/>
    <cellStyle name="40% - Accent3 10 3 4" xfId="5935" xr:uid="{00000000-0005-0000-0000-000090380000}"/>
    <cellStyle name="40% - Accent3 10 3 4 2" xfId="13919" xr:uid="{00000000-0005-0000-0000-000091380000}"/>
    <cellStyle name="40% - Accent3 10 3 4 3" xfId="21867" xr:uid="{00000000-0005-0000-0000-000092380000}"/>
    <cellStyle name="40% - Accent3 10 3 5" xfId="9488" xr:uid="{00000000-0005-0000-0000-000093380000}"/>
    <cellStyle name="40% - Accent3 10 3 5 2" xfId="17446" xr:uid="{00000000-0005-0000-0000-000094380000}"/>
    <cellStyle name="40% - Accent3 10 3 5 3" xfId="25390" xr:uid="{00000000-0005-0000-0000-000095380000}"/>
    <cellStyle name="40% - Accent3 10 3 6" xfId="10384" xr:uid="{00000000-0005-0000-0000-000096380000}"/>
    <cellStyle name="40% - Accent3 10 3 7" xfId="18339" xr:uid="{00000000-0005-0000-0000-000097380000}"/>
    <cellStyle name="40% - Accent3 10 3_Exh G" xfId="2938" xr:uid="{00000000-0005-0000-0000-000098380000}"/>
    <cellStyle name="40% - Accent3 10 4" xfId="958" xr:uid="{00000000-0005-0000-0000-000099380000}"/>
    <cellStyle name="40% - Accent3 10 5" xfId="1461" xr:uid="{00000000-0005-0000-0000-00009A380000}"/>
    <cellStyle name="40% - Accent3 10 5 2" xfId="4991" xr:uid="{00000000-0005-0000-0000-00009B380000}"/>
    <cellStyle name="40% - Accent3 10 5 2 2" xfId="8582" xr:uid="{00000000-0005-0000-0000-00009C380000}"/>
    <cellStyle name="40% - Accent3 10 5 2 2 2" xfId="16553" xr:uid="{00000000-0005-0000-0000-00009D380000}"/>
    <cellStyle name="40% - Accent3 10 5 2 2 3" xfId="24499" xr:uid="{00000000-0005-0000-0000-00009E380000}"/>
    <cellStyle name="40% - Accent3 10 5 2 3" xfId="13015" xr:uid="{00000000-0005-0000-0000-00009F380000}"/>
    <cellStyle name="40% - Accent3 10 5 2 4" xfId="20970" xr:uid="{00000000-0005-0000-0000-0000A0380000}"/>
    <cellStyle name="40% - Accent3 10 5 3" xfId="6823" xr:uid="{00000000-0005-0000-0000-0000A1380000}"/>
    <cellStyle name="40% - Accent3 10 5 3 2" xfId="14795" xr:uid="{00000000-0005-0000-0000-0000A2380000}"/>
    <cellStyle name="40% - Accent3 10 5 3 3" xfId="22742" xr:uid="{00000000-0005-0000-0000-0000A3380000}"/>
    <cellStyle name="40% - Accent3 10 5 4" xfId="11259" xr:uid="{00000000-0005-0000-0000-0000A4380000}"/>
    <cellStyle name="40% - Accent3 10 5 5" xfId="19214" xr:uid="{00000000-0005-0000-0000-0000A5380000}"/>
    <cellStyle name="40% - Accent3 10 5_Exh G" xfId="2940" xr:uid="{00000000-0005-0000-0000-0000A6380000}"/>
    <cellStyle name="40% - Accent3 10 6" xfId="4112" xr:uid="{00000000-0005-0000-0000-0000A7380000}"/>
    <cellStyle name="40% - Accent3 10 6 2" xfId="7704" xr:uid="{00000000-0005-0000-0000-0000A8380000}"/>
    <cellStyle name="40% - Accent3 10 6 2 2" xfId="15675" xr:uid="{00000000-0005-0000-0000-0000A9380000}"/>
    <cellStyle name="40% - Accent3 10 6 2 3" xfId="23621" xr:uid="{00000000-0005-0000-0000-0000AA380000}"/>
    <cellStyle name="40% - Accent3 10 6 3" xfId="12137" xr:uid="{00000000-0005-0000-0000-0000AB380000}"/>
    <cellStyle name="40% - Accent3 10 6 4" xfId="20092" xr:uid="{00000000-0005-0000-0000-0000AC380000}"/>
    <cellStyle name="40% - Accent3 10 7" xfId="5932" xr:uid="{00000000-0005-0000-0000-0000AD380000}"/>
    <cellStyle name="40% - Accent3 10 7 2" xfId="13916" xr:uid="{00000000-0005-0000-0000-0000AE380000}"/>
    <cellStyle name="40% - Accent3 10 7 3" xfId="21864" xr:uid="{00000000-0005-0000-0000-0000AF380000}"/>
    <cellStyle name="40% - Accent3 10 8" xfId="9485" xr:uid="{00000000-0005-0000-0000-0000B0380000}"/>
    <cellStyle name="40% - Accent3 10 8 2" xfId="17443" xr:uid="{00000000-0005-0000-0000-0000B1380000}"/>
    <cellStyle name="40% - Accent3 10 8 3" xfId="25387" xr:uid="{00000000-0005-0000-0000-0000B2380000}"/>
    <cellStyle name="40% - Accent3 10 9" xfId="10381" xr:uid="{00000000-0005-0000-0000-0000B3380000}"/>
    <cellStyle name="40% - Accent3 10_Exh G" xfId="2933" xr:uid="{00000000-0005-0000-0000-0000B4380000}"/>
    <cellStyle name="40% - Accent3 11" xfId="437" xr:uid="{00000000-0005-0000-0000-0000B5380000}"/>
    <cellStyle name="40% - Accent3 11 2" xfId="438" xr:uid="{00000000-0005-0000-0000-0000B6380000}"/>
    <cellStyle name="40% - Accent3 11 2 2" xfId="439" xr:uid="{00000000-0005-0000-0000-0000B7380000}"/>
    <cellStyle name="40% - Accent3 11 2 2 2" xfId="1467" xr:uid="{00000000-0005-0000-0000-0000B8380000}"/>
    <cellStyle name="40% - Accent3 11 2 2 2 2" xfId="4997" xr:uid="{00000000-0005-0000-0000-0000B9380000}"/>
    <cellStyle name="40% - Accent3 11 2 2 2 2 2" xfId="8588" xr:uid="{00000000-0005-0000-0000-0000BA380000}"/>
    <cellStyle name="40% - Accent3 11 2 2 2 2 2 2" xfId="16559" xr:uid="{00000000-0005-0000-0000-0000BB380000}"/>
    <cellStyle name="40% - Accent3 11 2 2 2 2 2 3" xfId="24505" xr:uid="{00000000-0005-0000-0000-0000BC380000}"/>
    <cellStyle name="40% - Accent3 11 2 2 2 2 3" xfId="13021" xr:uid="{00000000-0005-0000-0000-0000BD380000}"/>
    <cellStyle name="40% - Accent3 11 2 2 2 2 4" xfId="20976" xr:uid="{00000000-0005-0000-0000-0000BE380000}"/>
    <cellStyle name="40% - Accent3 11 2 2 2 3" xfId="6829" xr:uid="{00000000-0005-0000-0000-0000BF380000}"/>
    <cellStyle name="40% - Accent3 11 2 2 2 3 2" xfId="14801" xr:uid="{00000000-0005-0000-0000-0000C0380000}"/>
    <cellStyle name="40% - Accent3 11 2 2 2 3 3" xfId="22748" xr:uid="{00000000-0005-0000-0000-0000C1380000}"/>
    <cellStyle name="40% - Accent3 11 2 2 2 4" xfId="11265" xr:uid="{00000000-0005-0000-0000-0000C2380000}"/>
    <cellStyle name="40% - Accent3 11 2 2 2 5" xfId="19220" xr:uid="{00000000-0005-0000-0000-0000C3380000}"/>
    <cellStyle name="40% - Accent3 11 2 2 2_Exh G" xfId="2944" xr:uid="{00000000-0005-0000-0000-0000C4380000}"/>
    <cellStyle name="40% - Accent3 11 2 2 3" xfId="4118" xr:uid="{00000000-0005-0000-0000-0000C5380000}"/>
    <cellStyle name="40% - Accent3 11 2 2 3 2" xfId="7710" xr:uid="{00000000-0005-0000-0000-0000C6380000}"/>
    <cellStyle name="40% - Accent3 11 2 2 3 2 2" xfId="15681" xr:uid="{00000000-0005-0000-0000-0000C7380000}"/>
    <cellStyle name="40% - Accent3 11 2 2 3 2 3" xfId="23627" xr:uid="{00000000-0005-0000-0000-0000C8380000}"/>
    <cellStyle name="40% - Accent3 11 2 2 3 3" xfId="12143" xr:uid="{00000000-0005-0000-0000-0000C9380000}"/>
    <cellStyle name="40% - Accent3 11 2 2 3 4" xfId="20098" xr:uid="{00000000-0005-0000-0000-0000CA380000}"/>
    <cellStyle name="40% - Accent3 11 2 2 4" xfId="5938" xr:uid="{00000000-0005-0000-0000-0000CB380000}"/>
    <cellStyle name="40% - Accent3 11 2 2 4 2" xfId="13922" xr:uid="{00000000-0005-0000-0000-0000CC380000}"/>
    <cellStyle name="40% - Accent3 11 2 2 4 3" xfId="21870" xr:uid="{00000000-0005-0000-0000-0000CD380000}"/>
    <cellStyle name="40% - Accent3 11 2 2 5" xfId="9491" xr:uid="{00000000-0005-0000-0000-0000CE380000}"/>
    <cellStyle name="40% - Accent3 11 2 2 5 2" xfId="17449" xr:uid="{00000000-0005-0000-0000-0000CF380000}"/>
    <cellStyle name="40% - Accent3 11 2 2 5 3" xfId="25393" xr:uid="{00000000-0005-0000-0000-0000D0380000}"/>
    <cellStyle name="40% - Accent3 11 2 2 6" xfId="10387" xr:uid="{00000000-0005-0000-0000-0000D1380000}"/>
    <cellStyle name="40% - Accent3 11 2 2 7" xfId="18342" xr:uid="{00000000-0005-0000-0000-0000D2380000}"/>
    <cellStyle name="40% - Accent3 11 2 2_Exh G" xfId="2943" xr:uid="{00000000-0005-0000-0000-0000D3380000}"/>
    <cellStyle name="40% - Accent3 11 2 3" xfId="1466" xr:uid="{00000000-0005-0000-0000-0000D4380000}"/>
    <cellStyle name="40% - Accent3 11 2 3 2" xfId="4996" xr:uid="{00000000-0005-0000-0000-0000D5380000}"/>
    <cellStyle name="40% - Accent3 11 2 3 2 2" xfId="8587" xr:uid="{00000000-0005-0000-0000-0000D6380000}"/>
    <cellStyle name="40% - Accent3 11 2 3 2 2 2" xfId="16558" xr:uid="{00000000-0005-0000-0000-0000D7380000}"/>
    <cellStyle name="40% - Accent3 11 2 3 2 2 3" xfId="24504" xr:uid="{00000000-0005-0000-0000-0000D8380000}"/>
    <cellStyle name="40% - Accent3 11 2 3 2 3" xfId="13020" xr:uid="{00000000-0005-0000-0000-0000D9380000}"/>
    <cellStyle name="40% - Accent3 11 2 3 2 4" xfId="20975" xr:uid="{00000000-0005-0000-0000-0000DA380000}"/>
    <cellStyle name="40% - Accent3 11 2 3 3" xfId="6828" xr:uid="{00000000-0005-0000-0000-0000DB380000}"/>
    <cellStyle name="40% - Accent3 11 2 3 3 2" xfId="14800" xr:uid="{00000000-0005-0000-0000-0000DC380000}"/>
    <cellStyle name="40% - Accent3 11 2 3 3 3" xfId="22747" xr:uid="{00000000-0005-0000-0000-0000DD380000}"/>
    <cellStyle name="40% - Accent3 11 2 3 4" xfId="11264" xr:uid="{00000000-0005-0000-0000-0000DE380000}"/>
    <cellStyle name="40% - Accent3 11 2 3 5" xfId="19219" xr:uid="{00000000-0005-0000-0000-0000DF380000}"/>
    <cellStyle name="40% - Accent3 11 2 3_Exh G" xfId="2945" xr:uid="{00000000-0005-0000-0000-0000E0380000}"/>
    <cellStyle name="40% - Accent3 11 2 4" xfId="4117" xr:uid="{00000000-0005-0000-0000-0000E1380000}"/>
    <cellStyle name="40% - Accent3 11 2 4 2" xfId="7709" xr:uid="{00000000-0005-0000-0000-0000E2380000}"/>
    <cellStyle name="40% - Accent3 11 2 4 2 2" xfId="15680" xr:uid="{00000000-0005-0000-0000-0000E3380000}"/>
    <cellStyle name="40% - Accent3 11 2 4 2 3" xfId="23626" xr:uid="{00000000-0005-0000-0000-0000E4380000}"/>
    <cellStyle name="40% - Accent3 11 2 4 3" xfId="12142" xr:uid="{00000000-0005-0000-0000-0000E5380000}"/>
    <cellStyle name="40% - Accent3 11 2 4 4" xfId="20097" xr:uid="{00000000-0005-0000-0000-0000E6380000}"/>
    <cellStyle name="40% - Accent3 11 2 5" xfId="5937" xr:uid="{00000000-0005-0000-0000-0000E7380000}"/>
    <cellStyle name="40% - Accent3 11 2 5 2" xfId="13921" xr:uid="{00000000-0005-0000-0000-0000E8380000}"/>
    <cellStyle name="40% - Accent3 11 2 5 3" xfId="21869" xr:uid="{00000000-0005-0000-0000-0000E9380000}"/>
    <cellStyle name="40% - Accent3 11 2 6" xfId="9490" xr:uid="{00000000-0005-0000-0000-0000EA380000}"/>
    <cellStyle name="40% - Accent3 11 2 6 2" xfId="17448" xr:uid="{00000000-0005-0000-0000-0000EB380000}"/>
    <cellStyle name="40% - Accent3 11 2 6 3" xfId="25392" xr:uid="{00000000-0005-0000-0000-0000EC380000}"/>
    <cellStyle name="40% - Accent3 11 2 7" xfId="10386" xr:uid="{00000000-0005-0000-0000-0000ED380000}"/>
    <cellStyle name="40% - Accent3 11 2 8" xfId="18341" xr:uid="{00000000-0005-0000-0000-0000EE380000}"/>
    <cellStyle name="40% - Accent3 11 2_Exh G" xfId="2942" xr:uid="{00000000-0005-0000-0000-0000EF380000}"/>
    <cellStyle name="40% - Accent3 11 3" xfId="440" xr:uid="{00000000-0005-0000-0000-0000F0380000}"/>
    <cellStyle name="40% - Accent3 11 3 2" xfId="1468" xr:uid="{00000000-0005-0000-0000-0000F1380000}"/>
    <cellStyle name="40% - Accent3 11 3 2 2" xfId="4998" xr:uid="{00000000-0005-0000-0000-0000F2380000}"/>
    <cellStyle name="40% - Accent3 11 3 2 2 2" xfId="8589" xr:uid="{00000000-0005-0000-0000-0000F3380000}"/>
    <cellStyle name="40% - Accent3 11 3 2 2 2 2" xfId="16560" xr:uid="{00000000-0005-0000-0000-0000F4380000}"/>
    <cellStyle name="40% - Accent3 11 3 2 2 2 3" xfId="24506" xr:uid="{00000000-0005-0000-0000-0000F5380000}"/>
    <cellStyle name="40% - Accent3 11 3 2 2 3" xfId="13022" xr:uid="{00000000-0005-0000-0000-0000F6380000}"/>
    <cellStyle name="40% - Accent3 11 3 2 2 4" xfId="20977" xr:uid="{00000000-0005-0000-0000-0000F7380000}"/>
    <cellStyle name="40% - Accent3 11 3 2 3" xfId="6830" xr:uid="{00000000-0005-0000-0000-0000F8380000}"/>
    <cellStyle name="40% - Accent3 11 3 2 3 2" xfId="14802" xr:uid="{00000000-0005-0000-0000-0000F9380000}"/>
    <cellStyle name="40% - Accent3 11 3 2 3 3" xfId="22749" xr:uid="{00000000-0005-0000-0000-0000FA380000}"/>
    <cellStyle name="40% - Accent3 11 3 2 4" xfId="11266" xr:uid="{00000000-0005-0000-0000-0000FB380000}"/>
    <cellStyle name="40% - Accent3 11 3 2 5" xfId="19221" xr:uid="{00000000-0005-0000-0000-0000FC380000}"/>
    <cellStyle name="40% - Accent3 11 3 2_Exh G" xfId="2947" xr:uid="{00000000-0005-0000-0000-0000FD380000}"/>
    <cellStyle name="40% - Accent3 11 3 3" xfId="4119" xr:uid="{00000000-0005-0000-0000-0000FE380000}"/>
    <cellStyle name="40% - Accent3 11 3 3 2" xfId="7711" xr:uid="{00000000-0005-0000-0000-0000FF380000}"/>
    <cellStyle name="40% - Accent3 11 3 3 2 2" xfId="15682" xr:uid="{00000000-0005-0000-0000-000000390000}"/>
    <cellStyle name="40% - Accent3 11 3 3 2 3" xfId="23628" xr:uid="{00000000-0005-0000-0000-000001390000}"/>
    <cellStyle name="40% - Accent3 11 3 3 3" xfId="12144" xr:uid="{00000000-0005-0000-0000-000002390000}"/>
    <cellStyle name="40% - Accent3 11 3 3 4" xfId="20099" xr:uid="{00000000-0005-0000-0000-000003390000}"/>
    <cellStyle name="40% - Accent3 11 3 4" xfId="5939" xr:uid="{00000000-0005-0000-0000-000004390000}"/>
    <cellStyle name="40% - Accent3 11 3 4 2" xfId="13923" xr:uid="{00000000-0005-0000-0000-000005390000}"/>
    <cellStyle name="40% - Accent3 11 3 4 3" xfId="21871" xr:uid="{00000000-0005-0000-0000-000006390000}"/>
    <cellStyle name="40% - Accent3 11 3 5" xfId="9492" xr:uid="{00000000-0005-0000-0000-000007390000}"/>
    <cellStyle name="40% - Accent3 11 3 5 2" xfId="17450" xr:uid="{00000000-0005-0000-0000-000008390000}"/>
    <cellStyle name="40% - Accent3 11 3 5 3" xfId="25394" xr:uid="{00000000-0005-0000-0000-000009390000}"/>
    <cellStyle name="40% - Accent3 11 3 6" xfId="10388" xr:uid="{00000000-0005-0000-0000-00000A390000}"/>
    <cellStyle name="40% - Accent3 11 3 7" xfId="18343" xr:uid="{00000000-0005-0000-0000-00000B390000}"/>
    <cellStyle name="40% - Accent3 11 3_Exh G" xfId="2946" xr:uid="{00000000-0005-0000-0000-00000C390000}"/>
    <cellStyle name="40% - Accent3 11 4" xfId="1465" xr:uid="{00000000-0005-0000-0000-00000D390000}"/>
    <cellStyle name="40% - Accent3 11 4 2" xfId="4995" xr:uid="{00000000-0005-0000-0000-00000E390000}"/>
    <cellStyle name="40% - Accent3 11 4 2 2" xfId="8586" xr:uid="{00000000-0005-0000-0000-00000F390000}"/>
    <cellStyle name="40% - Accent3 11 4 2 2 2" xfId="16557" xr:uid="{00000000-0005-0000-0000-000010390000}"/>
    <cellStyle name="40% - Accent3 11 4 2 2 3" xfId="24503" xr:uid="{00000000-0005-0000-0000-000011390000}"/>
    <cellStyle name="40% - Accent3 11 4 2 3" xfId="13019" xr:uid="{00000000-0005-0000-0000-000012390000}"/>
    <cellStyle name="40% - Accent3 11 4 2 4" xfId="20974" xr:uid="{00000000-0005-0000-0000-000013390000}"/>
    <cellStyle name="40% - Accent3 11 4 3" xfId="6827" xr:uid="{00000000-0005-0000-0000-000014390000}"/>
    <cellStyle name="40% - Accent3 11 4 3 2" xfId="14799" xr:uid="{00000000-0005-0000-0000-000015390000}"/>
    <cellStyle name="40% - Accent3 11 4 3 3" xfId="22746" xr:uid="{00000000-0005-0000-0000-000016390000}"/>
    <cellStyle name="40% - Accent3 11 4 4" xfId="11263" xr:uid="{00000000-0005-0000-0000-000017390000}"/>
    <cellStyle name="40% - Accent3 11 4 5" xfId="19218" xr:uid="{00000000-0005-0000-0000-000018390000}"/>
    <cellStyle name="40% - Accent3 11 4_Exh G" xfId="2948" xr:uid="{00000000-0005-0000-0000-000019390000}"/>
    <cellStyle name="40% - Accent3 11 5" xfId="4116" xr:uid="{00000000-0005-0000-0000-00001A390000}"/>
    <cellStyle name="40% - Accent3 11 5 2" xfId="7708" xr:uid="{00000000-0005-0000-0000-00001B390000}"/>
    <cellStyle name="40% - Accent3 11 5 2 2" xfId="15679" xr:uid="{00000000-0005-0000-0000-00001C390000}"/>
    <cellStyle name="40% - Accent3 11 5 2 3" xfId="23625" xr:uid="{00000000-0005-0000-0000-00001D390000}"/>
    <cellStyle name="40% - Accent3 11 5 3" xfId="12141" xr:uid="{00000000-0005-0000-0000-00001E390000}"/>
    <cellStyle name="40% - Accent3 11 5 4" xfId="20096" xr:uid="{00000000-0005-0000-0000-00001F390000}"/>
    <cellStyle name="40% - Accent3 11 6" xfId="5936" xr:uid="{00000000-0005-0000-0000-000020390000}"/>
    <cellStyle name="40% - Accent3 11 6 2" xfId="13920" xr:uid="{00000000-0005-0000-0000-000021390000}"/>
    <cellStyle name="40% - Accent3 11 6 3" xfId="21868" xr:uid="{00000000-0005-0000-0000-000022390000}"/>
    <cellStyle name="40% - Accent3 11 7" xfId="9489" xr:uid="{00000000-0005-0000-0000-000023390000}"/>
    <cellStyle name="40% - Accent3 11 7 2" xfId="17447" xr:uid="{00000000-0005-0000-0000-000024390000}"/>
    <cellStyle name="40% - Accent3 11 7 3" xfId="25391" xr:uid="{00000000-0005-0000-0000-000025390000}"/>
    <cellStyle name="40% - Accent3 11 8" xfId="10385" xr:uid="{00000000-0005-0000-0000-000026390000}"/>
    <cellStyle name="40% - Accent3 11 9" xfId="18340" xr:uid="{00000000-0005-0000-0000-000027390000}"/>
    <cellStyle name="40% - Accent3 11_Exh G" xfId="2941" xr:uid="{00000000-0005-0000-0000-000028390000}"/>
    <cellStyle name="40% - Accent3 12" xfId="441" xr:uid="{00000000-0005-0000-0000-000029390000}"/>
    <cellStyle name="40% - Accent3 12 2" xfId="442" xr:uid="{00000000-0005-0000-0000-00002A390000}"/>
    <cellStyle name="40% - Accent3 12 2 2" xfId="443" xr:uid="{00000000-0005-0000-0000-00002B390000}"/>
    <cellStyle name="40% - Accent3 12 2 2 2" xfId="1471" xr:uid="{00000000-0005-0000-0000-00002C390000}"/>
    <cellStyle name="40% - Accent3 12 2 2 2 2" xfId="5001" xr:uid="{00000000-0005-0000-0000-00002D390000}"/>
    <cellStyle name="40% - Accent3 12 2 2 2 2 2" xfId="8592" xr:uid="{00000000-0005-0000-0000-00002E390000}"/>
    <cellStyle name="40% - Accent3 12 2 2 2 2 2 2" xfId="16563" xr:uid="{00000000-0005-0000-0000-00002F390000}"/>
    <cellStyle name="40% - Accent3 12 2 2 2 2 2 3" xfId="24509" xr:uid="{00000000-0005-0000-0000-000030390000}"/>
    <cellStyle name="40% - Accent3 12 2 2 2 2 3" xfId="13025" xr:uid="{00000000-0005-0000-0000-000031390000}"/>
    <cellStyle name="40% - Accent3 12 2 2 2 2 4" xfId="20980" xr:uid="{00000000-0005-0000-0000-000032390000}"/>
    <cellStyle name="40% - Accent3 12 2 2 2 3" xfId="6833" xr:uid="{00000000-0005-0000-0000-000033390000}"/>
    <cellStyle name="40% - Accent3 12 2 2 2 3 2" xfId="14805" xr:uid="{00000000-0005-0000-0000-000034390000}"/>
    <cellStyle name="40% - Accent3 12 2 2 2 3 3" xfId="22752" xr:uid="{00000000-0005-0000-0000-000035390000}"/>
    <cellStyle name="40% - Accent3 12 2 2 2 4" xfId="11269" xr:uid="{00000000-0005-0000-0000-000036390000}"/>
    <cellStyle name="40% - Accent3 12 2 2 2 5" xfId="19224" xr:uid="{00000000-0005-0000-0000-000037390000}"/>
    <cellStyle name="40% - Accent3 12 2 2 2_Exh G" xfId="2952" xr:uid="{00000000-0005-0000-0000-000038390000}"/>
    <cellStyle name="40% - Accent3 12 2 2 3" xfId="4122" xr:uid="{00000000-0005-0000-0000-000039390000}"/>
    <cellStyle name="40% - Accent3 12 2 2 3 2" xfId="7714" xr:uid="{00000000-0005-0000-0000-00003A390000}"/>
    <cellStyle name="40% - Accent3 12 2 2 3 2 2" xfId="15685" xr:uid="{00000000-0005-0000-0000-00003B390000}"/>
    <cellStyle name="40% - Accent3 12 2 2 3 2 3" xfId="23631" xr:uid="{00000000-0005-0000-0000-00003C390000}"/>
    <cellStyle name="40% - Accent3 12 2 2 3 3" xfId="12147" xr:uid="{00000000-0005-0000-0000-00003D390000}"/>
    <cellStyle name="40% - Accent3 12 2 2 3 4" xfId="20102" xr:uid="{00000000-0005-0000-0000-00003E390000}"/>
    <cellStyle name="40% - Accent3 12 2 2 4" xfId="5942" xr:uid="{00000000-0005-0000-0000-00003F390000}"/>
    <cellStyle name="40% - Accent3 12 2 2 4 2" xfId="13926" xr:uid="{00000000-0005-0000-0000-000040390000}"/>
    <cellStyle name="40% - Accent3 12 2 2 4 3" xfId="21874" xr:uid="{00000000-0005-0000-0000-000041390000}"/>
    <cellStyle name="40% - Accent3 12 2 2 5" xfId="9495" xr:uid="{00000000-0005-0000-0000-000042390000}"/>
    <cellStyle name="40% - Accent3 12 2 2 5 2" xfId="17453" xr:uid="{00000000-0005-0000-0000-000043390000}"/>
    <cellStyle name="40% - Accent3 12 2 2 5 3" xfId="25397" xr:uid="{00000000-0005-0000-0000-000044390000}"/>
    <cellStyle name="40% - Accent3 12 2 2 6" xfId="10391" xr:uid="{00000000-0005-0000-0000-000045390000}"/>
    <cellStyle name="40% - Accent3 12 2 2 7" xfId="18346" xr:uid="{00000000-0005-0000-0000-000046390000}"/>
    <cellStyle name="40% - Accent3 12 2 2_Exh G" xfId="2951" xr:uid="{00000000-0005-0000-0000-000047390000}"/>
    <cellStyle name="40% - Accent3 12 2 3" xfId="1470" xr:uid="{00000000-0005-0000-0000-000048390000}"/>
    <cellStyle name="40% - Accent3 12 2 3 2" xfId="5000" xr:uid="{00000000-0005-0000-0000-000049390000}"/>
    <cellStyle name="40% - Accent3 12 2 3 2 2" xfId="8591" xr:uid="{00000000-0005-0000-0000-00004A390000}"/>
    <cellStyle name="40% - Accent3 12 2 3 2 2 2" xfId="16562" xr:uid="{00000000-0005-0000-0000-00004B390000}"/>
    <cellStyle name="40% - Accent3 12 2 3 2 2 3" xfId="24508" xr:uid="{00000000-0005-0000-0000-00004C390000}"/>
    <cellStyle name="40% - Accent3 12 2 3 2 3" xfId="13024" xr:uid="{00000000-0005-0000-0000-00004D390000}"/>
    <cellStyle name="40% - Accent3 12 2 3 2 4" xfId="20979" xr:uid="{00000000-0005-0000-0000-00004E390000}"/>
    <cellStyle name="40% - Accent3 12 2 3 3" xfId="6832" xr:uid="{00000000-0005-0000-0000-00004F390000}"/>
    <cellStyle name="40% - Accent3 12 2 3 3 2" xfId="14804" xr:uid="{00000000-0005-0000-0000-000050390000}"/>
    <cellStyle name="40% - Accent3 12 2 3 3 3" xfId="22751" xr:uid="{00000000-0005-0000-0000-000051390000}"/>
    <cellStyle name="40% - Accent3 12 2 3 4" xfId="11268" xr:uid="{00000000-0005-0000-0000-000052390000}"/>
    <cellStyle name="40% - Accent3 12 2 3 5" xfId="19223" xr:uid="{00000000-0005-0000-0000-000053390000}"/>
    <cellStyle name="40% - Accent3 12 2 3_Exh G" xfId="2953" xr:uid="{00000000-0005-0000-0000-000054390000}"/>
    <cellStyle name="40% - Accent3 12 2 4" xfId="4121" xr:uid="{00000000-0005-0000-0000-000055390000}"/>
    <cellStyle name="40% - Accent3 12 2 4 2" xfId="7713" xr:uid="{00000000-0005-0000-0000-000056390000}"/>
    <cellStyle name="40% - Accent3 12 2 4 2 2" xfId="15684" xr:uid="{00000000-0005-0000-0000-000057390000}"/>
    <cellStyle name="40% - Accent3 12 2 4 2 3" xfId="23630" xr:uid="{00000000-0005-0000-0000-000058390000}"/>
    <cellStyle name="40% - Accent3 12 2 4 3" xfId="12146" xr:uid="{00000000-0005-0000-0000-000059390000}"/>
    <cellStyle name="40% - Accent3 12 2 4 4" xfId="20101" xr:uid="{00000000-0005-0000-0000-00005A390000}"/>
    <cellStyle name="40% - Accent3 12 2 5" xfId="5941" xr:uid="{00000000-0005-0000-0000-00005B390000}"/>
    <cellStyle name="40% - Accent3 12 2 5 2" xfId="13925" xr:uid="{00000000-0005-0000-0000-00005C390000}"/>
    <cellStyle name="40% - Accent3 12 2 5 3" xfId="21873" xr:uid="{00000000-0005-0000-0000-00005D390000}"/>
    <cellStyle name="40% - Accent3 12 2 6" xfId="9494" xr:uid="{00000000-0005-0000-0000-00005E390000}"/>
    <cellStyle name="40% - Accent3 12 2 6 2" xfId="17452" xr:uid="{00000000-0005-0000-0000-00005F390000}"/>
    <cellStyle name="40% - Accent3 12 2 6 3" xfId="25396" xr:uid="{00000000-0005-0000-0000-000060390000}"/>
    <cellStyle name="40% - Accent3 12 2 7" xfId="10390" xr:uid="{00000000-0005-0000-0000-000061390000}"/>
    <cellStyle name="40% - Accent3 12 2 8" xfId="18345" xr:uid="{00000000-0005-0000-0000-000062390000}"/>
    <cellStyle name="40% - Accent3 12 2_Exh G" xfId="2950" xr:uid="{00000000-0005-0000-0000-000063390000}"/>
    <cellStyle name="40% - Accent3 12 3" xfId="444" xr:uid="{00000000-0005-0000-0000-000064390000}"/>
    <cellStyle name="40% - Accent3 12 3 2" xfId="1472" xr:uid="{00000000-0005-0000-0000-000065390000}"/>
    <cellStyle name="40% - Accent3 12 3 2 2" xfId="5002" xr:uid="{00000000-0005-0000-0000-000066390000}"/>
    <cellStyle name="40% - Accent3 12 3 2 2 2" xfId="8593" xr:uid="{00000000-0005-0000-0000-000067390000}"/>
    <cellStyle name="40% - Accent3 12 3 2 2 2 2" xfId="16564" xr:uid="{00000000-0005-0000-0000-000068390000}"/>
    <cellStyle name="40% - Accent3 12 3 2 2 2 3" xfId="24510" xr:uid="{00000000-0005-0000-0000-000069390000}"/>
    <cellStyle name="40% - Accent3 12 3 2 2 3" xfId="13026" xr:uid="{00000000-0005-0000-0000-00006A390000}"/>
    <cellStyle name="40% - Accent3 12 3 2 2 4" xfId="20981" xr:uid="{00000000-0005-0000-0000-00006B390000}"/>
    <cellStyle name="40% - Accent3 12 3 2 3" xfId="6834" xr:uid="{00000000-0005-0000-0000-00006C390000}"/>
    <cellStyle name="40% - Accent3 12 3 2 3 2" xfId="14806" xr:uid="{00000000-0005-0000-0000-00006D390000}"/>
    <cellStyle name="40% - Accent3 12 3 2 3 3" xfId="22753" xr:uid="{00000000-0005-0000-0000-00006E390000}"/>
    <cellStyle name="40% - Accent3 12 3 2 4" xfId="11270" xr:uid="{00000000-0005-0000-0000-00006F390000}"/>
    <cellStyle name="40% - Accent3 12 3 2 5" xfId="19225" xr:uid="{00000000-0005-0000-0000-000070390000}"/>
    <cellStyle name="40% - Accent3 12 3 2_Exh G" xfId="2955" xr:uid="{00000000-0005-0000-0000-000071390000}"/>
    <cellStyle name="40% - Accent3 12 3 3" xfId="4123" xr:uid="{00000000-0005-0000-0000-000072390000}"/>
    <cellStyle name="40% - Accent3 12 3 3 2" xfId="7715" xr:uid="{00000000-0005-0000-0000-000073390000}"/>
    <cellStyle name="40% - Accent3 12 3 3 2 2" xfId="15686" xr:uid="{00000000-0005-0000-0000-000074390000}"/>
    <cellStyle name="40% - Accent3 12 3 3 2 3" xfId="23632" xr:uid="{00000000-0005-0000-0000-000075390000}"/>
    <cellStyle name="40% - Accent3 12 3 3 3" xfId="12148" xr:uid="{00000000-0005-0000-0000-000076390000}"/>
    <cellStyle name="40% - Accent3 12 3 3 4" xfId="20103" xr:uid="{00000000-0005-0000-0000-000077390000}"/>
    <cellStyle name="40% - Accent3 12 3 4" xfId="5943" xr:uid="{00000000-0005-0000-0000-000078390000}"/>
    <cellStyle name="40% - Accent3 12 3 4 2" xfId="13927" xr:uid="{00000000-0005-0000-0000-000079390000}"/>
    <cellStyle name="40% - Accent3 12 3 4 3" xfId="21875" xr:uid="{00000000-0005-0000-0000-00007A390000}"/>
    <cellStyle name="40% - Accent3 12 3 5" xfId="9496" xr:uid="{00000000-0005-0000-0000-00007B390000}"/>
    <cellStyle name="40% - Accent3 12 3 5 2" xfId="17454" xr:uid="{00000000-0005-0000-0000-00007C390000}"/>
    <cellStyle name="40% - Accent3 12 3 5 3" xfId="25398" xr:uid="{00000000-0005-0000-0000-00007D390000}"/>
    <cellStyle name="40% - Accent3 12 3 6" xfId="10392" xr:uid="{00000000-0005-0000-0000-00007E390000}"/>
    <cellStyle name="40% - Accent3 12 3 7" xfId="18347" xr:uid="{00000000-0005-0000-0000-00007F390000}"/>
    <cellStyle name="40% - Accent3 12 3_Exh G" xfId="2954" xr:uid="{00000000-0005-0000-0000-000080390000}"/>
    <cellStyle name="40% - Accent3 12 4" xfId="1469" xr:uid="{00000000-0005-0000-0000-000081390000}"/>
    <cellStyle name="40% - Accent3 12 4 2" xfId="4999" xr:uid="{00000000-0005-0000-0000-000082390000}"/>
    <cellStyle name="40% - Accent3 12 4 2 2" xfId="8590" xr:uid="{00000000-0005-0000-0000-000083390000}"/>
    <cellStyle name="40% - Accent3 12 4 2 2 2" xfId="16561" xr:uid="{00000000-0005-0000-0000-000084390000}"/>
    <cellStyle name="40% - Accent3 12 4 2 2 3" xfId="24507" xr:uid="{00000000-0005-0000-0000-000085390000}"/>
    <cellStyle name="40% - Accent3 12 4 2 3" xfId="13023" xr:uid="{00000000-0005-0000-0000-000086390000}"/>
    <cellStyle name="40% - Accent3 12 4 2 4" xfId="20978" xr:uid="{00000000-0005-0000-0000-000087390000}"/>
    <cellStyle name="40% - Accent3 12 4 3" xfId="6831" xr:uid="{00000000-0005-0000-0000-000088390000}"/>
    <cellStyle name="40% - Accent3 12 4 3 2" xfId="14803" xr:uid="{00000000-0005-0000-0000-000089390000}"/>
    <cellStyle name="40% - Accent3 12 4 3 3" xfId="22750" xr:uid="{00000000-0005-0000-0000-00008A390000}"/>
    <cellStyle name="40% - Accent3 12 4 4" xfId="11267" xr:uid="{00000000-0005-0000-0000-00008B390000}"/>
    <cellStyle name="40% - Accent3 12 4 5" xfId="19222" xr:uid="{00000000-0005-0000-0000-00008C390000}"/>
    <cellStyle name="40% - Accent3 12 4_Exh G" xfId="2956" xr:uid="{00000000-0005-0000-0000-00008D390000}"/>
    <cellStyle name="40% - Accent3 12 5" xfId="4120" xr:uid="{00000000-0005-0000-0000-00008E390000}"/>
    <cellStyle name="40% - Accent3 12 5 2" xfId="7712" xr:uid="{00000000-0005-0000-0000-00008F390000}"/>
    <cellStyle name="40% - Accent3 12 5 2 2" xfId="15683" xr:uid="{00000000-0005-0000-0000-000090390000}"/>
    <cellStyle name="40% - Accent3 12 5 2 3" xfId="23629" xr:uid="{00000000-0005-0000-0000-000091390000}"/>
    <cellStyle name="40% - Accent3 12 5 3" xfId="12145" xr:uid="{00000000-0005-0000-0000-000092390000}"/>
    <cellStyle name="40% - Accent3 12 5 4" xfId="20100" xr:uid="{00000000-0005-0000-0000-000093390000}"/>
    <cellStyle name="40% - Accent3 12 6" xfId="5940" xr:uid="{00000000-0005-0000-0000-000094390000}"/>
    <cellStyle name="40% - Accent3 12 6 2" xfId="13924" xr:uid="{00000000-0005-0000-0000-000095390000}"/>
    <cellStyle name="40% - Accent3 12 6 3" xfId="21872" xr:uid="{00000000-0005-0000-0000-000096390000}"/>
    <cellStyle name="40% - Accent3 12 7" xfId="9493" xr:uid="{00000000-0005-0000-0000-000097390000}"/>
    <cellStyle name="40% - Accent3 12 7 2" xfId="17451" xr:uid="{00000000-0005-0000-0000-000098390000}"/>
    <cellStyle name="40% - Accent3 12 7 3" xfId="25395" xr:uid="{00000000-0005-0000-0000-000099390000}"/>
    <cellStyle name="40% - Accent3 12 8" xfId="10389" xr:uid="{00000000-0005-0000-0000-00009A390000}"/>
    <cellStyle name="40% - Accent3 12 9" xfId="18344" xr:uid="{00000000-0005-0000-0000-00009B390000}"/>
    <cellStyle name="40% - Accent3 12_Exh G" xfId="2949" xr:uid="{00000000-0005-0000-0000-00009C390000}"/>
    <cellStyle name="40% - Accent3 13" xfId="445" xr:uid="{00000000-0005-0000-0000-00009D390000}"/>
    <cellStyle name="40% - Accent3 13 2" xfId="446" xr:uid="{00000000-0005-0000-0000-00009E390000}"/>
    <cellStyle name="40% - Accent3 13 2 2" xfId="447" xr:uid="{00000000-0005-0000-0000-00009F390000}"/>
    <cellStyle name="40% - Accent3 13 2 2 2" xfId="1475" xr:uid="{00000000-0005-0000-0000-0000A0390000}"/>
    <cellStyle name="40% - Accent3 13 2 2 2 2" xfId="5005" xr:uid="{00000000-0005-0000-0000-0000A1390000}"/>
    <cellStyle name="40% - Accent3 13 2 2 2 2 2" xfId="8596" xr:uid="{00000000-0005-0000-0000-0000A2390000}"/>
    <cellStyle name="40% - Accent3 13 2 2 2 2 2 2" xfId="16567" xr:uid="{00000000-0005-0000-0000-0000A3390000}"/>
    <cellStyle name="40% - Accent3 13 2 2 2 2 2 3" xfId="24513" xr:uid="{00000000-0005-0000-0000-0000A4390000}"/>
    <cellStyle name="40% - Accent3 13 2 2 2 2 3" xfId="13029" xr:uid="{00000000-0005-0000-0000-0000A5390000}"/>
    <cellStyle name="40% - Accent3 13 2 2 2 2 4" xfId="20984" xr:uid="{00000000-0005-0000-0000-0000A6390000}"/>
    <cellStyle name="40% - Accent3 13 2 2 2 3" xfId="6837" xr:uid="{00000000-0005-0000-0000-0000A7390000}"/>
    <cellStyle name="40% - Accent3 13 2 2 2 3 2" xfId="14809" xr:uid="{00000000-0005-0000-0000-0000A8390000}"/>
    <cellStyle name="40% - Accent3 13 2 2 2 3 3" xfId="22756" xr:uid="{00000000-0005-0000-0000-0000A9390000}"/>
    <cellStyle name="40% - Accent3 13 2 2 2 4" xfId="11273" xr:uid="{00000000-0005-0000-0000-0000AA390000}"/>
    <cellStyle name="40% - Accent3 13 2 2 2 5" xfId="19228" xr:uid="{00000000-0005-0000-0000-0000AB390000}"/>
    <cellStyle name="40% - Accent3 13 2 2 2_Exh G" xfId="2960" xr:uid="{00000000-0005-0000-0000-0000AC390000}"/>
    <cellStyle name="40% - Accent3 13 2 2 3" xfId="4126" xr:uid="{00000000-0005-0000-0000-0000AD390000}"/>
    <cellStyle name="40% - Accent3 13 2 2 3 2" xfId="7718" xr:uid="{00000000-0005-0000-0000-0000AE390000}"/>
    <cellStyle name="40% - Accent3 13 2 2 3 2 2" xfId="15689" xr:uid="{00000000-0005-0000-0000-0000AF390000}"/>
    <cellStyle name="40% - Accent3 13 2 2 3 2 3" xfId="23635" xr:uid="{00000000-0005-0000-0000-0000B0390000}"/>
    <cellStyle name="40% - Accent3 13 2 2 3 3" xfId="12151" xr:uid="{00000000-0005-0000-0000-0000B1390000}"/>
    <cellStyle name="40% - Accent3 13 2 2 3 4" xfId="20106" xr:uid="{00000000-0005-0000-0000-0000B2390000}"/>
    <cellStyle name="40% - Accent3 13 2 2 4" xfId="5946" xr:uid="{00000000-0005-0000-0000-0000B3390000}"/>
    <cellStyle name="40% - Accent3 13 2 2 4 2" xfId="13930" xr:uid="{00000000-0005-0000-0000-0000B4390000}"/>
    <cellStyle name="40% - Accent3 13 2 2 4 3" xfId="21878" xr:uid="{00000000-0005-0000-0000-0000B5390000}"/>
    <cellStyle name="40% - Accent3 13 2 2 5" xfId="9499" xr:uid="{00000000-0005-0000-0000-0000B6390000}"/>
    <cellStyle name="40% - Accent3 13 2 2 5 2" xfId="17457" xr:uid="{00000000-0005-0000-0000-0000B7390000}"/>
    <cellStyle name="40% - Accent3 13 2 2 5 3" xfId="25401" xr:uid="{00000000-0005-0000-0000-0000B8390000}"/>
    <cellStyle name="40% - Accent3 13 2 2 6" xfId="10395" xr:uid="{00000000-0005-0000-0000-0000B9390000}"/>
    <cellStyle name="40% - Accent3 13 2 2 7" xfId="18350" xr:uid="{00000000-0005-0000-0000-0000BA390000}"/>
    <cellStyle name="40% - Accent3 13 2 2_Exh G" xfId="2959" xr:uid="{00000000-0005-0000-0000-0000BB390000}"/>
    <cellStyle name="40% - Accent3 13 2 3" xfId="1474" xr:uid="{00000000-0005-0000-0000-0000BC390000}"/>
    <cellStyle name="40% - Accent3 13 2 3 2" xfId="5004" xr:uid="{00000000-0005-0000-0000-0000BD390000}"/>
    <cellStyle name="40% - Accent3 13 2 3 2 2" xfId="8595" xr:uid="{00000000-0005-0000-0000-0000BE390000}"/>
    <cellStyle name="40% - Accent3 13 2 3 2 2 2" xfId="16566" xr:uid="{00000000-0005-0000-0000-0000BF390000}"/>
    <cellStyle name="40% - Accent3 13 2 3 2 2 3" xfId="24512" xr:uid="{00000000-0005-0000-0000-0000C0390000}"/>
    <cellStyle name="40% - Accent3 13 2 3 2 3" xfId="13028" xr:uid="{00000000-0005-0000-0000-0000C1390000}"/>
    <cellStyle name="40% - Accent3 13 2 3 2 4" xfId="20983" xr:uid="{00000000-0005-0000-0000-0000C2390000}"/>
    <cellStyle name="40% - Accent3 13 2 3 3" xfId="6836" xr:uid="{00000000-0005-0000-0000-0000C3390000}"/>
    <cellStyle name="40% - Accent3 13 2 3 3 2" xfId="14808" xr:uid="{00000000-0005-0000-0000-0000C4390000}"/>
    <cellStyle name="40% - Accent3 13 2 3 3 3" xfId="22755" xr:uid="{00000000-0005-0000-0000-0000C5390000}"/>
    <cellStyle name="40% - Accent3 13 2 3 4" xfId="11272" xr:uid="{00000000-0005-0000-0000-0000C6390000}"/>
    <cellStyle name="40% - Accent3 13 2 3 5" xfId="19227" xr:uid="{00000000-0005-0000-0000-0000C7390000}"/>
    <cellStyle name="40% - Accent3 13 2 3_Exh G" xfId="2961" xr:uid="{00000000-0005-0000-0000-0000C8390000}"/>
    <cellStyle name="40% - Accent3 13 2 4" xfId="4125" xr:uid="{00000000-0005-0000-0000-0000C9390000}"/>
    <cellStyle name="40% - Accent3 13 2 4 2" xfId="7717" xr:uid="{00000000-0005-0000-0000-0000CA390000}"/>
    <cellStyle name="40% - Accent3 13 2 4 2 2" xfId="15688" xr:uid="{00000000-0005-0000-0000-0000CB390000}"/>
    <cellStyle name="40% - Accent3 13 2 4 2 3" xfId="23634" xr:uid="{00000000-0005-0000-0000-0000CC390000}"/>
    <cellStyle name="40% - Accent3 13 2 4 3" xfId="12150" xr:uid="{00000000-0005-0000-0000-0000CD390000}"/>
    <cellStyle name="40% - Accent3 13 2 4 4" xfId="20105" xr:uid="{00000000-0005-0000-0000-0000CE390000}"/>
    <cellStyle name="40% - Accent3 13 2 5" xfId="5945" xr:uid="{00000000-0005-0000-0000-0000CF390000}"/>
    <cellStyle name="40% - Accent3 13 2 5 2" xfId="13929" xr:uid="{00000000-0005-0000-0000-0000D0390000}"/>
    <cellStyle name="40% - Accent3 13 2 5 3" xfId="21877" xr:uid="{00000000-0005-0000-0000-0000D1390000}"/>
    <cellStyle name="40% - Accent3 13 2 6" xfId="9498" xr:uid="{00000000-0005-0000-0000-0000D2390000}"/>
    <cellStyle name="40% - Accent3 13 2 6 2" xfId="17456" xr:uid="{00000000-0005-0000-0000-0000D3390000}"/>
    <cellStyle name="40% - Accent3 13 2 6 3" xfId="25400" xr:uid="{00000000-0005-0000-0000-0000D4390000}"/>
    <cellStyle name="40% - Accent3 13 2 7" xfId="10394" xr:uid="{00000000-0005-0000-0000-0000D5390000}"/>
    <cellStyle name="40% - Accent3 13 2 8" xfId="18349" xr:uid="{00000000-0005-0000-0000-0000D6390000}"/>
    <cellStyle name="40% - Accent3 13 2_Exh G" xfId="2958" xr:uid="{00000000-0005-0000-0000-0000D7390000}"/>
    <cellStyle name="40% - Accent3 13 3" xfId="448" xr:uid="{00000000-0005-0000-0000-0000D8390000}"/>
    <cellStyle name="40% - Accent3 13 3 2" xfId="1476" xr:uid="{00000000-0005-0000-0000-0000D9390000}"/>
    <cellStyle name="40% - Accent3 13 3 2 2" xfId="5006" xr:uid="{00000000-0005-0000-0000-0000DA390000}"/>
    <cellStyle name="40% - Accent3 13 3 2 2 2" xfId="8597" xr:uid="{00000000-0005-0000-0000-0000DB390000}"/>
    <cellStyle name="40% - Accent3 13 3 2 2 2 2" xfId="16568" xr:uid="{00000000-0005-0000-0000-0000DC390000}"/>
    <cellStyle name="40% - Accent3 13 3 2 2 2 3" xfId="24514" xr:uid="{00000000-0005-0000-0000-0000DD390000}"/>
    <cellStyle name="40% - Accent3 13 3 2 2 3" xfId="13030" xr:uid="{00000000-0005-0000-0000-0000DE390000}"/>
    <cellStyle name="40% - Accent3 13 3 2 2 4" xfId="20985" xr:uid="{00000000-0005-0000-0000-0000DF390000}"/>
    <cellStyle name="40% - Accent3 13 3 2 3" xfId="6838" xr:uid="{00000000-0005-0000-0000-0000E0390000}"/>
    <cellStyle name="40% - Accent3 13 3 2 3 2" xfId="14810" xr:uid="{00000000-0005-0000-0000-0000E1390000}"/>
    <cellStyle name="40% - Accent3 13 3 2 3 3" xfId="22757" xr:uid="{00000000-0005-0000-0000-0000E2390000}"/>
    <cellStyle name="40% - Accent3 13 3 2 4" xfId="11274" xr:uid="{00000000-0005-0000-0000-0000E3390000}"/>
    <cellStyle name="40% - Accent3 13 3 2 5" xfId="19229" xr:uid="{00000000-0005-0000-0000-0000E4390000}"/>
    <cellStyle name="40% - Accent3 13 3 2_Exh G" xfId="2963" xr:uid="{00000000-0005-0000-0000-0000E5390000}"/>
    <cellStyle name="40% - Accent3 13 3 3" xfId="4127" xr:uid="{00000000-0005-0000-0000-0000E6390000}"/>
    <cellStyle name="40% - Accent3 13 3 3 2" xfId="7719" xr:uid="{00000000-0005-0000-0000-0000E7390000}"/>
    <cellStyle name="40% - Accent3 13 3 3 2 2" xfId="15690" xr:uid="{00000000-0005-0000-0000-0000E8390000}"/>
    <cellStyle name="40% - Accent3 13 3 3 2 3" xfId="23636" xr:uid="{00000000-0005-0000-0000-0000E9390000}"/>
    <cellStyle name="40% - Accent3 13 3 3 3" xfId="12152" xr:uid="{00000000-0005-0000-0000-0000EA390000}"/>
    <cellStyle name="40% - Accent3 13 3 3 4" xfId="20107" xr:uid="{00000000-0005-0000-0000-0000EB390000}"/>
    <cellStyle name="40% - Accent3 13 3 4" xfId="5947" xr:uid="{00000000-0005-0000-0000-0000EC390000}"/>
    <cellStyle name="40% - Accent3 13 3 4 2" xfId="13931" xr:uid="{00000000-0005-0000-0000-0000ED390000}"/>
    <cellStyle name="40% - Accent3 13 3 4 3" xfId="21879" xr:uid="{00000000-0005-0000-0000-0000EE390000}"/>
    <cellStyle name="40% - Accent3 13 3 5" xfId="9500" xr:uid="{00000000-0005-0000-0000-0000EF390000}"/>
    <cellStyle name="40% - Accent3 13 3 5 2" xfId="17458" xr:uid="{00000000-0005-0000-0000-0000F0390000}"/>
    <cellStyle name="40% - Accent3 13 3 5 3" xfId="25402" xr:uid="{00000000-0005-0000-0000-0000F1390000}"/>
    <cellStyle name="40% - Accent3 13 3 6" xfId="10396" xr:uid="{00000000-0005-0000-0000-0000F2390000}"/>
    <cellStyle name="40% - Accent3 13 3 7" xfId="18351" xr:uid="{00000000-0005-0000-0000-0000F3390000}"/>
    <cellStyle name="40% - Accent3 13 3_Exh G" xfId="2962" xr:uid="{00000000-0005-0000-0000-0000F4390000}"/>
    <cellStyle name="40% - Accent3 13 4" xfId="1473" xr:uid="{00000000-0005-0000-0000-0000F5390000}"/>
    <cellStyle name="40% - Accent3 13 4 2" xfId="5003" xr:uid="{00000000-0005-0000-0000-0000F6390000}"/>
    <cellStyle name="40% - Accent3 13 4 2 2" xfId="8594" xr:uid="{00000000-0005-0000-0000-0000F7390000}"/>
    <cellStyle name="40% - Accent3 13 4 2 2 2" xfId="16565" xr:uid="{00000000-0005-0000-0000-0000F8390000}"/>
    <cellStyle name="40% - Accent3 13 4 2 2 3" xfId="24511" xr:uid="{00000000-0005-0000-0000-0000F9390000}"/>
    <cellStyle name="40% - Accent3 13 4 2 3" xfId="13027" xr:uid="{00000000-0005-0000-0000-0000FA390000}"/>
    <cellStyle name="40% - Accent3 13 4 2 4" xfId="20982" xr:uid="{00000000-0005-0000-0000-0000FB390000}"/>
    <cellStyle name="40% - Accent3 13 4 3" xfId="6835" xr:uid="{00000000-0005-0000-0000-0000FC390000}"/>
    <cellStyle name="40% - Accent3 13 4 3 2" xfId="14807" xr:uid="{00000000-0005-0000-0000-0000FD390000}"/>
    <cellStyle name="40% - Accent3 13 4 3 3" xfId="22754" xr:uid="{00000000-0005-0000-0000-0000FE390000}"/>
    <cellStyle name="40% - Accent3 13 4 4" xfId="11271" xr:uid="{00000000-0005-0000-0000-0000FF390000}"/>
    <cellStyle name="40% - Accent3 13 4 5" xfId="19226" xr:uid="{00000000-0005-0000-0000-0000003A0000}"/>
    <cellStyle name="40% - Accent3 13 4_Exh G" xfId="2964" xr:uid="{00000000-0005-0000-0000-0000013A0000}"/>
    <cellStyle name="40% - Accent3 13 5" xfId="4124" xr:uid="{00000000-0005-0000-0000-0000023A0000}"/>
    <cellStyle name="40% - Accent3 13 5 2" xfId="7716" xr:uid="{00000000-0005-0000-0000-0000033A0000}"/>
    <cellStyle name="40% - Accent3 13 5 2 2" xfId="15687" xr:uid="{00000000-0005-0000-0000-0000043A0000}"/>
    <cellStyle name="40% - Accent3 13 5 2 3" xfId="23633" xr:uid="{00000000-0005-0000-0000-0000053A0000}"/>
    <cellStyle name="40% - Accent3 13 5 3" xfId="12149" xr:uid="{00000000-0005-0000-0000-0000063A0000}"/>
    <cellStyle name="40% - Accent3 13 5 4" xfId="20104" xr:uid="{00000000-0005-0000-0000-0000073A0000}"/>
    <cellStyle name="40% - Accent3 13 6" xfId="5944" xr:uid="{00000000-0005-0000-0000-0000083A0000}"/>
    <cellStyle name="40% - Accent3 13 6 2" xfId="13928" xr:uid="{00000000-0005-0000-0000-0000093A0000}"/>
    <cellStyle name="40% - Accent3 13 6 3" xfId="21876" xr:uid="{00000000-0005-0000-0000-00000A3A0000}"/>
    <cellStyle name="40% - Accent3 13 7" xfId="9497" xr:uid="{00000000-0005-0000-0000-00000B3A0000}"/>
    <cellStyle name="40% - Accent3 13 7 2" xfId="17455" xr:uid="{00000000-0005-0000-0000-00000C3A0000}"/>
    <cellStyle name="40% - Accent3 13 7 3" xfId="25399" xr:uid="{00000000-0005-0000-0000-00000D3A0000}"/>
    <cellStyle name="40% - Accent3 13 8" xfId="10393" xr:uid="{00000000-0005-0000-0000-00000E3A0000}"/>
    <cellStyle name="40% - Accent3 13 9" xfId="18348" xr:uid="{00000000-0005-0000-0000-00000F3A0000}"/>
    <cellStyle name="40% - Accent3 13_Exh G" xfId="2957" xr:uid="{00000000-0005-0000-0000-0000103A0000}"/>
    <cellStyle name="40% - Accent3 14" xfId="449" xr:uid="{00000000-0005-0000-0000-0000113A0000}"/>
    <cellStyle name="40% - Accent3 14 2" xfId="450" xr:uid="{00000000-0005-0000-0000-0000123A0000}"/>
    <cellStyle name="40% - Accent3 14 2 2" xfId="1478" xr:uid="{00000000-0005-0000-0000-0000133A0000}"/>
    <cellStyle name="40% - Accent3 14 2 2 2" xfId="5008" xr:uid="{00000000-0005-0000-0000-0000143A0000}"/>
    <cellStyle name="40% - Accent3 14 2 2 2 2" xfId="8599" xr:uid="{00000000-0005-0000-0000-0000153A0000}"/>
    <cellStyle name="40% - Accent3 14 2 2 2 2 2" xfId="16570" xr:uid="{00000000-0005-0000-0000-0000163A0000}"/>
    <cellStyle name="40% - Accent3 14 2 2 2 2 3" xfId="24516" xr:uid="{00000000-0005-0000-0000-0000173A0000}"/>
    <cellStyle name="40% - Accent3 14 2 2 2 3" xfId="13032" xr:uid="{00000000-0005-0000-0000-0000183A0000}"/>
    <cellStyle name="40% - Accent3 14 2 2 2 4" xfId="20987" xr:uid="{00000000-0005-0000-0000-0000193A0000}"/>
    <cellStyle name="40% - Accent3 14 2 2 3" xfId="6840" xr:uid="{00000000-0005-0000-0000-00001A3A0000}"/>
    <cellStyle name="40% - Accent3 14 2 2 3 2" xfId="14812" xr:uid="{00000000-0005-0000-0000-00001B3A0000}"/>
    <cellStyle name="40% - Accent3 14 2 2 3 3" xfId="22759" xr:uid="{00000000-0005-0000-0000-00001C3A0000}"/>
    <cellStyle name="40% - Accent3 14 2 2 4" xfId="11276" xr:uid="{00000000-0005-0000-0000-00001D3A0000}"/>
    <cellStyle name="40% - Accent3 14 2 2 5" xfId="19231" xr:uid="{00000000-0005-0000-0000-00001E3A0000}"/>
    <cellStyle name="40% - Accent3 14 2 2_Exh G" xfId="2967" xr:uid="{00000000-0005-0000-0000-00001F3A0000}"/>
    <cellStyle name="40% - Accent3 14 2 3" xfId="4129" xr:uid="{00000000-0005-0000-0000-0000203A0000}"/>
    <cellStyle name="40% - Accent3 14 2 3 2" xfId="7721" xr:uid="{00000000-0005-0000-0000-0000213A0000}"/>
    <cellStyle name="40% - Accent3 14 2 3 2 2" xfId="15692" xr:uid="{00000000-0005-0000-0000-0000223A0000}"/>
    <cellStyle name="40% - Accent3 14 2 3 2 3" xfId="23638" xr:uid="{00000000-0005-0000-0000-0000233A0000}"/>
    <cellStyle name="40% - Accent3 14 2 3 3" xfId="12154" xr:uid="{00000000-0005-0000-0000-0000243A0000}"/>
    <cellStyle name="40% - Accent3 14 2 3 4" xfId="20109" xr:uid="{00000000-0005-0000-0000-0000253A0000}"/>
    <cellStyle name="40% - Accent3 14 2 4" xfId="5949" xr:uid="{00000000-0005-0000-0000-0000263A0000}"/>
    <cellStyle name="40% - Accent3 14 2 4 2" xfId="13933" xr:uid="{00000000-0005-0000-0000-0000273A0000}"/>
    <cellStyle name="40% - Accent3 14 2 4 3" xfId="21881" xr:uid="{00000000-0005-0000-0000-0000283A0000}"/>
    <cellStyle name="40% - Accent3 14 2 5" xfId="9502" xr:uid="{00000000-0005-0000-0000-0000293A0000}"/>
    <cellStyle name="40% - Accent3 14 2 5 2" xfId="17460" xr:uid="{00000000-0005-0000-0000-00002A3A0000}"/>
    <cellStyle name="40% - Accent3 14 2 5 3" xfId="25404" xr:uid="{00000000-0005-0000-0000-00002B3A0000}"/>
    <cellStyle name="40% - Accent3 14 2 6" xfId="10398" xr:uid="{00000000-0005-0000-0000-00002C3A0000}"/>
    <cellStyle name="40% - Accent3 14 2 7" xfId="18353" xr:uid="{00000000-0005-0000-0000-00002D3A0000}"/>
    <cellStyle name="40% - Accent3 14 2_Exh G" xfId="2966" xr:uid="{00000000-0005-0000-0000-00002E3A0000}"/>
    <cellStyle name="40% - Accent3 14 3" xfId="1477" xr:uid="{00000000-0005-0000-0000-00002F3A0000}"/>
    <cellStyle name="40% - Accent3 14 3 2" xfId="5007" xr:uid="{00000000-0005-0000-0000-0000303A0000}"/>
    <cellStyle name="40% - Accent3 14 3 2 2" xfId="8598" xr:uid="{00000000-0005-0000-0000-0000313A0000}"/>
    <cellStyle name="40% - Accent3 14 3 2 2 2" xfId="16569" xr:uid="{00000000-0005-0000-0000-0000323A0000}"/>
    <cellStyle name="40% - Accent3 14 3 2 2 3" xfId="24515" xr:uid="{00000000-0005-0000-0000-0000333A0000}"/>
    <cellStyle name="40% - Accent3 14 3 2 3" xfId="13031" xr:uid="{00000000-0005-0000-0000-0000343A0000}"/>
    <cellStyle name="40% - Accent3 14 3 2 4" xfId="20986" xr:uid="{00000000-0005-0000-0000-0000353A0000}"/>
    <cellStyle name="40% - Accent3 14 3 3" xfId="6839" xr:uid="{00000000-0005-0000-0000-0000363A0000}"/>
    <cellStyle name="40% - Accent3 14 3 3 2" xfId="14811" xr:uid="{00000000-0005-0000-0000-0000373A0000}"/>
    <cellStyle name="40% - Accent3 14 3 3 3" xfId="22758" xr:uid="{00000000-0005-0000-0000-0000383A0000}"/>
    <cellStyle name="40% - Accent3 14 3 4" xfId="11275" xr:uid="{00000000-0005-0000-0000-0000393A0000}"/>
    <cellStyle name="40% - Accent3 14 3 5" xfId="19230" xr:uid="{00000000-0005-0000-0000-00003A3A0000}"/>
    <cellStyle name="40% - Accent3 14 3_Exh G" xfId="2968" xr:uid="{00000000-0005-0000-0000-00003B3A0000}"/>
    <cellStyle name="40% - Accent3 14 4" xfId="4128" xr:uid="{00000000-0005-0000-0000-00003C3A0000}"/>
    <cellStyle name="40% - Accent3 14 4 2" xfId="7720" xr:uid="{00000000-0005-0000-0000-00003D3A0000}"/>
    <cellStyle name="40% - Accent3 14 4 2 2" xfId="15691" xr:uid="{00000000-0005-0000-0000-00003E3A0000}"/>
    <cellStyle name="40% - Accent3 14 4 2 3" xfId="23637" xr:uid="{00000000-0005-0000-0000-00003F3A0000}"/>
    <cellStyle name="40% - Accent3 14 4 3" xfId="12153" xr:uid="{00000000-0005-0000-0000-0000403A0000}"/>
    <cellStyle name="40% - Accent3 14 4 4" xfId="20108" xr:uid="{00000000-0005-0000-0000-0000413A0000}"/>
    <cellStyle name="40% - Accent3 14 5" xfId="5948" xr:uid="{00000000-0005-0000-0000-0000423A0000}"/>
    <cellStyle name="40% - Accent3 14 5 2" xfId="13932" xr:uid="{00000000-0005-0000-0000-0000433A0000}"/>
    <cellStyle name="40% - Accent3 14 5 3" xfId="21880" xr:uid="{00000000-0005-0000-0000-0000443A0000}"/>
    <cellStyle name="40% - Accent3 14 6" xfId="9501" xr:uid="{00000000-0005-0000-0000-0000453A0000}"/>
    <cellStyle name="40% - Accent3 14 6 2" xfId="17459" xr:uid="{00000000-0005-0000-0000-0000463A0000}"/>
    <cellStyle name="40% - Accent3 14 6 3" xfId="25403" xr:uid="{00000000-0005-0000-0000-0000473A0000}"/>
    <cellStyle name="40% - Accent3 14 7" xfId="10397" xr:uid="{00000000-0005-0000-0000-0000483A0000}"/>
    <cellStyle name="40% - Accent3 14 8" xfId="18352" xr:uid="{00000000-0005-0000-0000-0000493A0000}"/>
    <cellStyle name="40% - Accent3 14_Exh G" xfId="2965" xr:uid="{00000000-0005-0000-0000-00004A3A0000}"/>
    <cellStyle name="40% - Accent3 15" xfId="451" xr:uid="{00000000-0005-0000-0000-00004B3A0000}"/>
    <cellStyle name="40% - Accent3 15 2" xfId="1479" xr:uid="{00000000-0005-0000-0000-00004C3A0000}"/>
    <cellStyle name="40% - Accent3 15 2 2" xfId="5009" xr:uid="{00000000-0005-0000-0000-00004D3A0000}"/>
    <cellStyle name="40% - Accent3 15 2 2 2" xfId="8600" xr:uid="{00000000-0005-0000-0000-00004E3A0000}"/>
    <cellStyle name="40% - Accent3 15 2 2 2 2" xfId="16571" xr:uid="{00000000-0005-0000-0000-00004F3A0000}"/>
    <cellStyle name="40% - Accent3 15 2 2 2 3" xfId="24517" xr:uid="{00000000-0005-0000-0000-0000503A0000}"/>
    <cellStyle name="40% - Accent3 15 2 2 3" xfId="13033" xr:uid="{00000000-0005-0000-0000-0000513A0000}"/>
    <cellStyle name="40% - Accent3 15 2 2 4" xfId="20988" xr:uid="{00000000-0005-0000-0000-0000523A0000}"/>
    <cellStyle name="40% - Accent3 15 2 3" xfId="6841" xr:uid="{00000000-0005-0000-0000-0000533A0000}"/>
    <cellStyle name="40% - Accent3 15 2 3 2" xfId="14813" xr:uid="{00000000-0005-0000-0000-0000543A0000}"/>
    <cellStyle name="40% - Accent3 15 2 3 3" xfId="22760" xr:uid="{00000000-0005-0000-0000-0000553A0000}"/>
    <cellStyle name="40% - Accent3 15 2 4" xfId="11277" xr:uid="{00000000-0005-0000-0000-0000563A0000}"/>
    <cellStyle name="40% - Accent3 15 2 5" xfId="19232" xr:uid="{00000000-0005-0000-0000-0000573A0000}"/>
    <cellStyle name="40% - Accent3 15 2_Exh G" xfId="2970" xr:uid="{00000000-0005-0000-0000-0000583A0000}"/>
    <cellStyle name="40% - Accent3 15 3" xfId="4130" xr:uid="{00000000-0005-0000-0000-0000593A0000}"/>
    <cellStyle name="40% - Accent3 15 3 2" xfId="7722" xr:uid="{00000000-0005-0000-0000-00005A3A0000}"/>
    <cellStyle name="40% - Accent3 15 3 2 2" xfId="15693" xr:uid="{00000000-0005-0000-0000-00005B3A0000}"/>
    <cellStyle name="40% - Accent3 15 3 2 3" xfId="23639" xr:uid="{00000000-0005-0000-0000-00005C3A0000}"/>
    <cellStyle name="40% - Accent3 15 3 3" xfId="12155" xr:uid="{00000000-0005-0000-0000-00005D3A0000}"/>
    <cellStyle name="40% - Accent3 15 3 4" xfId="20110" xr:uid="{00000000-0005-0000-0000-00005E3A0000}"/>
    <cellStyle name="40% - Accent3 15 4" xfId="5950" xr:uid="{00000000-0005-0000-0000-00005F3A0000}"/>
    <cellStyle name="40% - Accent3 15 4 2" xfId="13934" xr:uid="{00000000-0005-0000-0000-0000603A0000}"/>
    <cellStyle name="40% - Accent3 15 4 3" xfId="21882" xr:uid="{00000000-0005-0000-0000-0000613A0000}"/>
    <cellStyle name="40% - Accent3 15 5" xfId="9503" xr:uid="{00000000-0005-0000-0000-0000623A0000}"/>
    <cellStyle name="40% - Accent3 15 5 2" xfId="17461" xr:uid="{00000000-0005-0000-0000-0000633A0000}"/>
    <cellStyle name="40% - Accent3 15 5 3" xfId="25405" xr:uid="{00000000-0005-0000-0000-0000643A0000}"/>
    <cellStyle name="40% - Accent3 15 6" xfId="10399" xr:uid="{00000000-0005-0000-0000-0000653A0000}"/>
    <cellStyle name="40% - Accent3 15 7" xfId="18354" xr:uid="{00000000-0005-0000-0000-0000663A0000}"/>
    <cellStyle name="40% - Accent3 15_Exh G" xfId="2969" xr:uid="{00000000-0005-0000-0000-0000673A0000}"/>
    <cellStyle name="40% - Accent3 16" xfId="851" xr:uid="{00000000-0005-0000-0000-0000683A0000}"/>
    <cellStyle name="40% - Accent3 16 2" xfId="1790" xr:uid="{00000000-0005-0000-0000-0000693A0000}"/>
    <cellStyle name="40% - Accent3 16 2 2" xfId="5311" xr:uid="{00000000-0005-0000-0000-00006A3A0000}"/>
    <cellStyle name="40% - Accent3 16 2 2 2" xfId="8902" xr:uid="{00000000-0005-0000-0000-00006B3A0000}"/>
    <cellStyle name="40% - Accent3 16 2 2 2 2" xfId="16873" xr:uid="{00000000-0005-0000-0000-00006C3A0000}"/>
    <cellStyle name="40% - Accent3 16 2 2 2 3" xfId="24819" xr:uid="{00000000-0005-0000-0000-00006D3A0000}"/>
    <cellStyle name="40% - Accent3 16 2 2 3" xfId="13335" xr:uid="{00000000-0005-0000-0000-00006E3A0000}"/>
    <cellStyle name="40% - Accent3 16 2 2 4" xfId="21290" xr:uid="{00000000-0005-0000-0000-00006F3A0000}"/>
    <cellStyle name="40% - Accent3 16 2 3" xfId="7143" xr:uid="{00000000-0005-0000-0000-0000703A0000}"/>
    <cellStyle name="40% - Accent3 16 2 3 2" xfId="15115" xr:uid="{00000000-0005-0000-0000-0000713A0000}"/>
    <cellStyle name="40% - Accent3 16 2 3 3" xfId="23062" xr:uid="{00000000-0005-0000-0000-0000723A0000}"/>
    <cellStyle name="40% - Accent3 16 2 4" xfId="11579" xr:uid="{00000000-0005-0000-0000-0000733A0000}"/>
    <cellStyle name="40% - Accent3 16 2 5" xfId="19534" xr:uid="{00000000-0005-0000-0000-0000743A0000}"/>
    <cellStyle name="40% - Accent3 16 2_Exh G" xfId="2972" xr:uid="{00000000-0005-0000-0000-0000753A0000}"/>
    <cellStyle name="40% - Accent3 16 3" xfId="4432" xr:uid="{00000000-0005-0000-0000-0000763A0000}"/>
    <cellStyle name="40% - Accent3 16 3 2" xfId="8024" xr:uid="{00000000-0005-0000-0000-0000773A0000}"/>
    <cellStyle name="40% - Accent3 16 3 2 2" xfId="15995" xr:uid="{00000000-0005-0000-0000-0000783A0000}"/>
    <cellStyle name="40% - Accent3 16 3 2 3" xfId="23941" xr:uid="{00000000-0005-0000-0000-0000793A0000}"/>
    <cellStyle name="40% - Accent3 16 3 3" xfId="12457" xr:uid="{00000000-0005-0000-0000-00007A3A0000}"/>
    <cellStyle name="40% - Accent3 16 3 4" xfId="20412" xr:uid="{00000000-0005-0000-0000-00007B3A0000}"/>
    <cellStyle name="40% - Accent3 16 4" xfId="6262" xr:uid="{00000000-0005-0000-0000-00007C3A0000}"/>
    <cellStyle name="40% - Accent3 16 4 2" xfId="14237" xr:uid="{00000000-0005-0000-0000-00007D3A0000}"/>
    <cellStyle name="40% - Accent3 16 4 3" xfId="22184" xr:uid="{00000000-0005-0000-0000-00007E3A0000}"/>
    <cellStyle name="40% - Accent3 16 5" xfId="9805" xr:uid="{00000000-0005-0000-0000-00007F3A0000}"/>
    <cellStyle name="40% - Accent3 16 5 2" xfId="17763" xr:uid="{00000000-0005-0000-0000-0000803A0000}"/>
    <cellStyle name="40% - Accent3 16 5 3" xfId="25707" xr:uid="{00000000-0005-0000-0000-0000813A0000}"/>
    <cellStyle name="40% - Accent3 16 6" xfId="10701" xr:uid="{00000000-0005-0000-0000-0000823A0000}"/>
    <cellStyle name="40% - Accent3 16 7" xfId="18656" xr:uid="{00000000-0005-0000-0000-0000833A0000}"/>
    <cellStyle name="40% - Accent3 16_Exh G" xfId="2971" xr:uid="{00000000-0005-0000-0000-0000843A0000}"/>
    <cellStyle name="40% - Accent3 2" xfId="452" xr:uid="{00000000-0005-0000-0000-0000853A0000}"/>
    <cellStyle name="40% - Accent3 2 10" xfId="18355" xr:uid="{00000000-0005-0000-0000-0000863A0000}"/>
    <cellStyle name="40% - Accent3 2 2" xfId="453" xr:uid="{00000000-0005-0000-0000-0000873A0000}"/>
    <cellStyle name="40% - Accent3 2 2 2" xfId="454" xr:uid="{00000000-0005-0000-0000-0000883A0000}"/>
    <cellStyle name="40% - Accent3 2 2 2 2" xfId="1482" xr:uid="{00000000-0005-0000-0000-0000893A0000}"/>
    <cellStyle name="40% - Accent3 2 2 2 2 2" xfId="5012" xr:uid="{00000000-0005-0000-0000-00008A3A0000}"/>
    <cellStyle name="40% - Accent3 2 2 2 2 2 2" xfId="8603" xr:uid="{00000000-0005-0000-0000-00008B3A0000}"/>
    <cellStyle name="40% - Accent3 2 2 2 2 2 2 2" xfId="16574" xr:uid="{00000000-0005-0000-0000-00008C3A0000}"/>
    <cellStyle name="40% - Accent3 2 2 2 2 2 2 3" xfId="24520" xr:uid="{00000000-0005-0000-0000-00008D3A0000}"/>
    <cellStyle name="40% - Accent3 2 2 2 2 2 3" xfId="13036" xr:uid="{00000000-0005-0000-0000-00008E3A0000}"/>
    <cellStyle name="40% - Accent3 2 2 2 2 2 4" xfId="20991" xr:uid="{00000000-0005-0000-0000-00008F3A0000}"/>
    <cellStyle name="40% - Accent3 2 2 2 2 3" xfId="6844" xr:uid="{00000000-0005-0000-0000-0000903A0000}"/>
    <cellStyle name="40% - Accent3 2 2 2 2 3 2" xfId="14816" xr:uid="{00000000-0005-0000-0000-0000913A0000}"/>
    <cellStyle name="40% - Accent3 2 2 2 2 3 3" xfId="22763" xr:uid="{00000000-0005-0000-0000-0000923A0000}"/>
    <cellStyle name="40% - Accent3 2 2 2 2 4" xfId="11280" xr:uid="{00000000-0005-0000-0000-0000933A0000}"/>
    <cellStyle name="40% - Accent3 2 2 2 2 5" xfId="19235" xr:uid="{00000000-0005-0000-0000-0000943A0000}"/>
    <cellStyle name="40% - Accent3 2 2 2 2_Exh G" xfId="2976" xr:uid="{00000000-0005-0000-0000-0000953A0000}"/>
    <cellStyle name="40% - Accent3 2 2 2 3" xfId="4133" xr:uid="{00000000-0005-0000-0000-0000963A0000}"/>
    <cellStyle name="40% - Accent3 2 2 2 3 2" xfId="7725" xr:uid="{00000000-0005-0000-0000-0000973A0000}"/>
    <cellStyle name="40% - Accent3 2 2 2 3 2 2" xfId="15696" xr:uid="{00000000-0005-0000-0000-0000983A0000}"/>
    <cellStyle name="40% - Accent3 2 2 2 3 2 3" xfId="23642" xr:uid="{00000000-0005-0000-0000-0000993A0000}"/>
    <cellStyle name="40% - Accent3 2 2 2 3 3" xfId="12158" xr:uid="{00000000-0005-0000-0000-00009A3A0000}"/>
    <cellStyle name="40% - Accent3 2 2 2 3 4" xfId="20113" xr:uid="{00000000-0005-0000-0000-00009B3A0000}"/>
    <cellStyle name="40% - Accent3 2 2 2 4" xfId="5953" xr:uid="{00000000-0005-0000-0000-00009C3A0000}"/>
    <cellStyle name="40% - Accent3 2 2 2 4 2" xfId="13937" xr:uid="{00000000-0005-0000-0000-00009D3A0000}"/>
    <cellStyle name="40% - Accent3 2 2 2 4 3" xfId="21885" xr:uid="{00000000-0005-0000-0000-00009E3A0000}"/>
    <cellStyle name="40% - Accent3 2 2 2 5" xfId="9506" xr:uid="{00000000-0005-0000-0000-00009F3A0000}"/>
    <cellStyle name="40% - Accent3 2 2 2 5 2" xfId="17464" xr:uid="{00000000-0005-0000-0000-0000A03A0000}"/>
    <cellStyle name="40% - Accent3 2 2 2 5 3" xfId="25408" xr:uid="{00000000-0005-0000-0000-0000A13A0000}"/>
    <cellStyle name="40% - Accent3 2 2 2 6" xfId="10402" xr:uid="{00000000-0005-0000-0000-0000A23A0000}"/>
    <cellStyle name="40% - Accent3 2 2 2 7" xfId="18357" xr:uid="{00000000-0005-0000-0000-0000A33A0000}"/>
    <cellStyle name="40% - Accent3 2 2 2_Exh G" xfId="2975" xr:uid="{00000000-0005-0000-0000-0000A43A0000}"/>
    <cellStyle name="40% - Accent3 2 2 3" xfId="960" xr:uid="{00000000-0005-0000-0000-0000A53A0000}"/>
    <cellStyle name="40% - Accent3 2 2 3 2" xfId="1880" xr:uid="{00000000-0005-0000-0000-0000A63A0000}"/>
    <cellStyle name="40% - Accent3 2 2 3 2 2" xfId="5398" xr:uid="{00000000-0005-0000-0000-0000A73A0000}"/>
    <cellStyle name="40% - Accent3 2 2 3 2 2 2" xfId="8989" xr:uid="{00000000-0005-0000-0000-0000A83A0000}"/>
    <cellStyle name="40% - Accent3 2 2 3 2 2 2 2" xfId="16960" xr:uid="{00000000-0005-0000-0000-0000A93A0000}"/>
    <cellStyle name="40% - Accent3 2 2 3 2 2 2 3" xfId="24906" xr:uid="{00000000-0005-0000-0000-0000AA3A0000}"/>
    <cellStyle name="40% - Accent3 2 2 3 2 2 3" xfId="13422" xr:uid="{00000000-0005-0000-0000-0000AB3A0000}"/>
    <cellStyle name="40% - Accent3 2 2 3 2 2 4" xfId="21377" xr:uid="{00000000-0005-0000-0000-0000AC3A0000}"/>
    <cellStyle name="40% - Accent3 2 2 3 2 3" xfId="7230" xr:uid="{00000000-0005-0000-0000-0000AD3A0000}"/>
    <cellStyle name="40% - Accent3 2 2 3 2 3 2" xfId="15202" xr:uid="{00000000-0005-0000-0000-0000AE3A0000}"/>
    <cellStyle name="40% - Accent3 2 2 3 2 3 3" xfId="23149" xr:uid="{00000000-0005-0000-0000-0000AF3A0000}"/>
    <cellStyle name="40% - Accent3 2 2 3 2 4" xfId="11666" xr:uid="{00000000-0005-0000-0000-0000B03A0000}"/>
    <cellStyle name="40% - Accent3 2 2 3 2 5" xfId="19621" xr:uid="{00000000-0005-0000-0000-0000B13A0000}"/>
    <cellStyle name="40% - Accent3 2 2 3 2_Exh G" xfId="2978" xr:uid="{00000000-0005-0000-0000-0000B23A0000}"/>
    <cellStyle name="40% - Accent3 2 2 3 3" xfId="4519" xr:uid="{00000000-0005-0000-0000-0000B33A0000}"/>
    <cellStyle name="40% - Accent3 2 2 3 3 2" xfId="8111" xr:uid="{00000000-0005-0000-0000-0000B43A0000}"/>
    <cellStyle name="40% - Accent3 2 2 3 3 2 2" xfId="16082" xr:uid="{00000000-0005-0000-0000-0000B53A0000}"/>
    <cellStyle name="40% - Accent3 2 2 3 3 2 3" xfId="24028" xr:uid="{00000000-0005-0000-0000-0000B63A0000}"/>
    <cellStyle name="40% - Accent3 2 2 3 3 3" xfId="12544" xr:uid="{00000000-0005-0000-0000-0000B73A0000}"/>
    <cellStyle name="40% - Accent3 2 2 3 3 4" xfId="20499" xr:uid="{00000000-0005-0000-0000-0000B83A0000}"/>
    <cellStyle name="40% - Accent3 2 2 3 4" xfId="6349" xr:uid="{00000000-0005-0000-0000-0000B93A0000}"/>
    <cellStyle name="40% - Accent3 2 2 3 4 2" xfId="14324" xr:uid="{00000000-0005-0000-0000-0000BA3A0000}"/>
    <cellStyle name="40% - Accent3 2 2 3 4 3" xfId="22271" xr:uid="{00000000-0005-0000-0000-0000BB3A0000}"/>
    <cellStyle name="40% - Accent3 2 2 3 5" xfId="9892" xr:uid="{00000000-0005-0000-0000-0000BC3A0000}"/>
    <cellStyle name="40% - Accent3 2 2 3 5 2" xfId="17850" xr:uid="{00000000-0005-0000-0000-0000BD3A0000}"/>
    <cellStyle name="40% - Accent3 2 2 3 5 3" xfId="25794" xr:uid="{00000000-0005-0000-0000-0000BE3A0000}"/>
    <cellStyle name="40% - Accent3 2 2 3 6" xfId="10788" xr:uid="{00000000-0005-0000-0000-0000BF3A0000}"/>
    <cellStyle name="40% - Accent3 2 2 3 7" xfId="18743" xr:uid="{00000000-0005-0000-0000-0000C03A0000}"/>
    <cellStyle name="40% - Accent3 2 2 3_Exh G" xfId="2977" xr:uid="{00000000-0005-0000-0000-0000C13A0000}"/>
    <cellStyle name="40% - Accent3 2 2 4" xfId="1481" xr:uid="{00000000-0005-0000-0000-0000C23A0000}"/>
    <cellStyle name="40% - Accent3 2 2 4 2" xfId="5011" xr:uid="{00000000-0005-0000-0000-0000C33A0000}"/>
    <cellStyle name="40% - Accent3 2 2 4 2 2" xfId="8602" xr:uid="{00000000-0005-0000-0000-0000C43A0000}"/>
    <cellStyle name="40% - Accent3 2 2 4 2 2 2" xfId="16573" xr:uid="{00000000-0005-0000-0000-0000C53A0000}"/>
    <cellStyle name="40% - Accent3 2 2 4 2 2 3" xfId="24519" xr:uid="{00000000-0005-0000-0000-0000C63A0000}"/>
    <cellStyle name="40% - Accent3 2 2 4 2 3" xfId="13035" xr:uid="{00000000-0005-0000-0000-0000C73A0000}"/>
    <cellStyle name="40% - Accent3 2 2 4 2 4" xfId="20990" xr:uid="{00000000-0005-0000-0000-0000C83A0000}"/>
    <cellStyle name="40% - Accent3 2 2 4 3" xfId="6843" xr:uid="{00000000-0005-0000-0000-0000C93A0000}"/>
    <cellStyle name="40% - Accent3 2 2 4 3 2" xfId="14815" xr:uid="{00000000-0005-0000-0000-0000CA3A0000}"/>
    <cellStyle name="40% - Accent3 2 2 4 3 3" xfId="22762" xr:uid="{00000000-0005-0000-0000-0000CB3A0000}"/>
    <cellStyle name="40% - Accent3 2 2 4 4" xfId="11279" xr:uid="{00000000-0005-0000-0000-0000CC3A0000}"/>
    <cellStyle name="40% - Accent3 2 2 4 5" xfId="19234" xr:uid="{00000000-0005-0000-0000-0000CD3A0000}"/>
    <cellStyle name="40% - Accent3 2 2 4_Exh G" xfId="2979" xr:uid="{00000000-0005-0000-0000-0000CE3A0000}"/>
    <cellStyle name="40% - Accent3 2 2 5" xfId="4132" xr:uid="{00000000-0005-0000-0000-0000CF3A0000}"/>
    <cellStyle name="40% - Accent3 2 2 5 2" xfId="7724" xr:uid="{00000000-0005-0000-0000-0000D03A0000}"/>
    <cellStyle name="40% - Accent3 2 2 5 2 2" xfId="15695" xr:uid="{00000000-0005-0000-0000-0000D13A0000}"/>
    <cellStyle name="40% - Accent3 2 2 5 2 3" xfId="23641" xr:uid="{00000000-0005-0000-0000-0000D23A0000}"/>
    <cellStyle name="40% - Accent3 2 2 5 3" xfId="12157" xr:uid="{00000000-0005-0000-0000-0000D33A0000}"/>
    <cellStyle name="40% - Accent3 2 2 5 4" xfId="20112" xr:uid="{00000000-0005-0000-0000-0000D43A0000}"/>
    <cellStyle name="40% - Accent3 2 2 6" xfId="5952" xr:uid="{00000000-0005-0000-0000-0000D53A0000}"/>
    <cellStyle name="40% - Accent3 2 2 6 2" xfId="13936" xr:uid="{00000000-0005-0000-0000-0000D63A0000}"/>
    <cellStyle name="40% - Accent3 2 2 6 3" xfId="21884" xr:uid="{00000000-0005-0000-0000-0000D73A0000}"/>
    <cellStyle name="40% - Accent3 2 2 7" xfId="9505" xr:uid="{00000000-0005-0000-0000-0000D83A0000}"/>
    <cellStyle name="40% - Accent3 2 2 7 2" xfId="17463" xr:uid="{00000000-0005-0000-0000-0000D93A0000}"/>
    <cellStyle name="40% - Accent3 2 2 7 3" xfId="25407" xr:uid="{00000000-0005-0000-0000-0000DA3A0000}"/>
    <cellStyle name="40% - Accent3 2 2 8" xfId="10401" xr:uid="{00000000-0005-0000-0000-0000DB3A0000}"/>
    <cellStyle name="40% - Accent3 2 2 9" xfId="18356" xr:uid="{00000000-0005-0000-0000-0000DC3A0000}"/>
    <cellStyle name="40% - Accent3 2 2_Exh G" xfId="2974" xr:uid="{00000000-0005-0000-0000-0000DD3A0000}"/>
    <cellStyle name="40% - Accent3 2 3" xfId="455" xr:uid="{00000000-0005-0000-0000-0000DE3A0000}"/>
    <cellStyle name="40% - Accent3 2 3 2" xfId="1483" xr:uid="{00000000-0005-0000-0000-0000DF3A0000}"/>
    <cellStyle name="40% - Accent3 2 3 2 2" xfId="5013" xr:uid="{00000000-0005-0000-0000-0000E03A0000}"/>
    <cellStyle name="40% - Accent3 2 3 2 2 2" xfId="8604" xr:uid="{00000000-0005-0000-0000-0000E13A0000}"/>
    <cellStyle name="40% - Accent3 2 3 2 2 2 2" xfId="16575" xr:uid="{00000000-0005-0000-0000-0000E23A0000}"/>
    <cellStyle name="40% - Accent3 2 3 2 2 2 3" xfId="24521" xr:uid="{00000000-0005-0000-0000-0000E33A0000}"/>
    <cellStyle name="40% - Accent3 2 3 2 2 3" xfId="13037" xr:uid="{00000000-0005-0000-0000-0000E43A0000}"/>
    <cellStyle name="40% - Accent3 2 3 2 2 4" xfId="20992" xr:uid="{00000000-0005-0000-0000-0000E53A0000}"/>
    <cellStyle name="40% - Accent3 2 3 2 3" xfId="6845" xr:uid="{00000000-0005-0000-0000-0000E63A0000}"/>
    <cellStyle name="40% - Accent3 2 3 2 3 2" xfId="14817" xr:uid="{00000000-0005-0000-0000-0000E73A0000}"/>
    <cellStyle name="40% - Accent3 2 3 2 3 3" xfId="22764" xr:uid="{00000000-0005-0000-0000-0000E83A0000}"/>
    <cellStyle name="40% - Accent3 2 3 2 4" xfId="11281" xr:uid="{00000000-0005-0000-0000-0000E93A0000}"/>
    <cellStyle name="40% - Accent3 2 3 2 5" xfId="19236" xr:uid="{00000000-0005-0000-0000-0000EA3A0000}"/>
    <cellStyle name="40% - Accent3 2 3 2_Exh G" xfId="2981" xr:uid="{00000000-0005-0000-0000-0000EB3A0000}"/>
    <cellStyle name="40% - Accent3 2 3 3" xfId="4134" xr:uid="{00000000-0005-0000-0000-0000EC3A0000}"/>
    <cellStyle name="40% - Accent3 2 3 3 2" xfId="7726" xr:uid="{00000000-0005-0000-0000-0000ED3A0000}"/>
    <cellStyle name="40% - Accent3 2 3 3 2 2" xfId="15697" xr:uid="{00000000-0005-0000-0000-0000EE3A0000}"/>
    <cellStyle name="40% - Accent3 2 3 3 2 3" xfId="23643" xr:uid="{00000000-0005-0000-0000-0000EF3A0000}"/>
    <cellStyle name="40% - Accent3 2 3 3 3" xfId="12159" xr:uid="{00000000-0005-0000-0000-0000F03A0000}"/>
    <cellStyle name="40% - Accent3 2 3 3 4" xfId="20114" xr:uid="{00000000-0005-0000-0000-0000F13A0000}"/>
    <cellStyle name="40% - Accent3 2 3 4" xfId="5954" xr:uid="{00000000-0005-0000-0000-0000F23A0000}"/>
    <cellStyle name="40% - Accent3 2 3 4 2" xfId="13938" xr:uid="{00000000-0005-0000-0000-0000F33A0000}"/>
    <cellStyle name="40% - Accent3 2 3 4 3" xfId="21886" xr:uid="{00000000-0005-0000-0000-0000F43A0000}"/>
    <cellStyle name="40% - Accent3 2 3 5" xfId="9507" xr:uid="{00000000-0005-0000-0000-0000F53A0000}"/>
    <cellStyle name="40% - Accent3 2 3 5 2" xfId="17465" xr:uid="{00000000-0005-0000-0000-0000F63A0000}"/>
    <cellStyle name="40% - Accent3 2 3 5 3" xfId="25409" xr:uid="{00000000-0005-0000-0000-0000F73A0000}"/>
    <cellStyle name="40% - Accent3 2 3 6" xfId="10403" xr:uid="{00000000-0005-0000-0000-0000F83A0000}"/>
    <cellStyle name="40% - Accent3 2 3 7" xfId="18358" xr:uid="{00000000-0005-0000-0000-0000F93A0000}"/>
    <cellStyle name="40% - Accent3 2 3_Exh G" xfId="2980" xr:uid="{00000000-0005-0000-0000-0000FA3A0000}"/>
    <cellStyle name="40% - Accent3 2 4" xfId="959" xr:uid="{00000000-0005-0000-0000-0000FB3A0000}"/>
    <cellStyle name="40% - Accent3 2 4 2" xfId="1879" xr:uid="{00000000-0005-0000-0000-0000FC3A0000}"/>
    <cellStyle name="40% - Accent3 2 4 2 2" xfId="5397" xr:uid="{00000000-0005-0000-0000-0000FD3A0000}"/>
    <cellStyle name="40% - Accent3 2 4 2 2 2" xfId="8988" xr:uid="{00000000-0005-0000-0000-0000FE3A0000}"/>
    <cellStyle name="40% - Accent3 2 4 2 2 2 2" xfId="16959" xr:uid="{00000000-0005-0000-0000-0000FF3A0000}"/>
    <cellStyle name="40% - Accent3 2 4 2 2 2 3" xfId="24905" xr:uid="{00000000-0005-0000-0000-0000003B0000}"/>
    <cellStyle name="40% - Accent3 2 4 2 2 3" xfId="13421" xr:uid="{00000000-0005-0000-0000-0000013B0000}"/>
    <cellStyle name="40% - Accent3 2 4 2 2 4" xfId="21376" xr:uid="{00000000-0005-0000-0000-0000023B0000}"/>
    <cellStyle name="40% - Accent3 2 4 2 3" xfId="7229" xr:uid="{00000000-0005-0000-0000-0000033B0000}"/>
    <cellStyle name="40% - Accent3 2 4 2 3 2" xfId="15201" xr:uid="{00000000-0005-0000-0000-0000043B0000}"/>
    <cellStyle name="40% - Accent3 2 4 2 3 3" xfId="23148" xr:uid="{00000000-0005-0000-0000-0000053B0000}"/>
    <cellStyle name="40% - Accent3 2 4 2 4" xfId="11665" xr:uid="{00000000-0005-0000-0000-0000063B0000}"/>
    <cellStyle name="40% - Accent3 2 4 2 5" xfId="19620" xr:uid="{00000000-0005-0000-0000-0000073B0000}"/>
    <cellStyle name="40% - Accent3 2 4 2_Exh G" xfId="2983" xr:uid="{00000000-0005-0000-0000-0000083B0000}"/>
    <cellStyle name="40% - Accent3 2 4 3" xfId="4518" xr:uid="{00000000-0005-0000-0000-0000093B0000}"/>
    <cellStyle name="40% - Accent3 2 4 3 2" xfId="8110" xr:uid="{00000000-0005-0000-0000-00000A3B0000}"/>
    <cellStyle name="40% - Accent3 2 4 3 2 2" xfId="16081" xr:uid="{00000000-0005-0000-0000-00000B3B0000}"/>
    <cellStyle name="40% - Accent3 2 4 3 2 3" xfId="24027" xr:uid="{00000000-0005-0000-0000-00000C3B0000}"/>
    <cellStyle name="40% - Accent3 2 4 3 3" xfId="12543" xr:uid="{00000000-0005-0000-0000-00000D3B0000}"/>
    <cellStyle name="40% - Accent3 2 4 3 4" xfId="20498" xr:uid="{00000000-0005-0000-0000-00000E3B0000}"/>
    <cellStyle name="40% - Accent3 2 4 4" xfId="6348" xr:uid="{00000000-0005-0000-0000-00000F3B0000}"/>
    <cellStyle name="40% - Accent3 2 4 4 2" xfId="14323" xr:uid="{00000000-0005-0000-0000-0000103B0000}"/>
    <cellStyle name="40% - Accent3 2 4 4 3" xfId="22270" xr:uid="{00000000-0005-0000-0000-0000113B0000}"/>
    <cellStyle name="40% - Accent3 2 4 5" xfId="9891" xr:uid="{00000000-0005-0000-0000-0000123B0000}"/>
    <cellStyle name="40% - Accent3 2 4 5 2" xfId="17849" xr:uid="{00000000-0005-0000-0000-0000133B0000}"/>
    <cellStyle name="40% - Accent3 2 4 5 3" xfId="25793" xr:uid="{00000000-0005-0000-0000-0000143B0000}"/>
    <cellStyle name="40% - Accent3 2 4 6" xfId="10787" xr:uid="{00000000-0005-0000-0000-0000153B0000}"/>
    <cellStyle name="40% - Accent3 2 4 7" xfId="18742" xr:uid="{00000000-0005-0000-0000-0000163B0000}"/>
    <cellStyle name="40% - Accent3 2 4_Exh G" xfId="2982" xr:uid="{00000000-0005-0000-0000-0000173B0000}"/>
    <cellStyle name="40% - Accent3 2 5" xfId="1480" xr:uid="{00000000-0005-0000-0000-0000183B0000}"/>
    <cellStyle name="40% - Accent3 2 5 2" xfId="5010" xr:uid="{00000000-0005-0000-0000-0000193B0000}"/>
    <cellStyle name="40% - Accent3 2 5 2 2" xfId="8601" xr:uid="{00000000-0005-0000-0000-00001A3B0000}"/>
    <cellStyle name="40% - Accent3 2 5 2 2 2" xfId="16572" xr:uid="{00000000-0005-0000-0000-00001B3B0000}"/>
    <cellStyle name="40% - Accent3 2 5 2 2 3" xfId="24518" xr:uid="{00000000-0005-0000-0000-00001C3B0000}"/>
    <cellStyle name="40% - Accent3 2 5 2 3" xfId="13034" xr:uid="{00000000-0005-0000-0000-00001D3B0000}"/>
    <cellStyle name="40% - Accent3 2 5 2 4" xfId="20989" xr:uid="{00000000-0005-0000-0000-00001E3B0000}"/>
    <cellStyle name="40% - Accent3 2 5 3" xfId="6842" xr:uid="{00000000-0005-0000-0000-00001F3B0000}"/>
    <cellStyle name="40% - Accent3 2 5 3 2" xfId="14814" xr:uid="{00000000-0005-0000-0000-0000203B0000}"/>
    <cellStyle name="40% - Accent3 2 5 3 3" xfId="22761" xr:uid="{00000000-0005-0000-0000-0000213B0000}"/>
    <cellStyle name="40% - Accent3 2 5 4" xfId="11278" xr:uid="{00000000-0005-0000-0000-0000223B0000}"/>
    <cellStyle name="40% - Accent3 2 5 5" xfId="19233" xr:uid="{00000000-0005-0000-0000-0000233B0000}"/>
    <cellStyle name="40% - Accent3 2 5_Exh G" xfId="2984" xr:uid="{00000000-0005-0000-0000-0000243B0000}"/>
    <cellStyle name="40% - Accent3 2 6" xfId="4131" xr:uid="{00000000-0005-0000-0000-0000253B0000}"/>
    <cellStyle name="40% - Accent3 2 6 2" xfId="7723" xr:uid="{00000000-0005-0000-0000-0000263B0000}"/>
    <cellStyle name="40% - Accent3 2 6 2 2" xfId="15694" xr:uid="{00000000-0005-0000-0000-0000273B0000}"/>
    <cellStyle name="40% - Accent3 2 6 2 3" xfId="23640" xr:uid="{00000000-0005-0000-0000-0000283B0000}"/>
    <cellStyle name="40% - Accent3 2 6 3" xfId="12156" xr:uid="{00000000-0005-0000-0000-0000293B0000}"/>
    <cellStyle name="40% - Accent3 2 6 4" xfId="20111" xr:uid="{00000000-0005-0000-0000-00002A3B0000}"/>
    <cellStyle name="40% - Accent3 2 7" xfId="5951" xr:uid="{00000000-0005-0000-0000-00002B3B0000}"/>
    <cellStyle name="40% - Accent3 2 7 2" xfId="13935" xr:uid="{00000000-0005-0000-0000-00002C3B0000}"/>
    <cellStyle name="40% - Accent3 2 7 3" xfId="21883" xr:uid="{00000000-0005-0000-0000-00002D3B0000}"/>
    <cellStyle name="40% - Accent3 2 8" xfId="9504" xr:uid="{00000000-0005-0000-0000-00002E3B0000}"/>
    <cellStyle name="40% - Accent3 2 8 2" xfId="17462" xr:uid="{00000000-0005-0000-0000-00002F3B0000}"/>
    <cellStyle name="40% - Accent3 2 8 3" xfId="25406" xr:uid="{00000000-0005-0000-0000-0000303B0000}"/>
    <cellStyle name="40% - Accent3 2 9" xfId="10400" xr:uid="{00000000-0005-0000-0000-0000313B0000}"/>
    <cellStyle name="40% - Accent3 2_Exh G" xfId="2973" xr:uid="{00000000-0005-0000-0000-0000323B0000}"/>
    <cellStyle name="40% - Accent3 3" xfId="456" xr:uid="{00000000-0005-0000-0000-0000333B0000}"/>
    <cellStyle name="40% - Accent3 3 10" xfId="18359" xr:uid="{00000000-0005-0000-0000-0000343B0000}"/>
    <cellStyle name="40% - Accent3 3 2" xfId="457" xr:uid="{00000000-0005-0000-0000-0000353B0000}"/>
    <cellStyle name="40% - Accent3 3 2 2" xfId="458" xr:uid="{00000000-0005-0000-0000-0000363B0000}"/>
    <cellStyle name="40% - Accent3 3 2 2 2" xfId="1486" xr:uid="{00000000-0005-0000-0000-0000373B0000}"/>
    <cellStyle name="40% - Accent3 3 2 2 2 2" xfId="5016" xr:uid="{00000000-0005-0000-0000-0000383B0000}"/>
    <cellStyle name="40% - Accent3 3 2 2 2 2 2" xfId="8607" xr:uid="{00000000-0005-0000-0000-0000393B0000}"/>
    <cellStyle name="40% - Accent3 3 2 2 2 2 2 2" xfId="16578" xr:uid="{00000000-0005-0000-0000-00003A3B0000}"/>
    <cellStyle name="40% - Accent3 3 2 2 2 2 2 3" xfId="24524" xr:uid="{00000000-0005-0000-0000-00003B3B0000}"/>
    <cellStyle name="40% - Accent3 3 2 2 2 2 3" xfId="13040" xr:uid="{00000000-0005-0000-0000-00003C3B0000}"/>
    <cellStyle name="40% - Accent3 3 2 2 2 2 4" xfId="20995" xr:uid="{00000000-0005-0000-0000-00003D3B0000}"/>
    <cellStyle name="40% - Accent3 3 2 2 2 3" xfId="6848" xr:uid="{00000000-0005-0000-0000-00003E3B0000}"/>
    <cellStyle name="40% - Accent3 3 2 2 2 3 2" xfId="14820" xr:uid="{00000000-0005-0000-0000-00003F3B0000}"/>
    <cellStyle name="40% - Accent3 3 2 2 2 3 3" xfId="22767" xr:uid="{00000000-0005-0000-0000-0000403B0000}"/>
    <cellStyle name="40% - Accent3 3 2 2 2 4" xfId="11284" xr:uid="{00000000-0005-0000-0000-0000413B0000}"/>
    <cellStyle name="40% - Accent3 3 2 2 2 5" xfId="19239" xr:uid="{00000000-0005-0000-0000-0000423B0000}"/>
    <cellStyle name="40% - Accent3 3 2 2 2_Exh G" xfId="2988" xr:uid="{00000000-0005-0000-0000-0000433B0000}"/>
    <cellStyle name="40% - Accent3 3 2 2 3" xfId="4137" xr:uid="{00000000-0005-0000-0000-0000443B0000}"/>
    <cellStyle name="40% - Accent3 3 2 2 3 2" xfId="7729" xr:uid="{00000000-0005-0000-0000-0000453B0000}"/>
    <cellStyle name="40% - Accent3 3 2 2 3 2 2" xfId="15700" xr:uid="{00000000-0005-0000-0000-0000463B0000}"/>
    <cellStyle name="40% - Accent3 3 2 2 3 2 3" xfId="23646" xr:uid="{00000000-0005-0000-0000-0000473B0000}"/>
    <cellStyle name="40% - Accent3 3 2 2 3 3" xfId="12162" xr:uid="{00000000-0005-0000-0000-0000483B0000}"/>
    <cellStyle name="40% - Accent3 3 2 2 3 4" xfId="20117" xr:uid="{00000000-0005-0000-0000-0000493B0000}"/>
    <cellStyle name="40% - Accent3 3 2 2 4" xfId="5957" xr:uid="{00000000-0005-0000-0000-00004A3B0000}"/>
    <cellStyle name="40% - Accent3 3 2 2 4 2" xfId="13941" xr:uid="{00000000-0005-0000-0000-00004B3B0000}"/>
    <cellStyle name="40% - Accent3 3 2 2 4 3" xfId="21889" xr:uid="{00000000-0005-0000-0000-00004C3B0000}"/>
    <cellStyle name="40% - Accent3 3 2 2 5" xfId="9510" xr:uid="{00000000-0005-0000-0000-00004D3B0000}"/>
    <cellStyle name="40% - Accent3 3 2 2 5 2" xfId="17468" xr:uid="{00000000-0005-0000-0000-00004E3B0000}"/>
    <cellStyle name="40% - Accent3 3 2 2 5 3" xfId="25412" xr:uid="{00000000-0005-0000-0000-00004F3B0000}"/>
    <cellStyle name="40% - Accent3 3 2 2 6" xfId="10406" xr:uid="{00000000-0005-0000-0000-0000503B0000}"/>
    <cellStyle name="40% - Accent3 3 2 2 7" xfId="18361" xr:uid="{00000000-0005-0000-0000-0000513B0000}"/>
    <cellStyle name="40% - Accent3 3 2 2_Exh G" xfId="2987" xr:uid="{00000000-0005-0000-0000-0000523B0000}"/>
    <cellStyle name="40% - Accent3 3 2 3" xfId="962" xr:uid="{00000000-0005-0000-0000-0000533B0000}"/>
    <cellStyle name="40% - Accent3 3 2 3 2" xfId="1882" xr:uid="{00000000-0005-0000-0000-0000543B0000}"/>
    <cellStyle name="40% - Accent3 3 2 3 2 2" xfId="5400" xr:uid="{00000000-0005-0000-0000-0000553B0000}"/>
    <cellStyle name="40% - Accent3 3 2 3 2 2 2" xfId="8991" xr:uid="{00000000-0005-0000-0000-0000563B0000}"/>
    <cellStyle name="40% - Accent3 3 2 3 2 2 2 2" xfId="16962" xr:uid="{00000000-0005-0000-0000-0000573B0000}"/>
    <cellStyle name="40% - Accent3 3 2 3 2 2 2 3" xfId="24908" xr:uid="{00000000-0005-0000-0000-0000583B0000}"/>
    <cellStyle name="40% - Accent3 3 2 3 2 2 3" xfId="13424" xr:uid="{00000000-0005-0000-0000-0000593B0000}"/>
    <cellStyle name="40% - Accent3 3 2 3 2 2 4" xfId="21379" xr:uid="{00000000-0005-0000-0000-00005A3B0000}"/>
    <cellStyle name="40% - Accent3 3 2 3 2 3" xfId="7232" xr:uid="{00000000-0005-0000-0000-00005B3B0000}"/>
    <cellStyle name="40% - Accent3 3 2 3 2 3 2" xfId="15204" xr:uid="{00000000-0005-0000-0000-00005C3B0000}"/>
    <cellStyle name="40% - Accent3 3 2 3 2 3 3" xfId="23151" xr:uid="{00000000-0005-0000-0000-00005D3B0000}"/>
    <cellStyle name="40% - Accent3 3 2 3 2 4" xfId="11668" xr:uid="{00000000-0005-0000-0000-00005E3B0000}"/>
    <cellStyle name="40% - Accent3 3 2 3 2 5" xfId="19623" xr:uid="{00000000-0005-0000-0000-00005F3B0000}"/>
    <cellStyle name="40% - Accent3 3 2 3 2_Exh G" xfId="2990" xr:uid="{00000000-0005-0000-0000-0000603B0000}"/>
    <cellStyle name="40% - Accent3 3 2 3 3" xfId="4521" xr:uid="{00000000-0005-0000-0000-0000613B0000}"/>
    <cellStyle name="40% - Accent3 3 2 3 3 2" xfId="8113" xr:uid="{00000000-0005-0000-0000-0000623B0000}"/>
    <cellStyle name="40% - Accent3 3 2 3 3 2 2" xfId="16084" xr:uid="{00000000-0005-0000-0000-0000633B0000}"/>
    <cellStyle name="40% - Accent3 3 2 3 3 2 3" xfId="24030" xr:uid="{00000000-0005-0000-0000-0000643B0000}"/>
    <cellStyle name="40% - Accent3 3 2 3 3 3" xfId="12546" xr:uid="{00000000-0005-0000-0000-0000653B0000}"/>
    <cellStyle name="40% - Accent3 3 2 3 3 4" xfId="20501" xr:uid="{00000000-0005-0000-0000-0000663B0000}"/>
    <cellStyle name="40% - Accent3 3 2 3 4" xfId="6351" xr:uid="{00000000-0005-0000-0000-0000673B0000}"/>
    <cellStyle name="40% - Accent3 3 2 3 4 2" xfId="14326" xr:uid="{00000000-0005-0000-0000-0000683B0000}"/>
    <cellStyle name="40% - Accent3 3 2 3 4 3" xfId="22273" xr:uid="{00000000-0005-0000-0000-0000693B0000}"/>
    <cellStyle name="40% - Accent3 3 2 3 5" xfId="9894" xr:uid="{00000000-0005-0000-0000-00006A3B0000}"/>
    <cellStyle name="40% - Accent3 3 2 3 5 2" xfId="17852" xr:uid="{00000000-0005-0000-0000-00006B3B0000}"/>
    <cellStyle name="40% - Accent3 3 2 3 5 3" xfId="25796" xr:uid="{00000000-0005-0000-0000-00006C3B0000}"/>
    <cellStyle name="40% - Accent3 3 2 3 6" xfId="10790" xr:uid="{00000000-0005-0000-0000-00006D3B0000}"/>
    <cellStyle name="40% - Accent3 3 2 3 7" xfId="18745" xr:uid="{00000000-0005-0000-0000-00006E3B0000}"/>
    <cellStyle name="40% - Accent3 3 2 3_Exh G" xfId="2989" xr:uid="{00000000-0005-0000-0000-00006F3B0000}"/>
    <cellStyle name="40% - Accent3 3 2 4" xfId="1485" xr:uid="{00000000-0005-0000-0000-0000703B0000}"/>
    <cellStyle name="40% - Accent3 3 2 4 2" xfId="5015" xr:uid="{00000000-0005-0000-0000-0000713B0000}"/>
    <cellStyle name="40% - Accent3 3 2 4 2 2" xfId="8606" xr:uid="{00000000-0005-0000-0000-0000723B0000}"/>
    <cellStyle name="40% - Accent3 3 2 4 2 2 2" xfId="16577" xr:uid="{00000000-0005-0000-0000-0000733B0000}"/>
    <cellStyle name="40% - Accent3 3 2 4 2 2 3" xfId="24523" xr:uid="{00000000-0005-0000-0000-0000743B0000}"/>
    <cellStyle name="40% - Accent3 3 2 4 2 3" xfId="13039" xr:uid="{00000000-0005-0000-0000-0000753B0000}"/>
    <cellStyle name="40% - Accent3 3 2 4 2 4" xfId="20994" xr:uid="{00000000-0005-0000-0000-0000763B0000}"/>
    <cellStyle name="40% - Accent3 3 2 4 3" xfId="6847" xr:uid="{00000000-0005-0000-0000-0000773B0000}"/>
    <cellStyle name="40% - Accent3 3 2 4 3 2" xfId="14819" xr:uid="{00000000-0005-0000-0000-0000783B0000}"/>
    <cellStyle name="40% - Accent3 3 2 4 3 3" xfId="22766" xr:uid="{00000000-0005-0000-0000-0000793B0000}"/>
    <cellStyle name="40% - Accent3 3 2 4 4" xfId="11283" xr:uid="{00000000-0005-0000-0000-00007A3B0000}"/>
    <cellStyle name="40% - Accent3 3 2 4 5" xfId="19238" xr:uid="{00000000-0005-0000-0000-00007B3B0000}"/>
    <cellStyle name="40% - Accent3 3 2 4_Exh G" xfId="2991" xr:uid="{00000000-0005-0000-0000-00007C3B0000}"/>
    <cellStyle name="40% - Accent3 3 2 5" xfId="4136" xr:uid="{00000000-0005-0000-0000-00007D3B0000}"/>
    <cellStyle name="40% - Accent3 3 2 5 2" xfId="7728" xr:uid="{00000000-0005-0000-0000-00007E3B0000}"/>
    <cellStyle name="40% - Accent3 3 2 5 2 2" xfId="15699" xr:uid="{00000000-0005-0000-0000-00007F3B0000}"/>
    <cellStyle name="40% - Accent3 3 2 5 2 3" xfId="23645" xr:uid="{00000000-0005-0000-0000-0000803B0000}"/>
    <cellStyle name="40% - Accent3 3 2 5 3" xfId="12161" xr:uid="{00000000-0005-0000-0000-0000813B0000}"/>
    <cellStyle name="40% - Accent3 3 2 5 4" xfId="20116" xr:uid="{00000000-0005-0000-0000-0000823B0000}"/>
    <cellStyle name="40% - Accent3 3 2 6" xfId="5956" xr:uid="{00000000-0005-0000-0000-0000833B0000}"/>
    <cellStyle name="40% - Accent3 3 2 6 2" xfId="13940" xr:uid="{00000000-0005-0000-0000-0000843B0000}"/>
    <cellStyle name="40% - Accent3 3 2 6 3" xfId="21888" xr:uid="{00000000-0005-0000-0000-0000853B0000}"/>
    <cellStyle name="40% - Accent3 3 2 7" xfId="9509" xr:uid="{00000000-0005-0000-0000-0000863B0000}"/>
    <cellStyle name="40% - Accent3 3 2 7 2" xfId="17467" xr:uid="{00000000-0005-0000-0000-0000873B0000}"/>
    <cellStyle name="40% - Accent3 3 2 7 3" xfId="25411" xr:uid="{00000000-0005-0000-0000-0000883B0000}"/>
    <cellStyle name="40% - Accent3 3 2 8" xfId="10405" xr:uid="{00000000-0005-0000-0000-0000893B0000}"/>
    <cellStyle name="40% - Accent3 3 2 9" xfId="18360" xr:uid="{00000000-0005-0000-0000-00008A3B0000}"/>
    <cellStyle name="40% - Accent3 3 2_Exh G" xfId="2986" xr:uid="{00000000-0005-0000-0000-00008B3B0000}"/>
    <cellStyle name="40% - Accent3 3 3" xfId="459" xr:uid="{00000000-0005-0000-0000-00008C3B0000}"/>
    <cellStyle name="40% - Accent3 3 3 2" xfId="1487" xr:uid="{00000000-0005-0000-0000-00008D3B0000}"/>
    <cellStyle name="40% - Accent3 3 3 2 2" xfId="5017" xr:uid="{00000000-0005-0000-0000-00008E3B0000}"/>
    <cellStyle name="40% - Accent3 3 3 2 2 2" xfId="8608" xr:uid="{00000000-0005-0000-0000-00008F3B0000}"/>
    <cellStyle name="40% - Accent3 3 3 2 2 2 2" xfId="16579" xr:uid="{00000000-0005-0000-0000-0000903B0000}"/>
    <cellStyle name="40% - Accent3 3 3 2 2 2 3" xfId="24525" xr:uid="{00000000-0005-0000-0000-0000913B0000}"/>
    <cellStyle name="40% - Accent3 3 3 2 2 3" xfId="13041" xr:uid="{00000000-0005-0000-0000-0000923B0000}"/>
    <cellStyle name="40% - Accent3 3 3 2 2 4" xfId="20996" xr:uid="{00000000-0005-0000-0000-0000933B0000}"/>
    <cellStyle name="40% - Accent3 3 3 2 3" xfId="6849" xr:uid="{00000000-0005-0000-0000-0000943B0000}"/>
    <cellStyle name="40% - Accent3 3 3 2 3 2" xfId="14821" xr:uid="{00000000-0005-0000-0000-0000953B0000}"/>
    <cellStyle name="40% - Accent3 3 3 2 3 3" xfId="22768" xr:uid="{00000000-0005-0000-0000-0000963B0000}"/>
    <cellStyle name="40% - Accent3 3 3 2 4" xfId="11285" xr:uid="{00000000-0005-0000-0000-0000973B0000}"/>
    <cellStyle name="40% - Accent3 3 3 2 5" xfId="19240" xr:uid="{00000000-0005-0000-0000-0000983B0000}"/>
    <cellStyle name="40% - Accent3 3 3 2_Exh G" xfId="2993" xr:uid="{00000000-0005-0000-0000-0000993B0000}"/>
    <cellStyle name="40% - Accent3 3 3 3" xfId="4138" xr:uid="{00000000-0005-0000-0000-00009A3B0000}"/>
    <cellStyle name="40% - Accent3 3 3 3 2" xfId="7730" xr:uid="{00000000-0005-0000-0000-00009B3B0000}"/>
    <cellStyle name="40% - Accent3 3 3 3 2 2" xfId="15701" xr:uid="{00000000-0005-0000-0000-00009C3B0000}"/>
    <cellStyle name="40% - Accent3 3 3 3 2 3" xfId="23647" xr:uid="{00000000-0005-0000-0000-00009D3B0000}"/>
    <cellStyle name="40% - Accent3 3 3 3 3" xfId="12163" xr:uid="{00000000-0005-0000-0000-00009E3B0000}"/>
    <cellStyle name="40% - Accent3 3 3 3 4" xfId="20118" xr:uid="{00000000-0005-0000-0000-00009F3B0000}"/>
    <cellStyle name="40% - Accent3 3 3 4" xfId="5958" xr:uid="{00000000-0005-0000-0000-0000A03B0000}"/>
    <cellStyle name="40% - Accent3 3 3 4 2" xfId="13942" xr:uid="{00000000-0005-0000-0000-0000A13B0000}"/>
    <cellStyle name="40% - Accent3 3 3 4 3" xfId="21890" xr:uid="{00000000-0005-0000-0000-0000A23B0000}"/>
    <cellStyle name="40% - Accent3 3 3 5" xfId="9511" xr:uid="{00000000-0005-0000-0000-0000A33B0000}"/>
    <cellStyle name="40% - Accent3 3 3 5 2" xfId="17469" xr:uid="{00000000-0005-0000-0000-0000A43B0000}"/>
    <cellStyle name="40% - Accent3 3 3 5 3" xfId="25413" xr:uid="{00000000-0005-0000-0000-0000A53B0000}"/>
    <cellStyle name="40% - Accent3 3 3 6" xfId="10407" xr:uid="{00000000-0005-0000-0000-0000A63B0000}"/>
    <cellStyle name="40% - Accent3 3 3 7" xfId="18362" xr:uid="{00000000-0005-0000-0000-0000A73B0000}"/>
    <cellStyle name="40% - Accent3 3 3_Exh G" xfId="2992" xr:uid="{00000000-0005-0000-0000-0000A83B0000}"/>
    <cellStyle name="40% - Accent3 3 4" xfId="961" xr:uid="{00000000-0005-0000-0000-0000A93B0000}"/>
    <cellStyle name="40% - Accent3 3 4 2" xfId="1881" xr:uid="{00000000-0005-0000-0000-0000AA3B0000}"/>
    <cellStyle name="40% - Accent3 3 4 2 2" xfId="5399" xr:uid="{00000000-0005-0000-0000-0000AB3B0000}"/>
    <cellStyle name="40% - Accent3 3 4 2 2 2" xfId="8990" xr:uid="{00000000-0005-0000-0000-0000AC3B0000}"/>
    <cellStyle name="40% - Accent3 3 4 2 2 2 2" xfId="16961" xr:uid="{00000000-0005-0000-0000-0000AD3B0000}"/>
    <cellStyle name="40% - Accent3 3 4 2 2 2 3" xfId="24907" xr:uid="{00000000-0005-0000-0000-0000AE3B0000}"/>
    <cellStyle name="40% - Accent3 3 4 2 2 3" xfId="13423" xr:uid="{00000000-0005-0000-0000-0000AF3B0000}"/>
    <cellStyle name="40% - Accent3 3 4 2 2 4" xfId="21378" xr:uid="{00000000-0005-0000-0000-0000B03B0000}"/>
    <cellStyle name="40% - Accent3 3 4 2 3" xfId="7231" xr:uid="{00000000-0005-0000-0000-0000B13B0000}"/>
    <cellStyle name="40% - Accent3 3 4 2 3 2" xfId="15203" xr:uid="{00000000-0005-0000-0000-0000B23B0000}"/>
    <cellStyle name="40% - Accent3 3 4 2 3 3" xfId="23150" xr:uid="{00000000-0005-0000-0000-0000B33B0000}"/>
    <cellStyle name="40% - Accent3 3 4 2 4" xfId="11667" xr:uid="{00000000-0005-0000-0000-0000B43B0000}"/>
    <cellStyle name="40% - Accent3 3 4 2 5" xfId="19622" xr:uid="{00000000-0005-0000-0000-0000B53B0000}"/>
    <cellStyle name="40% - Accent3 3 4 2_Exh G" xfId="2995" xr:uid="{00000000-0005-0000-0000-0000B63B0000}"/>
    <cellStyle name="40% - Accent3 3 4 3" xfId="4520" xr:uid="{00000000-0005-0000-0000-0000B73B0000}"/>
    <cellStyle name="40% - Accent3 3 4 3 2" xfId="8112" xr:uid="{00000000-0005-0000-0000-0000B83B0000}"/>
    <cellStyle name="40% - Accent3 3 4 3 2 2" xfId="16083" xr:uid="{00000000-0005-0000-0000-0000B93B0000}"/>
    <cellStyle name="40% - Accent3 3 4 3 2 3" xfId="24029" xr:uid="{00000000-0005-0000-0000-0000BA3B0000}"/>
    <cellStyle name="40% - Accent3 3 4 3 3" xfId="12545" xr:uid="{00000000-0005-0000-0000-0000BB3B0000}"/>
    <cellStyle name="40% - Accent3 3 4 3 4" xfId="20500" xr:uid="{00000000-0005-0000-0000-0000BC3B0000}"/>
    <cellStyle name="40% - Accent3 3 4 4" xfId="6350" xr:uid="{00000000-0005-0000-0000-0000BD3B0000}"/>
    <cellStyle name="40% - Accent3 3 4 4 2" xfId="14325" xr:uid="{00000000-0005-0000-0000-0000BE3B0000}"/>
    <cellStyle name="40% - Accent3 3 4 4 3" xfId="22272" xr:uid="{00000000-0005-0000-0000-0000BF3B0000}"/>
    <cellStyle name="40% - Accent3 3 4 5" xfId="9893" xr:uid="{00000000-0005-0000-0000-0000C03B0000}"/>
    <cellStyle name="40% - Accent3 3 4 5 2" xfId="17851" xr:uid="{00000000-0005-0000-0000-0000C13B0000}"/>
    <cellStyle name="40% - Accent3 3 4 5 3" xfId="25795" xr:uid="{00000000-0005-0000-0000-0000C23B0000}"/>
    <cellStyle name="40% - Accent3 3 4 6" xfId="10789" xr:uid="{00000000-0005-0000-0000-0000C33B0000}"/>
    <cellStyle name="40% - Accent3 3 4 7" xfId="18744" xr:uid="{00000000-0005-0000-0000-0000C43B0000}"/>
    <cellStyle name="40% - Accent3 3 4_Exh G" xfId="2994" xr:uid="{00000000-0005-0000-0000-0000C53B0000}"/>
    <cellStyle name="40% - Accent3 3 5" xfId="1484" xr:uid="{00000000-0005-0000-0000-0000C63B0000}"/>
    <cellStyle name="40% - Accent3 3 5 2" xfId="5014" xr:uid="{00000000-0005-0000-0000-0000C73B0000}"/>
    <cellStyle name="40% - Accent3 3 5 2 2" xfId="8605" xr:uid="{00000000-0005-0000-0000-0000C83B0000}"/>
    <cellStyle name="40% - Accent3 3 5 2 2 2" xfId="16576" xr:uid="{00000000-0005-0000-0000-0000C93B0000}"/>
    <cellStyle name="40% - Accent3 3 5 2 2 3" xfId="24522" xr:uid="{00000000-0005-0000-0000-0000CA3B0000}"/>
    <cellStyle name="40% - Accent3 3 5 2 3" xfId="13038" xr:uid="{00000000-0005-0000-0000-0000CB3B0000}"/>
    <cellStyle name="40% - Accent3 3 5 2 4" xfId="20993" xr:uid="{00000000-0005-0000-0000-0000CC3B0000}"/>
    <cellStyle name="40% - Accent3 3 5 3" xfId="6846" xr:uid="{00000000-0005-0000-0000-0000CD3B0000}"/>
    <cellStyle name="40% - Accent3 3 5 3 2" xfId="14818" xr:uid="{00000000-0005-0000-0000-0000CE3B0000}"/>
    <cellStyle name="40% - Accent3 3 5 3 3" xfId="22765" xr:uid="{00000000-0005-0000-0000-0000CF3B0000}"/>
    <cellStyle name="40% - Accent3 3 5 4" xfId="11282" xr:uid="{00000000-0005-0000-0000-0000D03B0000}"/>
    <cellStyle name="40% - Accent3 3 5 5" xfId="19237" xr:uid="{00000000-0005-0000-0000-0000D13B0000}"/>
    <cellStyle name="40% - Accent3 3 5_Exh G" xfId="2996" xr:uid="{00000000-0005-0000-0000-0000D23B0000}"/>
    <cellStyle name="40% - Accent3 3 6" xfId="4135" xr:uid="{00000000-0005-0000-0000-0000D33B0000}"/>
    <cellStyle name="40% - Accent3 3 6 2" xfId="7727" xr:uid="{00000000-0005-0000-0000-0000D43B0000}"/>
    <cellStyle name="40% - Accent3 3 6 2 2" xfId="15698" xr:uid="{00000000-0005-0000-0000-0000D53B0000}"/>
    <cellStyle name="40% - Accent3 3 6 2 3" xfId="23644" xr:uid="{00000000-0005-0000-0000-0000D63B0000}"/>
    <cellStyle name="40% - Accent3 3 6 3" xfId="12160" xr:uid="{00000000-0005-0000-0000-0000D73B0000}"/>
    <cellStyle name="40% - Accent3 3 6 4" xfId="20115" xr:uid="{00000000-0005-0000-0000-0000D83B0000}"/>
    <cellStyle name="40% - Accent3 3 7" xfId="5955" xr:uid="{00000000-0005-0000-0000-0000D93B0000}"/>
    <cellStyle name="40% - Accent3 3 7 2" xfId="13939" xr:uid="{00000000-0005-0000-0000-0000DA3B0000}"/>
    <cellStyle name="40% - Accent3 3 7 3" xfId="21887" xr:uid="{00000000-0005-0000-0000-0000DB3B0000}"/>
    <cellStyle name="40% - Accent3 3 8" xfId="9508" xr:uid="{00000000-0005-0000-0000-0000DC3B0000}"/>
    <cellStyle name="40% - Accent3 3 8 2" xfId="17466" xr:uid="{00000000-0005-0000-0000-0000DD3B0000}"/>
    <cellStyle name="40% - Accent3 3 8 3" xfId="25410" xr:uid="{00000000-0005-0000-0000-0000DE3B0000}"/>
    <cellStyle name="40% - Accent3 3 9" xfId="10404" xr:uid="{00000000-0005-0000-0000-0000DF3B0000}"/>
    <cellStyle name="40% - Accent3 3_Exh G" xfId="2985" xr:uid="{00000000-0005-0000-0000-0000E03B0000}"/>
    <cellStyle name="40% - Accent3 4" xfId="460" xr:uid="{00000000-0005-0000-0000-0000E13B0000}"/>
    <cellStyle name="40% - Accent3 4 10" xfId="18363" xr:uid="{00000000-0005-0000-0000-0000E23B0000}"/>
    <cellStyle name="40% - Accent3 4 2" xfId="461" xr:uid="{00000000-0005-0000-0000-0000E33B0000}"/>
    <cellStyle name="40% - Accent3 4 2 2" xfId="462" xr:uid="{00000000-0005-0000-0000-0000E43B0000}"/>
    <cellStyle name="40% - Accent3 4 2 2 2" xfId="1490" xr:uid="{00000000-0005-0000-0000-0000E53B0000}"/>
    <cellStyle name="40% - Accent3 4 2 2 2 2" xfId="5020" xr:uid="{00000000-0005-0000-0000-0000E63B0000}"/>
    <cellStyle name="40% - Accent3 4 2 2 2 2 2" xfId="8611" xr:uid="{00000000-0005-0000-0000-0000E73B0000}"/>
    <cellStyle name="40% - Accent3 4 2 2 2 2 2 2" xfId="16582" xr:uid="{00000000-0005-0000-0000-0000E83B0000}"/>
    <cellStyle name="40% - Accent3 4 2 2 2 2 2 3" xfId="24528" xr:uid="{00000000-0005-0000-0000-0000E93B0000}"/>
    <cellStyle name="40% - Accent3 4 2 2 2 2 3" xfId="13044" xr:uid="{00000000-0005-0000-0000-0000EA3B0000}"/>
    <cellStyle name="40% - Accent3 4 2 2 2 2 4" xfId="20999" xr:uid="{00000000-0005-0000-0000-0000EB3B0000}"/>
    <cellStyle name="40% - Accent3 4 2 2 2 3" xfId="6852" xr:uid="{00000000-0005-0000-0000-0000EC3B0000}"/>
    <cellStyle name="40% - Accent3 4 2 2 2 3 2" xfId="14824" xr:uid="{00000000-0005-0000-0000-0000ED3B0000}"/>
    <cellStyle name="40% - Accent3 4 2 2 2 3 3" xfId="22771" xr:uid="{00000000-0005-0000-0000-0000EE3B0000}"/>
    <cellStyle name="40% - Accent3 4 2 2 2 4" xfId="11288" xr:uid="{00000000-0005-0000-0000-0000EF3B0000}"/>
    <cellStyle name="40% - Accent3 4 2 2 2 5" xfId="19243" xr:uid="{00000000-0005-0000-0000-0000F03B0000}"/>
    <cellStyle name="40% - Accent3 4 2 2 2_Exh G" xfId="3000" xr:uid="{00000000-0005-0000-0000-0000F13B0000}"/>
    <cellStyle name="40% - Accent3 4 2 2 3" xfId="4141" xr:uid="{00000000-0005-0000-0000-0000F23B0000}"/>
    <cellStyle name="40% - Accent3 4 2 2 3 2" xfId="7733" xr:uid="{00000000-0005-0000-0000-0000F33B0000}"/>
    <cellStyle name="40% - Accent3 4 2 2 3 2 2" xfId="15704" xr:uid="{00000000-0005-0000-0000-0000F43B0000}"/>
    <cellStyle name="40% - Accent3 4 2 2 3 2 3" xfId="23650" xr:uid="{00000000-0005-0000-0000-0000F53B0000}"/>
    <cellStyle name="40% - Accent3 4 2 2 3 3" xfId="12166" xr:uid="{00000000-0005-0000-0000-0000F63B0000}"/>
    <cellStyle name="40% - Accent3 4 2 2 3 4" xfId="20121" xr:uid="{00000000-0005-0000-0000-0000F73B0000}"/>
    <cellStyle name="40% - Accent3 4 2 2 4" xfId="5961" xr:uid="{00000000-0005-0000-0000-0000F83B0000}"/>
    <cellStyle name="40% - Accent3 4 2 2 4 2" xfId="13945" xr:uid="{00000000-0005-0000-0000-0000F93B0000}"/>
    <cellStyle name="40% - Accent3 4 2 2 4 3" xfId="21893" xr:uid="{00000000-0005-0000-0000-0000FA3B0000}"/>
    <cellStyle name="40% - Accent3 4 2 2 5" xfId="9514" xr:uid="{00000000-0005-0000-0000-0000FB3B0000}"/>
    <cellStyle name="40% - Accent3 4 2 2 5 2" xfId="17472" xr:uid="{00000000-0005-0000-0000-0000FC3B0000}"/>
    <cellStyle name="40% - Accent3 4 2 2 5 3" xfId="25416" xr:uid="{00000000-0005-0000-0000-0000FD3B0000}"/>
    <cellStyle name="40% - Accent3 4 2 2 6" xfId="10410" xr:uid="{00000000-0005-0000-0000-0000FE3B0000}"/>
    <cellStyle name="40% - Accent3 4 2 2 7" xfId="18365" xr:uid="{00000000-0005-0000-0000-0000FF3B0000}"/>
    <cellStyle name="40% - Accent3 4 2 2_Exh G" xfId="2999" xr:uid="{00000000-0005-0000-0000-0000003C0000}"/>
    <cellStyle name="40% - Accent3 4 2 3" xfId="964" xr:uid="{00000000-0005-0000-0000-0000013C0000}"/>
    <cellStyle name="40% - Accent3 4 2 3 2" xfId="1884" xr:uid="{00000000-0005-0000-0000-0000023C0000}"/>
    <cellStyle name="40% - Accent3 4 2 3 2 2" xfId="5402" xr:uid="{00000000-0005-0000-0000-0000033C0000}"/>
    <cellStyle name="40% - Accent3 4 2 3 2 2 2" xfId="8993" xr:uid="{00000000-0005-0000-0000-0000043C0000}"/>
    <cellStyle name="40% - Accent3 4 2 3 2 2 2 2" xfId="16964" xr:uid="{00000000-0005-0000-0000-0000053C0000}"/>
    <cellStyle name="40% - Accent3 4 2 3 2 2 2 3" xfId="24910" xr:uid="{00000000-0005-0000-0000-0000063C0000}"/>
    <cellStyle name="40% - Accent3 4 2 3 2 2 3" xfId="13426" xr:uid="{00000000-0005-0000-0000-0000073C0000}"/>
    <cellStyle name="40% - Accent3 4 2 3 2 2 4" xfId="21381" xr:uid="{00000000-0005-0000-0000-0000083C0000}"/>
    <cellStyle name="40% - Accent3 4 2 3 2 3" xfId="7234" xr:uid="{00000000-0005-0000-0000-0000093C0000}"/>
    <cellStyle name="40% - Accent3 4 2 3 2 3 2" xfId="15206" xr:uid="{00000000-0005-0000-0000-00000A3C0000}"/>
    <cellStyle name="40% - Accent3 4 2 3 2 3 3" xfId="23153" xr:uid="{00000000-0005-0000-0000-00000B3C0000}"/>
    <cellStyle name="40% - Accent3 4 2 3 2 4" xfId="11670" xr:uid="{00000000-0005-0000-0000-00000C3C0000}"/>
    <cellStyle name="40% - Accent3 4 2 3 2 5" xfId="19625" xr:uid="{00000000-0005-0000-0000-00000D3C0000}"/>
    <cellStyle name="40% - Accent3 4 2 3 2_Exh G" xfId="3002" xr:uid="{00000000-0005-0000-0000-00000E3C0000}"/>
    <cellStyle name="40% - Accent3 4 2 3 3" xfId="4523" xr:uid="{00000000-0005-0000-0000-00000F3C0000}"/>
    <cellStyle name="40% - Accent3 4 2 3 3 2" xfId="8115" xr:uid="{00000000-0005-0000-0000-0000103C0000}"/>
    <cellStyle name="40% - Accent3 4 2 3 3 2 2" xfId="16086" xr:uid="{00000000-0005-0000-0000-0000113C0000}"/>
    <cellStyle name="40% - Accent3 4 2 3 3 2 3" xfId="24032" xr:uid="{00000000-0005-0000-0000-0000123C0000}"/>
    <cellStyle name="40% - Accent3 4 2 3 3 3" xfId="12548" xr:uid="{00000000-0005-0000-0000-0000133C0000}"/>
    <cellStyle name="40% - Accent3 4 2 3 3 4" xfId="20503" xr:uid="{00000000-0005-0000-0000-0000143C0000}"/>
    <cellStyle name="40% - Accent3 4 2 3 4" xfId="6353" xr:uid="{00000000-0005-0000-0000-0000153C0000}"/>
    <cellStyle name="40% - Accent3 4 2 3 4 2" xfId="14328" xr:uid="{00000000-0005-0000-0000-0000163C0000}"/>
    <cellStyle name="40% - Accent3 4 2 3 4 3" xfId="22275" xr:uid="{00000000-0005-0000-0000-0000173C0000}"/>
    <cellStyle name="40% - Accent3 4 2 3 5" xfId="9896" xr:uid="{00000000-0005-0000-0000-0000183C0000}"/>
    <cellStyle name="40% - Accent3 4 2 3 5 2" xfId="17854" xr:uid="{00000000-0005-0000-0000-0000193C0000}"/>
    <cellStyle name="40% - Accent3 4 2 3 5 3" xfId="25798" xr:uid="{00000000-0005-0000-0000-00001A3C0000}"/>
    <cellStyle name="40% - Accent3 4 2 3 6" xfId="10792" xr:uid="{00000000-0005-0000-0000-00001B3C0000}"/>
    <cellStyle name="40% - Accent3 4 2 3 7" xfId="18747" xr:uid="{00000000-0005-0000-0000-00001C3C0000}"/>
    <cellStyle name="40% - Accent3 4 2 3_Exh G" xfId="3001" xr:uid="{00000000-0005-0000-0000-00001D3C0000}"/>
    <cellStyle name="40% - Accent3 4 2 4" xfId="1489" xr:uid="{00000000-0005-0000-0000-00001E3C0000}"/>
    <cellStyle name="40% - Accent3 4 2 4 2" xfId="5019" xr:uid="{00000000-0005-0000-0000-00001F3C0000}"/>
    <cellStyle name="40% - Accent3 4 2 4 2 2" xfId="8610" xr:uid="{00000000-0005-0000-0000-0000203C0000}"/>
    <cellStyle name="40% - Accent3 4 2 4 2 2 2" xfId="16581" xr:uid="{00000000-0005-0000-0000-0000213C0000}"/>
    <cellStyle name="40% - Accent3 4 2 4 2 2 3" xfId="24527" xr:uid="{00000000-0005-0000-0000-0000223C0000}"/>
    <cellStyle name="40% - Accent3 4 2 4 2 3" xfId="13043" xr:uid="{00000000-0005-0000-0000-0000233C0000}"/>
    <cellStyle name="40% - Accent3 4 2 4 2 4" xfId="20998" xr:uid="{00000000-0005-0000-0000-0000243C0000}"/>
    <cellStyle name="40% - Accent3 4 2 4 3" xfId="6851" xr:uid="{00000000-0005-0000-0000-0000253C0000}"/>
    <cellStyle name="40% - Accent3 4 2 4 3 2" xfId="14823" xr:uid="{00000000-0005-0000-0000-0000263C0000}"/>
    <cellStyle name="40% - Accent3 4 2 4 3 3" xfId="22770" xr:uid="{00000000-0005-0000-0000-0000273C0000}"/>
    <cellStyle name="40% - Accent3 4 2 4 4" xfId="11287" xr:uid="{00000000-0005-0000-0000-0000283C0000}"/>
    <cellStyle name="40% - Accent3 4 2 4 5" xfId="19242" xr:uid="{00000000-0005-0000-0000-0000293C0000}"/>
    <cellStyle name="40% - Accent3 4 2 4_Exh G" xfId="3003" xr:uid="{00000000-0005-0000-0000-00002A3C0000}"/>
    <cellStyle name="40% - Accent3 4 2 5" xfId="4140" xr:uid="{00000000-0005-0000-0000-00002B3C0000}"/>
    <cellStyle name="40% - Accent3 4 2 5 2" xfId="7732" xr:uid="{00000000-0005-0000-0000-00002C3C0000}"/>
    <cellStyle name="40% - Accent3 4 2 5 2 2" xfId="15703" xr:uid="{00000000-0005-0000-0000-00002D3C0000}"/>
    <cellStyle name="40% - Accent3 4 2 5 2 3" xfId="23649" xr:uid="{00000000-0005-0000-0000-00002E3C0000}"/>
    <cellStyle name="40% - Accent3 4 2 5 3" xfId="12165" xr:uid="{00000000-0005-0000-0000-00002F3C0000}"/>
    <cellStyle name="40% - Accent3 4 2 5 4" xfId="20120" xr:uid="{00000000-0005-0000-0000-0000303C0000}"/>
    <cellStyle name="40% - Accent3 4 2 6" xfId="5960" xr:uid="{00000000-0005-0000-0000-0000313C0000}"/>
    <cellStyle name="40% - Accent3 4 2 6 2" xfId="13944" xr:uid="{00000000-0005-0000-0000-0000323C0000}"/>
    <cellStyle name="40% - Accent3 4 2 6 3" xfId="21892" xr:uid="{00000000-0005-0000-0000-0000333C0000}"/>
    <cellStyle name="40% - Accent3 4 2 7" xfId="9513" xr:uid="{00000000-0005-0000-0000-0000343C0000}"/>
    <cellStyle name="40% - Accent3 4 2 7 2" xfId="17471" xr:uid="{00000000-0005-0000-0000-0000353C0000}"/>
    <cellStyle name="40% - Accent3 4 2 7 3" xfId="25415" xr:uid="{00000000-0005-0000-0000-0000363C0000}"/>
    <cellStyle name="40% - Accent3 4 2 8" xfId="10409" xr:uid="{00000000-0005-0000-0000-0000373C0000}"/>
    <cellStyle name="40% - Accent3 4 2 9" xfId="18364" xr:uid="{00000000-0005-0000-0000-0000383C0000}"/>
    <cellStyle name="40% - Accent3 4 2_Exh G" xfId="2998" xr:uid="{00000000-0005-0000-0000-0000393C0000}"/>
    <cellStyle name="40% - Accent3 4 3" xfId="463" xr:uid="{00000000-0005-0000-0000-00003A3C0000}"/>
    <cellStyle name="40% - Accent3 4 3 2" xfId="1491" xr:uid="{00000000-0005-0000-0000-00003B3C0000}"/>
    <cellStyle name="40% - Accent3 4 3 2 2" xfId="5021" xr:uid="{00000000-0005-0000-0000-00003C3C0000}"/>
    <cellStyle name="40% - Accent3 4 3 2 2 2" xfId="8612" xr:uid="{00000000-0005-0000-0000-00003D3C0000}"/>
    <cellStyle name="40% - Accent3 4 3 2 2 2 2" xfId="16583" xr:uid="{00000000-0005-0000-0000-00003E3C0000}"/>
    <cellStyle name="40% - Accent3 4 3 2 2 2 3" xfId="24529" xr:uid="{00000000-0005-0000-0000-00003F3C0000}"/>
    <cellStyle name="40% - Accent3 4 3 2 2 3" xfId="13045" xr:uid="{00000000-0005-0000-0000-0000403C0000}"/>
    <cellStyle name="40% - Accent3 4 3 2 2 4" xfId="21000" xr:uid="{00000000-0005-0000-0000-0000413C0000}"/>
    <cellStyle name="40% - Accent3 4 3 2 3" xfId="6853" xr:uid="{00000000-0005-0000-0000-0000423C0000}"/>
    <cellStyle name="40% - Accent3 4 3 2 3 2" xfId="14825" xr:uid="{00000000-0005-0000-0000-0000433C0000}"/>
    <cellStyle name="40% - Accent3 4 3 2 3 3" xfId="22772" xr:uid="{00000000-0005-0000-0000-0000443C0000}"/>
    <cellStyle name="40% - Accent3 4 3 2 4" xfId="11289" xr:uid="{00000000-0005-0000-0000-0000453C0000}"/>
    <cellStyle name="40% - Accent3 4 3 2 5" xfId="19244" xr:uid="{00000000-0005-0000-0000-0000463C0000}"/>
    <cellStyle name="40% - Accent3 4 3 2_Exh G" xfId="3005" xr:uid="{00000000-0005-0000-0000-0000473C0000}"/>
    <cellStyle name="40% - Accent3 4 3 3" xfId="4142" xr:uid="{00000000-0005-0000-0000-0000483C0000}"/>
    <cellStyle name="40% - Accent3 4 3 3 2" xfId="7734" xr:uid="{00000000-0005-0000-0000-0000493C0000}"/>
    <cellStyle name="40% - Accent3 4 3 3 2 2" xfId="15705" xr:uid="{00000000-0005-0000-0000-00004A3C0000}"/>
    <cellStyle name="40% - Accent3 4 3 3 2 3" xfId="23651" xr:uid="{00000000-0005-0000-0000-00004B3C0000}"/>
    <cellStyle name="40% - Accent3 4 3 3 3" xfId="12167" xr:uid="{00000000-0005-0000-0000-00004C3C0000}"/>
    <cellStyle name="40% - Accent3 4 3 3 4" xfId="20122" xr:uid="{00000000-0005-0000-0000-00004D3C0000}"/>
    <cellStyle name="40% - Accent3 4 3 4" xfId="5962" xr:uid="{00000000-0005-0000-0000-00004E3C0000}"/>
    <cellStyle name="40% - Accent3 4 3 4 2" xfId="13946" xr:uid="{00000000-0005-0000-0000-00004F3C0000}"/>
    <cellStyle name="40% - Accent3 4 3 4 3" xfId="21894" xr:uid="{00000000-0005-0000-0000-0000503C0000}"/>
    <cellStyle name="40% - Accent3 4 3 5" xfId="9515" xr:uid="{00000000-0005-0000-0000-0000513C0000}"/>
    <cellStyle name="40% - Accent3 4 3 5 2" xfId="17473" xr:uid="{00000000-0005-0000-0000-0000523C0000}"/>
    <cellStyle name="40% - Accent3 4 3 5 3" xfId="25417" xr:uid="{00000000-0005-0000-0000-0000533C0000}"/>
    <cellStyle name="40% - Accent3 4 3 6" xfId="10411" xr:uid="{00000000-0005-0000-0000-0000543C0000}"/>
    <cellStyle name="40% - Accent3 4 3 7" xfId="18366" xr:uid="{00000000-0005-0000-0000-0000553C0000}"/>
    <cellStyle name="40% - Accent3 4 3_Exh G" xfId="3004" xr:uid="{00000000-0005-0000-0000-0000563C0000}"/>
    <cellStyle name="40% - Accent3 4 4" xfId="963" xr:uid="{00000000-0005-0000-0000-0000573C0000}"/>
    <cellStyle name="40% - Accent3 4 4 2" xfId="1883" xr:uid="{00000000-0005-0000-0000-0000583C0000}"/>
    <cellStyle name="40% - Accent3 4 4 2 2" xfId="5401" xr:uid="{00000000-0005-0000-0000-0000593C0000}"/>
    <cellStyle name="40% - Accent3 4 4 2 2 2" xfId="8992" xr:uid="{00000000-0005-0000-0000-00005A3C0000}"/>
    <cellStyle name="40% - Accent3 4 4 2 2 2 2" xfId="16963" xr:uid="{00000000-0005-0000-0000-00005B3C0000}"/>
    <cellStyle name="40% - Accent3 4 4 2 2 2 3" xfId="24909" xr:uid="{00000000-0005-0000-0000-00005C3C0000}"/>
    <cellStyle name="40% - Accent3 4 4 2 2 3" xfId="13425" xr:uid="{00000000-0005-0000-0000-00005D3C0000}"/>
    <cellStyle name="40% - Accent3 4 4 2 2 4" xfId="21380" xr:uid="{00000000-0005-0000-0000-00005E3C0000}"/>
    <cellStyle name="40% - Accent3 4 4 2 3" xfId="7233" xr:uid="{00000000-0005-0000-0000-00005F3C0000}"/>
    <cellStyle name="40% - Accent3 4 4 2 3 2" xfId="15205" xr:uid="{00000000-0005-0000-0000-0000603C0000}"/>
    <cellStyle name="40% - Accent3 4 4 2 3 3" xfId="23152" xr:uid="{00000000-0005-0000-0000-0000613C0000}"/>
    <cellStyle name="40% - Accent3 4 4 2 4" xfId="11669" xr:uid="{00000000-0005-0000-0000-0000623C0000}"/>
    <cellStyle name="40% - Accent3 4 4 2 5" xfId="19624" xr:uid="{00000000-0005-0000-0000-0000633C0000}"/>
    <cellStyle name="40% - Accent3 4 4 2_Exh G" xfId="3007" xr:uid="{00000000-0005-0000-0000-0000643C0000}"/>
    <cellStyle name="40% - Accent3 4 4 3" xfId="4522" xr:uid="{00000000-0005-0000-0000-0000653C0000}"/>
    <cellStyle name="40% - Accent3 4 4 3 2" xfId="8114" xr:uid="{00000000-0005-0000-0000-0000663C0000}"/>
    <cellStyle name="40% - Accent3 4 4 3 2 2" xfId="16085" xr:uid="{00000000-0005-0000-0000-0000673C0000}"/>
    <cellStyle name="40% - Accent3 4 4 3 2 3" xfId="24031" xr:uid="{00000000-0005-0000-0000-0000683C0000}"/>
    <cellStyle name="40% - Accent3 4 4 3 3" xfId="12547" xr:uid="{00000000-0005-0000-0000-0000693C0000}"/>
    <cellStyle name="40% - Accent3 4 4 3 4" xfId="20502" xr:uid="{00000000-0005-0000-0000-00006A3C0000}"/>
    <cellStyle name="40% - Accent3 4 4 4" xfId="6352" xr:uid="{00000000-0005-0000-0000-00006B3C0000}"/>
    <cellStyle name="40% - Accent3 4 4 4 2" xfId="14327" xr:uid="{00000000-0005-0000-0000-00006C3C0000}"/>
    <cellStyle name="40% - Accent3 4 4 4 3" xfId="22274" xr:uid="{00000000-0005-0000-0000-00006D3C0000}"/>
    <cellStyle name="40% - Accent3 4 4 5" xfId="9895" xr:uid="{00000000-0005-0000-0000-00006E3C0000}"/>
    <cellStyle name="40% - Accent3 4 4 5 2" xfId="17853" xr:uid="{00000000-0005-0000-0000-00006F3C0000}"/>
    <cellStyle name="40% - Accent3 4 4 5 3" xfId="25797" xr:uid="{00000000-0005-0000-0000-0000703C0000}"/>
    <cellStyle name="40% - Accent3 4 4 6" xfId="10791" xr:uid="{00000000-0005-0000-0000-0000713C0000}"/>
    <cellStyle name="40% - Accent3 4 4 7" xfId="18746" xr:uid="{00000000-0005-0000-0000-0000723C0000}"/>
    <cellStyle name="40% - Accent3 4 4_Exh G" xfId="3006" xr:uid="{00000000-0005-0000-0000-0000733C0000}"/>
    <cellStyle name="40% - Accent3 4 5" xfId="1488" xr:uid="{00000000-0005-0000-0000-0000743C0000}"/>
    <cellStyle name="40% - Accent3 4 5 2" xfId="5018" xr:uid="{00000000-0005-0000-0000-0000753C0000}"/>
    <cellStyle name="40% - Accent3 4 5 2 2" xfId="8609" xr:uid="{00000000-0005-0000-0000-0000763C0000}"/>
    <cellStyle name="40% - Accent3 4 5 2 2 2" xfId="16580" xr:uid="{00000000-0005-0000-0000-0000773C0000}"/>
    <cellStyle name="40% - Accent3 4 5 2 2 3" xfId="24526" xr:uid="{00000000-0005-0000-0000-0000783C0000}"/>
    <cellStyle name="40% - Accent3 4 5 2 3" xfId="13042" xr:uid="{00000000-0005-0000-0000-0000793C0000}"/>
    <cellStyle name="40% - Accent3 4 5 2 4" xfId="20997" xr:uid="{00000000-0005-0000-0000-00007A3C0000}"/>
    <cellStyle name="40% - Accent3 4 5 3" xfId="6850" xr:uid="{00000000-0005-0000-0000-00007B3C0000}"/>
    <cellStyle name="40% - Accent3 4 5 3 2" xfId="14822" xr:uid="{00000000-0005-0000-0000-00007C3C0000}"/>
    <cellStyle name="40% - Accent3 4 5 3 3" xfId="22769" xr:uid="{00000000-0005-0000-0000-00007D3C0000}"/>
    <cellStyle name="40% - Accent3 4 5 4" xfId="11286" xr:uid="{00000000-0005-0000-0000-00007E3C0000}"/>
    <cellStyle name="40% - Accent3 4 5 5" xfId="19241" xr:uid="{00000000-0005-0000-0000-00007F3C0000}"/>
    <cellStyle name="40% - Accent3 4 5_Exh G" xfId="3008" xr:uid="{00000000-0005-0000-0000-0000803C0000}"/>
    <cellStyle name="40% - Accent3 4 6" xfId="4139" xr:uid="{00000000-0005-0000-0000-0000813C0000}"/>
    <cellStyle name="40% - Accent3 4 6 2" xfId="7731" xr:uid="{00000000-0005-0000-0000-0000823C0000}"/>
    <cellStyle name="40% - Accent3 4 6 2 2" xfId="15702" xr:uid="{00000000-0005-0000-0000-0000833C0000}"/>
    <cellStyle name="40% - Accent3 4 6 2 3" xfId="23648" xr:uid="{00000000-0005-0000-0000-0000843C0000}"/>
    <cellStyle name="40% - Accent3 4 6 3" xfId="12164" xr:uid="{00000000-0005-0000-0000-0000853C0000}"/>
    <cellStyle name="40% - Accent3 4 6 4" xfId="20119" xr:uid="{00000000-0005-0000-0000-0000863C0000}"/>
    <cellStyle name="40% - Accent3 4 7" xfId="5959" xr:uid="{00000000-0005-0000-0000-0000873C0000}"/>
    <cellStyle name="40% - Accent3 4 7 2" xfId="13943" xr:uid="{00000000-0005-0000-0000-0000883C0000}"/>
    <cellStyle name="40% - Accent3 4 7 3" xfId="21891" xr:uid="{00000000-0005-0000-0000-0000893C0000}"/>
    <cellStyle name="40% - Accent3 4 8" xfId="9512" xr:uid="{00000000-0005-0000-0000-00008A3C0000}"/>
    <cellStyle name="40% - Accent3 4 8 2" xfId="17470" xr:uid="{00000000-0005-0000-0000-00008B3C0000}"/>
    <cellStyle name="40% - Accent3 4 8 3" xfId="25414" xr:uid="{00000000-0005-0000-0000-00008C3C0000}"/>
    <cellStyle name="40% - Accent3 4 9" xfId="10408" xr:uid="{00000000-0005-0000-0000-00008D3C0000}"/>
    <cellStyle name="40% - Accent3 4_Exh G" xfId="2997" xr:uid="{00000000-0005-0000-0000-00008E3C0000}"/>
    <cellStyle name="40% - Accent3 5" xfId="464" xr:uid="{00000000-0005-0000-0000-00008F3C0000}"/>
    <cellStyle name="40% - Accent3 5 10" xfId="18367" xr:uid="{00000000-0005-0000-0000-0000903C0000}"/>
    <cellStyle name="40% - Accent3 5 2" xfId="465" xr:uid="{00000000-0005-0000-0000-0000913C0000}"/>
    <cellStyle name="40% - Accent3 5 2 2" xfId="466" xr:uid="{00000000-0005-0000-0000-0000923C0000}"/>
    <cellStyle name="40% - Accent3 5 2 2 2" xfId="1494" xr:uid="{00000000-0005-0000-0000-0000933C0000}"/>
    <cellStyle name="40% - Accent3 5 2 2 2 2" xfId="5024" xr:uid="{00000000-0005-0000-0000-0000943C0000}"/>
    <cellStyle name="40% - Accent3 5 2 2 2 2 2" xfId="8615" xr:uid="{00000000-0005-0000-0000-0000953C0000}"/>
    <cellStyle name="40% - Accent3 5 2 2 2 2 2 2" xfId="16586" xr:uid="{00000000-0005-0000-0000-0000963C0000}"/>
    <cellStyle name="40% - Accent3 5 2 2 2 2 2 3" xfId="24532" xr:uid="{00000000-0005-0000-0000-0000973C0000}"/>
    <cellStyle name="40% - Accent3 5 2 2 2 2 3" xfId="13048" xr:uid="{00000000-0005-0000-0000-0000983C0000}"/>
    <cellStyle name="40% - Accent3 5 2 2 2 2 4" xfId="21003" xr:uid="{00000000-0005-0000-0000-0000993C0000}"/>
    <cellStyle name="40% - Accent3 5 2 2 2 3" xfId="6856" xr:uid="{00000000-0005-0000-0000-00009A3C0000}"/>
    <cellStyle name="40% - Accent3 5 2 2 2 3 2" xfId="14828" xr:uid="{00000000-0005-0000-0000-00009B3C0000}"/>
    <cellStyle name="40% - Accent3 5 2 2 2 3 3" xfId="22775" xr:uid="{00000000-0005-0000-0000-00009C3C0000}"/>
    <cellStyle name="40% - Accent3 5 2 2 2 4" xfId="11292" xr:uid="{00000000-0005-0000-0000-00009D3C0000}"/>
    <cellStyle name="40% - Accent3 5 2 2 2 5" xfId="19247" xr:uid="{00000000-0005-0000-0000-00009E3C0000}"/>
    <cellStyle name="40% - Accent3 5 2 2 2_Exh G" xfId="3012" xr:uid="{00000000-0005-0000-0000-00009F3C0000}"/>
    <cellStyle name="40% - Accent3 5 2 2 3" xfId="4145" xr:uid="{00000000-0005-0000-0000-0000A03C0000}"/>
    <cellStyle name="40% - Accent3 5 2 2 3 2" xfId="7737" xr:uid="{00000000-0005-0000-0000-0000A13C0000}"/>
    <cellStyle name="40% - Accent3 5 2 2 3 2 2" xfId="15708" xr:uid="{00000000-0005-0000-0000-0000A23C0000}"/>
    <cellStyle name="40% - Accent3 5 2 2 3 2 3" xfId="23654" xr:uid="{00000000-0005-0000-0000-0000A33C0000}"/>
    <cellStyle name="40% - Accent3 5 2 2 3 3" xfId="12170" xr:uid="{00000000-0005-0000-0000-0000A43C0000}"/>
    <cellStyle name="40% - Accent3 5 2 2 3 4" xfId="20125" xr:uid="{00000000-0005-0000-0000-0000A53C0000}"/>
    <cellStyle name="40% - Accent3 5 2 2 4" xfId="5965" xr:uid="{00000000-0005-0000-0000-0000A63C0000}"/>
    <cellStyle name="40% - Accent3 5 2 2 4 2" xfId="13949" xr:uid="{00000000-0005-0000-0000-0000A73C0000}"/>
    <cellStyle name="40% - Accent3 5 2 2 4 3" xfId="21897" xr:uid="{00000000-0005-0000-0000-0000A83C0000}"/>
    <cellStyle name="40% - Accent3 5 2 2 5" xfId="9518" xr:uid="{00000000-0005-0000-0000-0000A93C0000}"/>
    <cellStyle name="40% - Accent3 5 2 2 5 2" xfId="17476" xr:uid="{00000000-0005-0000-0000-0000AA3C0000}"/>
    <cellStyle name="40% - Accent3 5 2 2 5 3" xfId="25420" xr:uid="{00000000-0005-0000-0000-0000AB3C0000}"/>
    <cellStyle name="40% - Accent3 5 2 2 6" xfId="10414" xr:uid="{00000000-0005-0000-0000-0000AC3C0000}"/>
    <cellStyle name="40% - Accent3 5 2 2 7" xfId="18369" xr:uid="{00000000-0005-0000-0000-0000AD3C0000}"/>
    <cellStyle name="40% - Accent3 5 2 2_Exh G" xfId="3011" xr:uid="{00000000-0005-0000-0000-0000AE3C0000}"/>
    <cellStyle name="40% - Accent3 5 2 3" xfId="1493" xr:uid="{00000000-0005-0000-0000-0000AF3C0000}"/>
    <cellStyle name="40% - Accent3 5 2 3 2" xfId="5023" xr:uid="{00000000-0005-0000-0000-0000B03C0000}"/>
    <cellStyle name="40% - Accent3 5 2 3 2 2" xfId="8614" xr:uid="{00000000-0005-0000-0000-0000B13C0000}"/>
    <cellStyle name="40% - Accent3 5 2 3 2 2 2" xfId="16585" xr:uid="{00000000-0005-0000-0000-0000B23C0000}"/>
    <cellStyle name="40% - Accent3 5 2 3 2 2 3" xfId="24531" xr:uid="{00000000-0005-0000-0000-0000B33C0000}"/>
    <cellStyle name="40% - Accent3 5 2 3 2 3" xfId="13047" xr:uid="{00000000-0005-0000-0000-0000B43C0000}"/>
    <cellStyle name="40% - Accent3 5 2 3 2 4" xfId="21002" xr:uid="{00000000-0005-0000-0000-0000B53C0000}"/>
    <cellStyle name="40% - Accent3 5 2 3 3" xfId="6855" xr:uid="{00000000-0005-0000-0000-0000B63C0000}"/>
    <cellStyle name="40% - Accent3 5 2 3 3 2" xfId="14827" xr:uid="{00000000-0005-0000-0000-0000B73C0000}"/>
    <cellStyle name="40% - Accent3 5 2 3 3 3" xfId="22774" xr:uid="{00000000-0005-0000-0000-0000B83C0000}"/>
    <cellStyle name="40% - Accent3 5 2 3 4" xfId="11291" xr:uid="{00000000-0005-0000-0000-0000B93C0000}"/>
    <cellStyle name="40% - Accent3 5 2 3 5" xfId="19246" xr:uid="{00000000-0005-0000-0000-0000BA3C0000}"/>
    <cellStyle name="40% - Accent3 5 2 3_Exh G" xfId="3013" xr:uid="{00000000-0005-0000-0000-0000BB3C0000}"/>
    <cellStyle name="40% - Accent3 5 2 4" xfId="4144" xr:uid="{00000000-0005-0000-0000-0000BC3C0000}"/>
    <cellStyle name="40% - Accent3 5 2 4 2" xfId="7736" xr:uid="{00000000-0005-0000-0000-0000BD3C0000}"/>
    <cellStyle name="40% - Accent3 5 2 4 2 2" xfId="15707" xr:uid="{00000000-0005-0000-0000-0000BE3C0000}"/>
    <cellStyle name="40% - Accent3 5 2 4 2 3" xfId="23653" xr:uid="{00000000-0005-0000-0000-0000BF3C0000}"/>
    <cellStyle name="40% - Accent3 5 2 4 3" xfId="12169" xr:uid="{00000000-0005-0000-0000-0000C03C0000}"/>
    <cellStyle name="40% - Accent3 5 2 4 4" xfId="20124" xr:uid="{00000000-0005-0000-0000-0000C13C0000}"/>
    <cellStyle name="40% - Accent3 5 2 5" xfId="5964" xr:uid="{00000000-0005-0000-0000-0000C23C0000}"/>
    <cellStyle name="40% - Accent3 5 2 5 2" xfId="13948" xr:uid="{00000000-0005-0000-0000-0000C33C0000}"/>
    <cellStyle name="40% - Accent3 5 2 5 3" xfId="21896" xr:uid="{00000000-0005-0000-0000-0000C43C0000}"/>
    <cellStyle name="40% - Accent3 5 2 6" xfId="9517" xr:uid="{00000000-0005-0000-0000-0000C53C0000}"/>
    <cellStyle name="40% - Accent3 5 2 6 2" xfId="17475" xr:uid="{00000000-0005-0000-0000-0000C63C0000}"/>
    <cellStyle name="40% - Accent3 5 2 6 3" xfId="25419" xr:uid="{00000000-0005-0000-0000-0000C73C0000}"/>
    <cellStyle name="40% - Accent3 5 2 7" xfId="10413" xr:uid="{00000000-0005-0000-0000-0000C83C0000}"/>
    <cellStyle name="40% - Accent3 5 2 8" xfId="18368" xr:uid="{00000000-0005-0000-0000-0000C93C0000}"/>
    <cellStyle name="40% - Accent3 5 2_Exh G" xfId="3010" xr:uid="{00000000-0005-0000-0000-0000CA3C0000}"/>
    <cellStyle name="40% - Accent3 5 3" xfId="467" xr:uid="{00000000-0005-0000-0000-0000CB3C0000}"/>
    <cellStyle name="40% - Accent3 5 3 2" xfId="1495" xr:uid="{00000000-0005-0000-0000-0000CC3C0000}"/>
    <cellStyle name="40% - Accent3 5 3 2 2" xfId="5025" xr:uid="{00000000-0005-0000-0000-0000CD3C0000}"/>
    <cellStyle name="40% - Accent3 5 3 2 2 2" xfId="8616" xr:uid="{00000000-0005-0000-0000-0000CE3C0000}"/>
    <cellStyle name="40% - Accent3 5 3 2 2 2 2" xfId="16587" xr:uid="{00000000-0005-0000-0000-0000CF3C0000}"/>
    <cellStyle name="40% - Accent3 5 3 2 2 2 3" xfId="24533" xr:uid="{00000000-0005-0000-0000-0000D03C0000}"/>
    <cellStyle name="40% - Accent3 5 3 2 2 3" xfId="13049" xr:uid="{00000000-0005-0000-0000-0000D13C0000}"/>
    <cellStyle name="40% - Accent3 5 3 2 2 4" xfId="21004" xr:uid="{00000000-0005-0000-0000-0000D23C0000}"/>
    <cellStyle name="40% - Accent3 5 3 2 3" xfId="6857" xr:uid="{00000000-0005-0000-0000-0000D33C0000}"/>
    <cellStyle name="40% - Accent3 5 3 2 3 2" xfId="14829" xr:uid="{00000000-0005-0000-0000-0000D43C0000}"/>
    <cellStyle name="40% - Accent3 5 3 2 3 3" xfId="22776" xr:uid="{00000000-0005-0000-0000-0000D53C0000}"/>
    <cellStyle name="40% - Accent3 5 3 2 4" xfId="11293" xr:uid="{00000000-0005-0000-0000-0000D63C0000}"/>
    <cellStyle name="40% - Accent3 5 3 2 5" xfId="19248" xr:uid="{00000000-0005-0000-0000-0000D73C0000}"/>
    <cellStyle name="40% - Accent3 5 3 2_Exh G" xfId="3015" xr:uid="{00000000-0005-0000-0000-0000D83C0000}"/>
    <cellStyle name="40% - Accent3 5 3 3" xfId="4146" xr:uid="{00000000-0005-0000-0000-0000D93C0000}"/>
    <cellStyle name="40% - Accent3 5 3 3 2" xfId="7738" xr:uid="{00000000-0005-0000-0000-0000DA3C0000}"/>
    <cellStyle name="40% - Accent3 5 3 3 2 2" xfId="15709" xr:uid="{00000000-0005-0000-0000-0000DB3C0000}"/>
    <cellStyle name="40% - Accent3 5 3 3 2 3" xfId="23655" xr:uid="{00000000-0005-0000-0000-0000DC3C0000}"/>
    <cellStyle name="40% - Accent3 5 3 3 3" xfId="12171" xr:uid="{00000000-0005-0000-0000-0000DD3C0000}"/>
    <cellStyle name="40% - Accent3 5 3 3 4" xfId="20126" xr:uid="{00000000-0005-0000-0000-0000DE3C0000}"/>
    <cellStyle name="40% - Accent3 5 3 4" xfId="5966" xr:uid="{00000000-0005-0000-0000-0000DF3C0000}"/>
    <cellStyle name="40% - Accent3 5 3 4 2" xfId="13950" xr:uid="{00000000-0005-0000-0000-0000E03C0000}"/>
    <cellStyle name="40% - Accent3 5 3 4 3" xfId="21898" xr:uid="{00000000-0005-0000-0000-0000E13C0000}"/>
    <cellStyle name="40% - Accent3 5 3 5" xfId="9519" xr:uid="{00000000-0005-0000-0000-0000E23C0000}"/>
    <cellStyle name="40% - Accent3 5 3 5 2" xfId="17477" xr:uid="{00000000-0005-0000-0000-0000E33C0000}"/>
    <cellStyle name="40% - Accent3 5 3 5 3" xfId="25421" xr:uid="{00000000-0005-0000-0000-0000E43C0000}"/>
    <cellStyle name="40% - Accent3 5 3 6" xfId="10415" xr:uid="{00000000-0005-0000-0000-0000E53C0000}"/>
    <cellStyle name="40% - Accent3 5 3 7" xfId="18370" xr:uid="{00000000-0005-0000-0000-0000E63C0000}"/>
    <cellStyle name="40% - Accent3 5 3_Exh G" xfId="3014" xr:uid="{00000000-0005-0000-0000-0000E73C0000}"/>
    <cellStyle name="40% - Accent3 5 4" xfId="965" xr:uid="{00000000-0005-0000-0000-0000E83C0000}"/>
    <cellStyle name="40% - Accent3 5 5" xfId="1492" xr:uid="{00000000-0005-0000-0000-0000E93C0000}"/>
    <cellStyle name="40% - Accent3 5 5 2" xfId="5022" xr:uid="{00000000-0005-0000-0000-0000EA3C0000}"/>
    <cellStyle name="40% - Accent3 5 5 2 2" xfId="8613" xr:uid="{00000000-0005-0000-0000-0000EB3C0000}"/>
    <cellStyle name="40% - Accent3 5 5 2 2 2" xfId="16584" xr:uid="{00000000-0005-0000-0000-0000EC3C0000}"/>
    <cellStyle name="40% - Accent3 5 5 2 2 3" xfId="24530" xr:uid="{00000000-0005-0000-0000-0000ED3C0000}"/>
    <cellStyle name="40% - Accent3 5 5 2 3" xfId="13046" xr:uid="{00000000-0005-0000-0000-0000EE3C0000}"/>
    <cellStyle name="40% - Accent3 5 5 2 4" xfId="21001" xr:uid="{00000000-0005-0000-0000-0000EF3C0000}"/>
    <cellStyle name="40% - Accent3 5 5 3" xfId="6854" xr:uid="{00000000-0005-0000-0000-0000F03C0000}"/>
    <cellStyle name="40% - Accent3 5 5 3 2" xfId="14826" xr:uid="{00000000-0005-0000-0000-0000F13C0000}"/>
    <cellStyle name="40% - Accent3 5 5 3 3" xfId="22773" xr:uid="{00000000-0005-0000-0000-0000F23C0000}"/>
    <cellStyle name="40% - Accent3 5 5 4" xfId="11290" xr:uid="{00000000-0005-0000-0000-0000F33C0000}"/>
    <cellStyle name="40% - Accent3 5 5 5" xfId="19245" xr:uid="{00000000-0005-0000-0000-0000F43C0000}"/>
    <cellStyle name="40% - Accent3 5 5_Exh G" xfId="3016" xr:uid="{00000000-0005-0000-0000-0000F53C0000}"/>
    <cellStyle name="40% - Accent3 5 6" xfId="4143" xr:uid="{00000000-0005-0000-0000-0000F63C0000}"/>
    <cellStyle name="40% - Accent3 5 6 2" xfId="7735" xr:uid="{00000000-0005-0000-0000-0000F73C0000}"/>
    <cellStyle name="40% - Accent3 5 6 2 2" xfId="15706" xr:uid="{00000000-0005-0000-0000-0000F83C0000}"/>
    <cellStyle name="40% - Accent3 5 6 2 3" xfId="23652" xr:uid="{00000000-0005-0000-0000-0000F93C0000}"/>
    <cellStyle name="40% - Accent3 5 6 3" xfId="12168" xr:uid="{00000000-0005-0000-0000-0000FA3C0000}"/>
    <cellStyle name="40% - Accent3 5 6 4" xfId="20123" xr:uid="{00000000-0005-0000-0000-0000FB3C0000}"/>
    <cellStyle name="40% - Accent3 5 7" xfId="5963" xr:uid="{00000000-0005-0000-0000-0000FC3C0000}"/>
    <cellStyle name="40% - Accent3 5 7 2" xfId="13947" xr:uid="{00000000-0005-0000-0000-0000FD3C0000}"/>
    <cellStyle name="40% - Accent3 5 7 3" xfId="21895" xr:uid="{00000000-0005-0000-0000-0000FE3C0000}"/>
    <cellStyle name="40% - Accent3 5 8" xfId="9516" xr:uid="{00000000-0005-0000-0000-0000FF3C0000}"/>
    <cellStyle name="40% - Accent3 5 8 2" xfId="17474" xr:uid="{00000000-0005-0000-0000-0000003D0000}"/>
    <cellStyle name="40% - Accent3 5 8 3" xfId="25418" xr:uid="{00000000-0005-0000-0000-0000013D0000}"/>
    <cellStyle name="40% - Accent3 5 9" xfId="10412" xr:uid="{00000000-0005-0000-0000-0000023D0000}"/>
    <cellStyle name="40% - Accent3 5_Exh G" xfId="3009" xr:uid="{00000000-0005-0000-0000-0000033D0000}"/>
    <cellStyle name="40% - Accent3 6" xfId="468" xr:uid="{00000000-0005-0000-0000-0000043D0000}"/>
    <cellStyle name="40% - Accent3 6 10" xfId="18371" xr:uid="{00000000-0005-0000-0000-0000053D0000}"/>
    <cellStyle name="40% - Accent3 6 2" xfId="469" xr:uid="{00000000-0005-0000-0000-0000063D0000}"/>
    <cellStyle name="40% - Accent3 6 2 2" xfId="470" xr:uid="{00000000-0005-0000-0000-0000073D0000}"/>
    <cellStyle name="40% - Accent3 6 2 2 2" xfId="1498" xr:uid="{00000000-0005-0000-0000-0000083D0000}"/>
    <cellStyle name="40% - Accent3 6 2 2 2 2" xfId="5028" xr:uid="{00000000-0005-0000-0000-0000093D0000}"/>
    <cellStyle name="40% - Accent3 6 2 2 2 2 2" xfId="8619" xr:uid="{00000000-0005-0000-0000-00000A3D0000}"/>
    <cellStyle name="40% - Accent3 6 2 2 2 2 2 2" xfId="16590" xr:uid="{00000000-0005-0000-0000-00000B3D0000}"/>
    <cellStyle name="40% - Accent3 6 2 2 2 2 2 3" xfId="24536" xr:uid="{00000000-0005-0000-0000-00000C3D0000}"/>
    <cellStyle name="40% - Accent3 6 2 2 2 2 3" xfId="13052" xr:uid="{00000000-0005-0000-0000-00000D3D0000}"/>
    <cellStyle name="40% - Accent3 6 2 2 2 2 4" xfId="21007" xr:uid="{00000000-0005-0000-0000-00000E3D0000}"/>
    <cellStyle name="40% - Accent3 6 2 2 2 3" xfId="6860" xr:uid="{00000000-0005-0000-0000-00000F3D0000}"/>
    <cellStyle name="40% - Accent3 6 2 2 2 3 2" xfId="14832" xr:uid="{00000000-0005-0000-0000-0000103D0000}"/>
    <cellStyle name="40% - Accent3 6 2 2 2 3 3" xfId="22779" xr:uid="{00000000-0005-0000-0000-0000113D0000}"/>
    <cellStyle name="40% - Accent3 6 2 2 2 4" xfId="11296" xr:uid="{00000000-0005-0000-0000-0000123D0000}"/>
    <cellStyle name="40% - Accent3 6 2 2 2 5" xfId="19251" xr:uid="{00000000-0005-0000-0000-0000133D0000}"/>
    <cellStyle name="40% - Accent3 6 2 2 2_Exh G" xfId="3020" xr:uid="{00000000-0005-0000-0000-0000143D0000}"/>
    <cellStyle name="40% - Accent3 6 2 2 3" xfId="4149" xr:uid="{00000000-0005-0000-0000-0000153D0000}"/>
    <cellStyle name="40% - Accent3 6 2 2 3 2" xfId="7741" xr:uid="{00000000-0005-0000-0000-0000163D0000}"/>
    <cellStyle name="40% - Accent3 6 2 2 3 2 2" xfId="15712" xr:uid="{00000000-0005-0000-0000-0000173D0000}"/>
    <cellStyle name="40% - Accent3 6 2 2 3 2 3" xfId="23658" xr:uid="{00000000-0005-0000-0000-0000183D0000}"/>
    <cellStyle name="40% - Accent3 6 2 2 3 3" xfId="12174" xr:uid="{00000000-0005-0000-0000-0000193D0000}"/>
    <cellStyle name="40% - Accent3 6 2 2 3 4" xfId="20129" xr:uid="{00000000-0005-0000-0000-00001A3D0000}"/>
    <cellStyle name="40% - Accent3 6 2 2 4" xfId="5969" xr:uid="{00000000-0005-0000-0000-00001B3D0000}"/>
    <cellStyle name="40% - Accent3 6 2 2 4 2" xfId="13953" xr:uid="{00000000-0005-0000-0000-00001C3D0000}"/>
    <cellStyle name="40% - Accent3 6 2 2 4 3" xfId="21901" xr:uid="{00000000-0005-0000-0000-00001D3D0000}"/>
    <cellStyle name="40% - Accent3 6 2 2 5" xfId="9522" xr:uid="{00000000-0005-0000-0000-00001E3D0000}"/>
    <cellStyle name="40% - Accent3 6 2 2 5 2" xfId="17480" xr:uid="{00000000-0005-0000-0000-00001F3D0000}"/>
    <cellStyle name="40% - Accent3 6 2 2 5 3" xfId="25424" xr:uid="{00000000-0005-0000-0000-0000203D0000}"/>
    <cellStyle name="40% - Accent3 6 2 2 6" xfId="10418" xr:uid="{00000000-0005-0000-0000-0000213D0000}"/>
    <cellStyle name="40% - Accent3 6 2 2 7" xfId="18373" xr:uid="{00000000-0005-0000-0000-0000223D0000}"/>
    <cellStyle name="40% - Accent3 6 2 2_Exh G" xfId="3019" xr:uid="{00000000-0005-0000-0000-0000233D0000}"/>
    <cellStyle name="40% - Accent3 6 2 3" xfId="1497" xr:uid="{00000000-0005-0000-0000-0000243D0000}"/>
    <cellStyle name="40% - Accent3 6 2 3 2" xfId="5027" xr:uid="{00000000-0005-0000-0000-0000253D0000}"/>
    <cellStyle name="40% - Accent3 6 2 3 2 2" xfId="8618" xr:uid="{00000000-0005-0000-0000-0000263D0000}"/>
    <cellStyle name="40% - Accent3 6 2 3 2 2 2" xfId="16589" xr:uid="{00000000-0005-0000-0000-0000273D0000}"/>
    <cellStyle name="40% - Accent3 6 2 3 2 2 3" xfId="24535" xr:uid="{00000000-0005-0000-0000-0000283D0000}"/>
    <cellStyle name="40% - Accent3 6 2 3 2 3" xfId="13051" xr:uid="{00000000-0005-0000-0000-0000293D0000}"/>
    <cellStyle name="40% - Accent3 6 2 3 2 4" xfId="21006" xr:uid="{00000000-0005-0000-0000-00002A3D0000}"/>
    <cellStyle name="40% - Accent3 6 2 3 3" xfId="6859" xr:uid="{00000000-0005-0000-0000-00002B3D0000}"/>
    <cellStyle name="40% - Accent3 6 2 3 3 2" xfId="14831" xr:uid="{00000000-0005-0000-0000-00002C3D0000}"/>
    <cellStyle name="40% - Accent3 6 2 3 3 3" xfId="22778" xr:uid="{00000000-0005-0000-0000-00002D3D0000}"/>
    <cellStyle name="40% - Accent3 6 2 3 4" xfId="11295" xr:uid="{00000000-0005-0000-0000-00002E3D0000}"/>
    <cellStyle name="40% - Accent3 6 2 3 5" xfId="19250" xr:uid="{00000000-0005-0000-0000-00002F3D0000}"/>
    <cellStyle name="40% - Accent3 6 2 3_Exh G" xfId="3021" xr:uid="{00000000-0005-0000-0000-0000303D0000}"/>
    <cellStyle name="40% - Accent3 6 2 4" xfId="4148" xr:uid="{00000000-0005-0000-0000-0000313D0000}"/>
    <cellStyle name="40% - Accent3 6 2 4 2" xfId="7740" xr:uid="{00000000-0005-0000-0000-0000323D0000}"/>
    <cellStyle name="40% - Accent3 6 2 4 2 2" xfId="15711" xr:uid="{00000000-0005-0000-0000-0000333D0000}"/>
    <cellStyle name="40% - Accent3 6 2 4 2 3" xfId="23657" xr:uid="{00000000-0005-0000-0000-0000343D0000}"/>
    <cellStyle name="40% - Accent3 6 2 4 3" xfId="12173" xr:uid="{00000000-0005-0000-0000-0000353D0000}"/>
    <cellStyle name="40% - Accent3 6 2 4 4" xfId="20128" xr:uid="{00000000-0005-0000-0000-0000363D0000}"/>
    <cellStyle name="40% - Accent3 6 2 5" xfId="5968" xr:uid="{00000000-0005-0000-0000-0000373D0000}"/>
    <cellStyle name="40% - Accent3 6 2 5 2" xfId="13952" xr:uid="{00000000-0005-0000-0000-0000383D0000}"/>
    <cellStyle name="40% - Accent3 6 2 5 3" xfId="21900" xr:uid="{00000000-0005-0000-0000-0000393D0000}"/>
    <cellStyle name="40% - Accent3 6 2 6" xfId="9521" xr:uid="{00000000-0005-0000-0000-00003A3D0000}"/>
    <cellStyle name="40% - Accent3 6 2 6 2" xfId="17479" xr:uid="{00000000-0005-0000-0000-00003B3D0000}"/>
    <cellStyle name="40% - Accent3 6 2 6 3" xfId="25423" xr:uid="{00000000-0005-0000-0000-00003C3D0000}"/>
    <cellStyle name="40% - Accent3 6 2 7" xfId="10417" xr:uid="{00000000-0005-0000-0000-00003D3D0000}"/>
    <cellStyle name="40% - Accent3 6 2 8" xfId="18372" xr:uid="{00000000-0005-0000-0000-00003E3D0000}"/>
    <cellStyle name="40% - Accent3 6 2_Exh G" xfId="3018" xr:uid="{00000000-0005-0000-0000-00003F3D0000}"/>
    <cellStyle name="40% - Accent3 6 3" xfId="471" xr:uid="{00000000-0005-0000-0000-0000403D0000}"/>
    <cellStyle name="40% - Accent3 6 3 2" xfId="1499" xr:uid="{00000000-0005-0000-0000-0000413D0000}"/>
    <cellStyle name="40% - Accent3 6 3 2 2" xfId="5029" xr:uid="{00000000-0005-0000-0000-0000423D0000}"/>
    <cellStyle name="40% - Accent3 6 3 2 2 2" xfId="8620" xr:uid="{00000000-0005-0000-0000-0000433D0000}"/>
    <cellStyle name="40% - Accent3 6 3 2 2 2 2" xfId="16591" xr:uid="{00000000-0005-0000-0000-0000443D0000}"/>
    <cellStyle name="40% - Accent3 6 3 2 2 2 3" xfId="24537" xr:uid="{00000000-0005-0000-0000-0000453D0000}"/>
    <cellStyle name="40% - Accent3 6 3 2 2 3" xfId="13053" xr:uid="{00000000-0005-0000-0000-0000463D0000}"/>
    <cellStyle name="40% - Accent3 6 3 2 2 4" xfId="21008" xr:uid="{00000000-0005-0000-0000-0000473D0000}"/>
    <cellStyle name="40% - Accent3 6 3 2 3" xfId="6861" xr:uid="{00000000-0005-0000-0000-0000483D0000}"/>
    <cellStyle name="40% - Accent3 6 3 2 3 2" xfId="14833" xr:uid="{00000000-0005-0000-0000-0000493D0000}"/>
    <cellStyle name="40% - Accent3 6 3 2 3 3" xfId="22780" xr:uid="{00000000-0005-0000-0000-00004A3D0000}"/>
    <cellStyle name="40% - Accent3 6 3 2 4" xfId="11297" xr:uid="{00000000-0005-0000-0000-00004B3D0000}"/>
    <cellStyle name="40% - Accent3 6 3 2 5" xfId="19252" xr:uid="{00000000-0005-0000-0000-00004C3D0000}"/>
    <cellStyle name="40% - Accent3 6 3 2_Exh G" xfId="3023" xr:uid="{00000000-0005-0000-0000-00004D3D0000}"/>
    <cellStyle name="40% - Accent3 6 3 3" xfId="4150" xr:uid="{00000000-0005-0000-0000-00004E3D0000}"/>
    <cellStyle name="40% - Accent3 6 3 3 2" xfId="7742" xr:uid="{00000000-0005-0000-0000-00004F3D0000}"/>
    <cellStyle name="40% - Accent3 6 3 3 2 2" xfId="15713" xr:uid="{00000000-0005-0000-0000-0000503D0000}"/>
    <cellStyle name="40% - Accent3 6 3 3 2 3" xfId="23659" xr:uid="{00000000-0005-0000-0000-0000513D0000}"/>
    <cellStyle name="40% - Accent3 6 3 3 3" xfId="12175" xr:uid="{00000000-0005-0000-0000-0000523D0000}"/>
    <cellStyle name="40% - Accent3 6 3 3 4" xfId="20130" xr:uid="{00000000-0005-0000-0000-0000533D0000}"/>
    <cellStyle name="40% - Accent3 6 3 4" xfId="5970" xr:uid="{00000000-0005-0000-0000-0000543D0000}"/>
    <cellStyle name="40% - Accent3 6 3 4 2" xfId="13954" xr:uid="{00000000-0005-0000-0000-0000553D0000}"/>
    <cellStyle name="40% - Accent3 6 3 4 3" xfId="21902" xr:uid="{00000000-0005-0000-0000-0000563D0000}"/>
    <cellStyle name="40% - Accent3 6 3 5" xfId="9523" xr:uid="{00000000-0005-0000-0000-0000573D0000}"/>
    <cellStyle name="40% - Accent3 6 3 5 2" xfId="17481" xr:uid="{00000000-0005-0000-0000-0000583D0000}"/>
    <cellStyle name="40% - Accent3 6 3 5 3" xfId="25425" xr:uid="{00000000-0005-0000-0000-0000593D0000}"/>
    <cellStyle name="40% - Accent3 6 3 6" xfId="10419" xr:uid="{00000000-0005-0000-0000-00005A3D0000}"/>
    <cellStyle name="40% - Accent3 6 3 7" xfId="18374" xr:uid="{00000000-0005-0000-0000-00005B3D0000}"/>
    <cellStyle name="40% - Accent3 6 3_Exh G" xfId="3022" xr:uid="{00000000-0005-0000-0000-00005C3D0000}"/>
    <cellStyle name="40% - Accent3 6 4" xfId="966" xr:uid="{00000000-0005-0000-0000-00005D3D0000}"/>
    <cellStyle name="40% - Accent3 6 4 2" xfId="1885" xr:uid="{00000000-0005-0000-0000-00005E3D0000}"/>
    <cellStyle name="40% - Accent3 6 4 2 2" xfId="5403" xr:uid="{00000000-0005-0000-0000-00005F3D0000}"/>
    <cellStyle name="40% - Accent3 6 4 2 2 2" xfId="8994" xr:uid="{00000000-0005-0000-0000-0000603D0000}"/>
    <cellStyle name="40% - Accent3 6 4 2 2 2 2" xfId="16965" xr:uid="{00000000-0005-0000-0000-0000613D0000}"/>
    <cellStyle name="40% - Accent3 6 4 2 2 2 3" xfId="24911" xr:uid="{00000000-0005-0000-0000-0000623D0000}"/>
    <cellStyle name="40% - Accent3 6 4 2 2 3" xfId="13427" xr:uid="{00000000-0005-0000-0000-0000633D0000}"/>
    <cellStyle name="40% - Accent3 6 4 2 2 4" xfId="21382" xr:uid="{00000000-0005-0000-0000-0000643D0000}"/>
    <cellStyle name="40% - Accent3 6 4 2 3" xfId="7235" xr:uid="{00000000-0005-0000-0000-0000653D0000}"/>
    <cellStyle name="40% - Accent3 6 4 2 3 2" xfId="15207" xr:uid="{00000000-0005-0000-0000-0000663D0000}"/>
    <cellStyle name="40% - Accent3 6 4 2 3 3" xfId="23154" xr:uid="{00000000-0005-0000-0000-0000673D0000}"/>
    <cellStyle name="40% - Accent3 6 4 2 4" xfId="11671" xr:uid="{00000000-0005-0000-0000-0000683D0000}"/>
    <cellStyle name="40% - Accent3 6 4 2 5" xfId="19626" xr:uid="{00000000-0005-0000-0000-0000693D0000}"/>
    <cellStyle name="40% - Accent3 6 4 2_Exh G" xfId="3025" xr:uid="{00000000-0005-0000-0000-00006A3D0000}"/>
    <cellStyle name="40% - Accent3 6 4 3" xfId="4524" xr:uid="{00000000-0005-0000-0000-00006B3D0000}"/>
    <cellStyle name="40% - Accent3 6 4 3 2" xfId="8116" xr:uid="{00000000-0005-0000-0000-00006C3D0000}"/>
    <cellStyle name="40% - Accent3 6 4 3 2 2" xfId="16087" xr:uid="{00000000-0005-0000-0000-00006D3D0000}"/>
    <cellStyle name="40% - Accent3 6 4 3 2 3" xfId="24033" xr:uid="{00000000-0005-0000-0000-00006E3D0000}"/>
    <cellStyle name="40% - Accent3 6 4 3 3" xfId="12549" xr:uid="{00000000-0005-0000-0000-00006F3D0000}"/>
    <cellStyle name="40% - Accent3 6 4 3 4" xfId="20504" xr:uid="{00000000-0005-0000-0000-0000703D0000}"/>
    <cellStyle name="40% - Accent3 6 4 4" xfId="6354" xr:uid="{00000000-0005-0000-0000-0000713D0000}"/>
    <cellStyle name="40% - Accent3 6 4 4 2" xfId="14329" xr:uid="{00000000-0005-0000-0000-0000723D0000}"/>
    <cellStyle name="40% - Accent3 6 4 4 3" xfId="22276" xr:uid="{00000000-0005-0000-0000-0000733D0000}"/>
    <cellStyle name="40% - Accent3 6 4 5" xfId="9897" xr:uid="{00000000-0005-0000-0000-0000743D0000}"/>
    <cellStyle name="40% - Accent3 6 4 5 2" xfId="17855" xr:uid="{00000000-0005-0000-0000-0000753D0000}"/>
    <cellStyle name="40% - Accent3 6 4 5 3" xfId="25799" xr:uid="{00000000-0005-0000-0000-0000763D0000}"/>
    <cellStyle name="40% - Accent3 6 4 6" xfId="10793" xr:uid="{00000000-0005-0000-0000-0000773D0000}"/>
    <cellStyle name="40% - Accent3 6 4 7" xfId="18748" xr:uid="{00000000-0005-0000-0000-0000783D0000}"/>
    <cellStyle name="40% - Accent3 6 4_Exh G" xfId="3024" xr:uid="{00000000-0005-0000-0000-0000793D0000}"/>
    <cellStyle name="40% - Accent3 6 5" xfId="1496" xr:uid="{00000000-0005-0000-0000-00007A3D0000}"/>
    <cellStyle name="40% - Accent3 6 5 2" xfId="5026" xr:uid="{00000000-0005-0000-0000-00007B3D0000}"/>
    <cellStyle name="40% - Accent3 6 5 2 2" xfId="8617" xr:uid="{00000000-0005-0000-0000-00007C3D0000}"/>
    <cellStyle name="40% - Accent3 6 5 2 2 2" xfId="16588" xr:uid="{00000000-0005-0000-0000-00007D3D0000}"/>
    <cellStyle name="40% - Accent3 6 5 2 2 3" xfId="24534" xr:uid="{00000000-0005-0000-0000-00007E3D0000}"/>
    <cellStyle name="40% - Accent3 6 5 2 3" xfId="13050" xr:uid="{00000000-0005-0000-0000-00007F3D0000}"/>
    <cellStyle name="40% - Accent3 6 5 2 4" xfId="21005" xr:uid="{00000000-0005-0000-0000-0000803D0000}"/>
    <cellStyle name="40% - Accent3 6 5 3" xfId="6858" xr:uid="{00000000-0005-0000-0000-0000813D0000}"/>
    <cellStyle name="40% - Accent3 6 5 3 2" xfId="14830" xr:uid="{00000000-0005-0000-0000-0000823D0000}"/>
    <cellStyle name="40% - Accent3 6 5 3 3" xfId="22777" xr:uid="{00000000-0005-0000-0000-0000833D0000}"/>
    <cellStyle name="40% - Accent3 6 5 4" xfId="11294" xr:uid="{00000000-0005-0000-0000-0000843D0000}"/>
    <cellStyle name="40% - Accent3 6 5 5" xfId="19249" xr:uid="{00000000-0005-0000-0000-0000853D0000}"/>
    <cellStyle name="40% - Accent3 6 5_Exh G" xfId="3026" xr:uid="{00000000-0005-0000-0000-0000863D0000}"/>
    <cellStyle name="40% - Accent3 6 6" xfId="4147" xr:uid="{00000000-0005-0000-0000-0000873D0000}"/>
    <cellStyle name="40% - Accent3 6 6 2" xfId="7739" xr:uid="{00000000-0005-0000-0000-0000883D0000}"/>
    <cellStyle name="40% - Accent3 6 6 2 2" xfId="15710" xr:uid="{00000000-0005-0000-0000-0000893D0000}"/>
    <cellStyle name="40% - Accent3 6 6 2 3" xfId="23656" xr:uid="{00000000-0005-0000-0000-00008A3D0000}"/>
    <cellStyle name="40% - Accent3 6 6 3" xfId="12172" xr:uid="{00000000-0005-0000-0000-00008B3D0000}"/>
    <cellStyle name="40% - Accent3 6 6 4" xfId="20127" xr:uid="{00000000-0005-0000-0000-00008C3D0000}"/>
    <cellStyle name="40% - Accent3 6 7" xfId="5967" xr:uid="{00000000-0005-0000-0000-00008D3D0000}"/>
    <cellStyle name="40% - Accent3 6 7 2" xfId="13951" xr:uid="{00000000-0005-0000-0000-00008E3D0000}"/>
    <cellStyle name="40% - Accent3 6 7 3" xfId="21899" xr:uid="{00000000-0005-0000-0000-00008F3D0000}"/>
    <cellStyle name="40% - Accent3 6 8" xfId="9520" xr:uid="{00000000-0005-0000-0000-0000903D0000}"/>
    <cellStyle name="40% - Accent3 6 8 2" xfId="17478" xr:uid="{00000000-0005-0000-0000-0000913D0000}"/>
    <cellStyle name="40% - Accent3 6 8 3" xfId="25422" xr:uid="{00000000-0005-0000-0000-0000923D0000}"/>
    <cellStyle name="40% - Accent3 6 9" xfId="10416" xr:uid="{00000000-0005-0000-0000-0000933D0000}"/>
    <cellStyle name="40% - Accent3 6_Exh G" xfId="3017" xr:uid="{00000000-0005-0000-0000-0000943D0000}"/>
    <cellStyle name="40% - Accent3 7" xfId="472" xr:uid="{00000000-0005-0000-0000-0000953D0000}"/>
    <cellStyle name="40% - Accent3 7 10" xfId="18375" xr:uid="{00000000-0005-0000-0000-0000963D0000}"/>
    <cellStyle name="40% - Accent3 7 2" xfId="473" xr:uid="{00000000-0005-0000-0000-0000973D0000}"/>
    <cellStyle name="40% - Accent3 7 2 2" xfId="474" xr:uid="{00000000-0005-0000-0000-0000983D0000}"/>
    <cellStyle name="40% - Accent3 7 2 2 2" xfId="1502" xr:uid="{00000000-0005-0000-0000-0000993D0000}"/>
    <cellStyle name="40% - Accent3 7 2 2 2 2" xfId="5032" xr:uid="{00000000-0005-0000-0000-00009A3D0000}"/>
    <cellStyle name="40% - Accent3 7 2 2 2 2 2" xfId="8623" xr:uid="{00000000-0005-0000-0000-00009B3D0000}"/>
    <cellStyle name="40% - Accent3 7 2 2 2 2 2 2" xfId="16594" xr:uid="{00000000-0005-0000-0000-00009C3D0000}"/>
    <cellStyle name="40% - Accent3 7 2 2 2 2 2 3" xfId="24540" xr:uid="{00000000-0005-0000-0000-00009D3D0000}"/>
    <cellStyle name="40% - Accent3 7 2 2 2 2 3" xfId="13056" xr:uid="{00000000-0005-0000-0000-00009E3D0000}"/>
    <cellStyle name="40% - Accent3 7 2 2 2 2 4" xfId="21011" xr:uid="{00000000-0005-0000-0000-00009F3D0000}"/>
    <cellStyle name="40% - Accent3 7 2 2 2 3" xfId="6864" xr:uid="{00000000-0005-0000-0000-0000A03D0000}"/>
    <cellStyle name="40% - Accent3 7 2 2 2 3 2" xfId="14836" xr:uid="{00000000-0005-0000-0000-0000A13D0000}"/>
    <cellStyle name="40% - Accent3 7 2 2 2 3 3" xfId="22783" xr:uid="{00000000-0005-0000-0000-0000A23D0000}"/>
    <cellStyle name="40% - Accent3 7 2 2 2 4" xfId="11300" xr:uid="{00000000-0005-0000-0000-0000A33D0000}"/>
    <cellStyle name="40% - Accent3 7 2 2 2 5" xfId="19255" xr:uid="{00000000-0005-0000-0000-0000A43D0000}"/>
    <cellStyle name="40% - Accent3 7 2 2 2_Exh G" xfId="3030" xr:uid="{00000000-0005-0000-0000-0000A53D0000}"/>
    <cellStyle name="40% - Accent3 7 2 2 3" xfId="4153" xr:uid="{00000000-0005-0000-0000-0000A63D0000}"/>
    <cellStyle name="40% - Accent3 7 2 2 3 2" xfId="7745" xr:uid="{00000000-0005-0000-0000-0000A73D0000}"/>
    <cellStyle name="40% - Accent3 7 2 2 3 2 2" xfId="15716" xr:uid="{00000000-0005-0000-0000-0000A83D0000}"/>
    <cellStyle name="40% - Accent3 7 2 2 3 2 3" xfId="23662" xr:uid="{00000000-0005-0000-0000-0000A93D0000}"/>
    <cellStyle name="40% - Accent3 7 2 2 3 3" xfId="12178" xr:uid="{00000000-0005-0000-0000-0000AA3D0000}"/>
    <cellStyle name="40% - Accent3 7 2 2 3 4" xfId="20133" xr:uid="{00000000-0005-0000-0000-0000AB3D0000}"/>
    <cellStyle name="40% - Accent3 7 2 2 4" xfId="5973" xr:uid="{00000000-0005-0000-0000-0000AC3D0000}"/>
    <cellStyle name="40% - Accent3 7 2 2 4 2" xfId="13957" xr:uid="{00000000-0005-0000-0000-0000AD3D0000}"/>
    <cellStyle name="40% - Accent3 7 2 2 4 3" xfId="21905" xr:uid="{00000000-0005-0000-0000-0000AE3D0000}"/>
    <cellStyle name="40% - Accent3 7 2 2 5" xfId="9526" xr:uid="{00000000-0005-0000-0000-0000AF3D0000}"/>
    <cellStyle name="40% - Accent3 7 2 2 5 2" xfId="17484" xr:uid="{00000000-0005-0000-0000-0000B03D0000}"/>
    <cellStyle name="40% - Accent3 7 2 2 5 3" xfId="25428" xr:uid="{00000000-0005-0000-0000-0000B13D0000}"/>
    <cellStyle name="40% - Accent3 7 2 2 6" xfId="10422" xr:uid="{00000000-0005-0000-0000-0000B23D0000}"/>
    <cellStyle name="40% - Accent3 7 2 2 7" xfId="18377" xr:uid="{00000000-0005-0000-0000-0000B33D0000}"/>
    <cellStyle name="40% - Accent3 7 2 2_Exh G" xfId="3029" xr:uid="{00000000-0005-0000-0000-0000B43D0000}"/>
    <cellStyle name="40% - Accent3 7 2 3" xfId="1501" xr:uid="{00000000-0005-0000-0000-0000B53D0000}"/>
    <cellStyle name="40% - Accent3 7 2 3 2" xfId="5031" xr:uid="{00000000-0005-0000-0000-0000B63D0000}"/>
    <cellStyle name="40% - Accent3 7 2 3 2 2" xfId="8622" xr:uid="{00000000-0005-0000-0000-0000B73D0000}"/>
    <cellStyle name="40% - Accent3 7 2 3 2 2 2" xfId="16593" xr:uid="{00000000-0005-0000-0000-0000B83D0000}"/>
    <cellStyle name="40% - Accent3 7 2 3 2 2 3" xfId="24539" xr:uid="{00000000-0005-0000-0000-0000B93D0000}"/>
    <cellStyle name="40% - Accent3 7 2 3 2 3" xfId="13055" xr:uid="{00000000-0005-0000-0000-0000BA3D0000}"/>
    <cellStyle name="40% - Accent3 7 2 3 2 4" xfId="21010" xr:uid="{00000000-0005-0000-0000-0000BB3D0000}"/>
    <cellStyle name="40% - Accent3 7 2 3 3" xfId="6863" xr:uid="{00000000-0005-0000-0000-0000BC3D0000}"/>
    <cellStyle name="40% - Accent3 7 2 3 3 2" xfId="14835" xr:uid="{00000000-0005-0000-0000-0000BD3D0000}"/>
    <cellStyle name="40% - Accent3 7 2 3 3 3" xfId="22782" xr:uid="{00000000-0005-0000-0000-0000BE3D0000}"/>
    <cellStyle name="40% - Accent3 7 2 3 4" xfId="11299" xr:uid="{00000000-0005-0000-0000-0000BF3D0000}"/>
    <cellStyle name="40% - Accent3 7 2 3 5" xfId="19254" xr:uid="{00000000-0005-0000-0000-0000C03D0000}"/>
    <cellStyle name="40% - Accent3 7 2 3_Exh G" xfId="3031" xr:uid="{00000000-0005-0000-0000-0000C13D0000}"/>
    <cellStyle name="40% - Accent3 7 2 4" xfId="4152" xr:uid="{00000000-0005-0000-0000-0000C23D0000}"/>
    <cellStyle name="40% - Accent3 7 2 4 2" xfId="7744" xr:uid="{00000000-0005-0000-0000-0000C33D0000}"/>
    <cellStyle name="40% - Accent3 7 2 4 2 2" xfId="15715" xr:uid="{00000000-0005-0000-0000-0000C43D0000}"/>
    <cellStyle name="40% - Accent3 7 2 4 2 3" xfId="23661" xr:uid="{00000000-0005-0000-0000-0000C53D0000}"/>
    <cellStyle name="40% - Accent3 7 2 4 3" xfId="12177" xr:uid="{00000000-0005-0000-0000-0000C63D0000}"/>
    <cellStyle name="40% - Accent3 7 2 4 4" xfId="20132" xr:uid="{00000000-0005-0000-0000-0000C73D0000}"/>
    <cellStyle name="40% - Accent3 7 2 5" xfId="5972" xr:uid="{00000000-0005-0000-0000-0000C83D0000}"/>
    <cellStyle name="40% - Accent3 7 2 5 2" xfId="13956" xr:uid="{00000000-0005-0000-0000-0000C93D0000}"/>
    <cellStyle name="40% - Accent3 7 2 5 3" xfId="21904" xr:uid="{00000000-0005-0000-0000-0000CA3D0000}"/>
    <cellStyle name="40% - Accent3 7 2 6" xfId="9525" xr:uid="{00000000-0005-0000-0000-0000CB3D0000}"/>
    <cellStyle name="40% - Accent3 7 2 6 2" xfId="17483" xr:uid="{00000000-0005-0000-0000-0000CC3D0000}"/>
    <cellStyle name="40% - Accent3 7 2 6 3" xfId="25427" xr:uid="{00000000-0005-0000-0000-0000CD3D0000}"/>
    <cellStyle name="40% - Accent3 7 2 7" xfId="10421" xr:uid="{00000000-0005-0000-0000-0000CE3D0000}"/>
    <cellStyle name="40% - Accent3 7 2 8" xfId="18376" xr:uid="{00000000-0005-0000-0000-0000CF3D0000}"/>
    <cellStyle name="40% - Accent3 7 2_Exh G" xfId="3028" xr:uid="{00000000-0005-0000-0000-0000D03D0000}"/>
    <cellStyle name="40% - Accent3 7 3" xfId="475" xr:uid="{00000000-0005-0000-0000-0000D13D0000}"/>
    <cellStyle name="40% - Accent3 7 3 2" xfId="1503" xr:uid="{00000000-0005-0000-0000-0000D23D0000}"/>
    <cellStyle name="40% - Accent3 7 3 2 2" xfId="5033" xr:uid="{00000000-0005-0000-0000-0000D33D0000}"/>
    <cellStyle name="40% - Accent3 7 3 2 2 2" xfId="8624" xr:uid="{00000000-0005-0000-0000-0000D43D0000}"/>
    <cellStyle name="40% - Accent3 7 3 2 2 2 2" xfId="16595" xr:uid="{00000000-0005-0000-0000-0000D53D0000}"/>
    <cellStyle name="40% - Accent3 7 3 2 2 2 3" xfId="24541" xr:uid="{00000000-0005-0000-0000-0000D63D0000}"/>
    <cellStyle name="40% - Accent3 7 3 2 2 3" xfId="13057" xr:uid="{00000000-0005-0000-0000-0000D73D0000}"/>
    <cellStyle name="40% - Accent3 7 3 2 2 4" xfId="21012" xr:uid="{00000000-0005-0000-0000-0000D83D0000}"/>
    <cellStyle name="40% - Accent3 7 3 2 3" xfId="6865" xr:uid="{00000000-0005-0000-0000-0000D93D0000}"/>
    <cellStyle name="40% - Accent3 7 3 2 3 2" xfId="14837" xr:uid="{00000000-0005-0000-0000-0000DA3D0000}"/>
    <cellStyle name="40% - Accent3 7 3 2 3 3" xfId="22784" xr:uid="{00000000-0005-0000-0000-0000DB3D0000}"/>
    <cellStyle name="40% - Accent3 7 3 2 4" xfId="11301" xr:uid="{00000000-0005-0000-0000-0000DC3D0000}"/>
    <cellStyle name="40% - Accent3 7 3 2 5" xfId="19256" xr:uid="{00000000-0005-0000-0000-0000DD3D0000}"/>
    <cellStyle name="40% - Accent3 7 3 2_Exh G" xfId="3033" xr:uid="{00000000-0005-0000-0000-0000DE3D0000}"/>
    <cellStyle name="40% - Accent3 7 3 3" xfId="4154" xr:uid="{00000000-0005-0000-0000-0000DF3D0000}"/>
    <cellStyle name="40% - Accent3 7 3 3 2" xfId="7746" xr:uid="{00000000-0005-0000-0000-0000E03D0000}"/>
    <cellStyle name="40% - Accent3 7 3 3 2 2" xfId="15717" xr:uid="{00000000-0005-0000-0000-0000E13D0000}"/>
    <cellStyle name="40% - Accent3 7 3 3 2 3" xfId="23663" xr:uid="{00000000-0005-0000-0000-0000E23D0000}"/>
    <cellStyle name="40% - Accent3 7 3 3 3" xfId="12179" xr:uid="{00000000-0005-0000-0000-0000E33D0000}"/>
    <cellStyle name="40% - Accent3 7 3 3 4" xfId="20134" xr:uid="{00000000-0005-0000-0000-0000E43D0000}"/>
    <cellStyle name="40% - Accent3 7 3 4" xfId="5974" xr:uid="{00000000-0005-0000-0000-0000E53D0000}"/>
    <cellStyle name="40% - Accent3 7 3 4 2" xfId="13958" xr:uid="{00000000-0005-0000-0000-0000E63D0000}"/>
    <cellStyle name="40% - Accent3 7 3 4 3" xfId="21906" xr:uid="{00000000-0005-0000-0000-0000E73D0000}"/>
    <cellStyle name="40% - Accent3 7 3 5" xfId="9527" xr:uid="{00000000-0005-0000-0000-0000E83D0000}"/>
    <cellStyle name="40% - Accent3 7 3 5 2" xfId="17485" xr:uid="{00000000-0005-0000-0000-0000E93D0000}"/>
    <cellStyle name="40% - Accent3 7 3 5 3" xfId="25429" xr:uid="{00000000-0005-0000-0000-0000EA3D0000}"/>
    <cellStyle name="40% - Accent3 7 3 6" xfId="10423" xr:uid="{00000000-0005-0000-0000-0000EB3D0000}"/>
    <cellStyle name="40% - Accent3 7 3 7" xfId="18378" xr:uid="{00000000-0005-0000-0000-0000EC3D0000}"/>
    <cellStyle name="40% - Accent3 7 3_Exh G" xfId="3032" xr:uid="{00000000-0005-0000-0000-0000ED3D0000}"/>
    <cellStyle name="40% - Accent3 7 4" xfId="967" xr:uid="{00000000-0005-0000-0000-0000EE3D0000}"/>
    <cellStyle name="40% - Accent3 7 4 2" xfId="1886" xr:uid="{00000000-0005-0000-0000-0000EF3D0000}"/>
    <cellStyle name="40% - Accent3 7 4 2 2" xfId="5404" xr:uid="{00000000-0005-0000-0000-0000F03D0000}"/>
    <cellStyle name="40% - Accent3 7 4 2 2 2" xfId="8995" xr:uid="{00000000-0005-0000-0000-0000F13D0000}"/>
    <cellStyle name="40% - Accent3 7 4 2 2 2 2" xfId="16966" xr:uid="{00000000-0005-0000-0000-0000F23D0000}"/>
    <cellStyle name="40% - Accent3 7 4 2 2 2 3" xfId="24912" xr:uid="{00000000-0005-0000-0000-0000F33D0000}"/>
    <cellStyle name="40% - Accent3 7 4 2 2 3" xfId="13428" xr:uid="{00000000-0005-0000-0000-0000F43D0000}"/>
    <cellStyle name="40% - Accent3 7 4 2 2 4" xfId="21383" xr:uid="{00000000-0005-0000-0000-0000F53D0000}"/>
    <cellStyle name="40% - Accent3 7 4 2 3" xfId="7236" xr:uid="{00000000-0005-0000-0000-0000F63D0000}"/>
    <cellStyle name="40% - Accent3 7 4 2 3 2" xfId="15208" xr:uid="{00000000-0005-0000-0000-0000F73D0000}"/>
    <cellStyle name="40% - Accent3 7 4 2 3 3" xfId="23155" xr:uid="{00000000-0005-0000-0000-0000F83D0000}"/>
    <cellStyle name="40% - Accent3 7 4 2 4" xfId="11672" xr:uid="{00000000-0005-0000-0000-0000F93D0000}"/>
    <cellStyle name="40% - Accent3 7 4 2 5" xfId="19627" xr:uid="{00000000-0005-0000-0000-0000FA3D0000}"/>
    <cellStyle name="40% - Accent3 7 4 2_Exh G" xfId="3035" xr:uid="{00000000-0005-0000-0000-0000FB3D0000}"/>
    <cellStyle name="40% - Accent3 7 4 3" xfId="4525" xr:uid="{00000000-0005-0000-0000-0000FC3D0000}"/>
    <cellStyle name="40% - Accent3 7 4 3 2" xfId="8117" xr:uid="{00000000-0005-0000-0000-0000FD3D0000}"/>
    <cellStyle name="40% - Accent3 7 4 3 2 2" xfId="16088" xr:uid="{00000000-0005-0000-0000-0000FE3D0000}"/>
    <cellStyle name="40% - Accent3 7 4 3 2 3" xfId="24034" xr:uid="{00000000-0005-0000-0000-0000FF3D0000}"/>
    <cellStyle name="40% - Accent3 7 4 3 3" xfId="12550" xr:uid="{00000000-0005-0000-0000-0000003E0000}"/>
    <cellStyle name="40% - Accent3 7 4 3 4" xfId="20505" xr:uid="{00000000-0005-0000-0000-0000013E0000}"/>
    <cellStyle name="40% - Accent3 7 4 4" xfId="6355" xr:uid="{00000000-0005-0000-0000-0000023E0000}"/>
    <cellStyle name="40% - Accent3 7 4 4 2" xfId="14330" xr:uid="{00000000-0005-0000-0000-0000033E0000}"/>
    <cellStyle name="40% - Accent3 7 4 4 3" xfId="22277" xr:uid="{00000000-0005-0000-0000-0000043E0000}"/>
    <cellStyle name="40% - Accent3 7 4 5" xfId="9898" xr:uid="{00000000-0005-0000-0000-0000053E0000}"/>
    <cellStyle name="40% - Accent3 7 4 5 2" xfId="17856" xr:uid="{00000000-0005-0000-0000-0000063E0000}"/>
    <cellStyle name="40% - Accent3 7 4 5 3" xfId="25800" xr:uid="{00000000-0005-0000-0000-0000073E0000}"/>
    <cellStyle name="40% - Accent3 7 4 6" xfId="10794" xr:uid="{00000000-0005-0000-0000-0000083E0000}"/>
    <cellStyle name="40% - Accent3 7 4 7" xfId="18749" xr:uid="{00000000-0005-0000-0000-0000093E0000}"/>
    <cellStyle name="40% - Accent3 7 4_Exh G" xfId="3034" xr:uid="{00000000-0005-0000-0000-00000A3E0000}"/>
    <cellStyle name="40% - Accent3 7 5" xfId="1500" xr:uid="{00000000-0005-0000-0000-00000B3E0000}"/>
    <cellStyle name="40% - Accent3 7 5 2" xfId="5030" xr:uid="{00000000-0005-0000-0000-00000C3E0000}"/>
    <cellStyle name="40% - Accent3 7 5 2 2" xfId="8621" xr:uid="{00000000-0005-0000-0000-00000D3E0000}"/>
    <cellStyle name="40% - Accent3 7 5 2 2 2" xfId="16592" xr:uid="{00000000-0005-0000-0000-00000E3E0000}"/>
    <cellStyle name="40% - Accent3 7 5 2 2 3" xfId="24538" xr:uid="{00000000-0005-0000-0000-00000F3E0000}"/>
    <cellStyle name="40% - Accent3 7 5 2 3" xfId="13054" xr:uid="{00000000-0005-0000-0000-0000103E0000}"/>
    <cellStyle name="40% - Accent3 7 5 2 4" xfId="21009" xr:uid="{00000000-0005-0000-0000-0000113E0000}"/>
    <cellStyle name="40% - Accent3 7 5 3" xfId="6862" xr:uid="{00000000-0005-0000-0000-0000123E0000}"/>
    <cellStyle name="40% - Accent3 7 5 3 2" xfId="14834" xr:uid="{00000000-0005-0000-0000-0000133E0000}"/>
    <cellStyle name="40% - Accent3 7 5 3 3" xfId="22781" xr:uid="{00000000-0005-0000-0000-0000143E0000}"/>
    <cellStyle name="40% - Accent3 7 5 4" xfId="11298" xr:uid="{00000000-0005-0000-0000-0000153E0000}"/>
    <cellStyle name="40% - Accent3 7 5 5" xfId="19253" xr:uid="{00000000-0005-0000-0000-0000163E0000}"/>
    <cellStyle name="40% - Accent3 7 5_Exh G" xfId="3036" xr:uid="{00000000-0005-0000-0000-0000173E0000}"/>
    <cellStyle name="40% - Accent3 7 6" xfId="4151" xr:uid="{00000000-0005-0000-0000-0000183E0000}"/>
    <cellStyle name="40% - Accent3 7 6 2" xfId="7743" xr:uid="{00000000-0005-0000-0000-0000193E0000}"/>
    <cellStyle name="40% - Accent3 7 6 2 2" xfId="15714" xr:uid="{00000000-0005-0000-0000-00001A3E0000}"/>
    <cellStyle name="40% - Accent3 7 6 2 3" xfId="23660" xr:uid="{00000000-0005-0000-0000-00001B3E0000}"/>
    <cellStyle name="40% - Accent3 7 6 3" xfId="12176" xr:uid="{00000000-0005-0000-0000-00001C3E0000}"/>
    <cellStyle name="40% - Accent3 7 6 4" xfId="20131" xr:uid="{00000000-0005-0000-0000-00001D3E0000}"/>
    <cellStyle name="40% - Accent3 7 7" xfId="5971" xr:uid="{00000000-0005-0000-0000-00001E3E0000}"/>
    <cellStyle name="40% - Accent3 7 7 2" xfId="13955" xr:uid="{00000000-0005-0000-0000-00001F3E0000}"/>
    <cellStyle name="40% - Accent3 7 7 3" xfId="21903" xr:uid="{00000000-0005-0000-0000-0000203E0000}"/>
    <cellStyle name="40% - Accent3 7 8" xfId="9524" xr:uid="{00000000-0005-0000-0000-0000213E0000}"/>
    <cellStyle name="40% - Accent3 7 8 2" xfId="17482" xr:uid="{00000000-0005-0000-0000-0000223E0000}"/>
    <cellStyle name="40% - Accent3 7 8 3" xfId="25426" xr:uid="{00000000-0005-0000-0000-0000233E0000}"/>
    <cellStyle name="40% - Accent3 7 9" xfId="10420" xr:uid="{00000000-0005-0000-0000-0000243E0000}"/>
    <cellStyle name="40% - Accent3 7_Exh G" xfId="3027" xr:uid="{00000000-0005-0000-0000-0000253E0000}"/>
    <cellStyle name="40% - Accent3 8" xfId="476" xr:uid="{00000000-0005-0000-0000-0000263E0000}"/>
    <cellStyle name="40% - Accent3 8 10" xfId="18379" xr:uid="{00000000-0005-0000-0000-0000273E0000}"/>
    <cellStyle name="40% - Accent3 8 2" xfId="477" xr:uid="{00000000-0005-0000-0000-0000283E0000}"/>
    <cellStyle name="40% - Accent3 8 2 2" xfId="478" xr:uid="{00000000-0005-0000-0000-0000293E0000}"/>
    <cellStyle name="40% - Accent3 8 2 2 2" xfId="1506" xr:uid="{00000000-0005-0000-0000-00002A3E0000}"/>
    <cellStyle name="40% - Accent3 8 2 2 2 2" xfId="5036" xr:uid="{00000000-0005-0000-0000-00002B3E0000}"/>
    <cellStyle name="40% - Accent3 8 2 2 2 2 2" xfId="8627" xr:uid="{00000000-0005-0000-0000-00002C3E0000}"/>
    <cellStyle name="40% - Accent3 8 2 2 2 2 2 2" xfId="16598" xr:uid="{00000000-0005-0000-0000-00002D3E0000}"/>
    <cellStyle name="40% - Accent3 8 2 2 2 2 2 3" xfId="24544" xr:uid="{00000000-0005-0000-0000-00002E3E0000}"/>
    <cellStyle name="40% - Accent3 8 2 2 2 2 3" xfId="13060" xr:uid="{00000000-0005-0000-0000-00002F3E0000}"/>
    <cellStyle name="40% - Accent3 8 2 2 2 2 4" xfId="21015" xr:uid="{00000000-0005-0000-0000-0000303E0000}"/>
    <cellStyle name="40% - Accent3 8 2 2 2 3" xfId="6868" xr:uid="{00000000-0005-0000-0000-0000313E0000}"/>
    <cellStyle name="40% - Accent3 8 2 2 2 3 2" xfId="14840" xr:uid="{00000000-0005-0000-0000-0000323E0000}"/>
    <cellStyle name="40% - Accent3 8 2 2 2 3 3" xfId="22787" xr:uid="{00000000-0005-0000-0000-0000333E0000}"/>
    <cellStyle name="40% - Accent3 8 2 2 2 4" xfId="11304" xr:uid="{00000000-0005-0000-0000-0000343E0000}"/>
    <cellStyle name="40% - Accent3 8 2 2 2 5" xfId="19259" xr:uid="{00000000-0005-0000-0000-0000353E0000}"/>
    <cellStyle name="40% - Accent3 8 2 2 2_Exh G" xfId="3040" xr:uid="{00000000-0005-0000-0000-0000363E0000}"/>
    <cellStyle name="40% - Accent3 8 2 2 3" xfId="4157" xr:uid="{00000000-0005-0000-0000-0000373E0000}"/>
    <cellStyle name="40% - Accent3 8 2 2 3 2" xfId="7749" xr:uid="{00000000-0005-0000-0000-0000383E0000}"/>
    <cellStyle name="40% - Accent3 8 2 2 3 2 2" xfId="15720" xr:uid="{00000000-0005-0000-0000-0000393E0000}"/>
    <cellStyle name="40% - Accent3 8 2 2 3 2 3" xfId="23666" xr:uid="{00000000-0005-0000-0000-00003A3E0000}"/>
    <cellStyle name="40% - Accent3 8 2 2 3 3" xfId="12182" xr:uid="{00000000-0005-0000-0000-00003B3E0000}"/>
    <cellStyle name="40% - Accent3 8 2 2 3 4" xfId="20137" xr:uid="{00000000-0005-0000-0000-00003C3E0000}"/>
    <cellStyle name="40% - Accent3 8 2 2 4" xfId="5977" xr:uid="{00000000-0005-0000-0000-00003D3E0000}"/>
    <cellStyle name="40% - Accent3 8 2 2 4 2" xfId="13961" xr:uid="{00000000-0005-0000-0000-00003E3E0000}"/>
    <cellStyle name="40% - Accent3 8 2 2 4 3" xfId="21909" xr:uid="{00000000-0005-0000-0000-00003F3E0000}"/>
    <cellStyle name="40% - Accent3 8 2 2 5" xfId="9530" xr:uid="{00000000-0005-0000-0000-0000403E0000}"/>
    <cellStyle name="40% - Accent3 8 2 2 5 2" xfId="17488" xr:uid="{00000000-0005-0000-0000-0000413E0000}"/>
    <cellStyle name="40% - Accent3 8 2 2 5 3" xfId="25432" xr:uid="{00000000-0005-0000-0000-0000423E0000}"/>
    <cellStyle name="40% - Accent3 8 2 2 6" xfId="10426" xr:uid="{00000000-0005-0000-0000-0000433E0000}"/>
    <cellStyle name="40% - Accent3 8 2 2 7" xfId="18381" xr:uid="{00000000-0005-0000-0000-0000443E0000}"/>
    <cellStyle name="40% - Accent3 8 2 2_Exh G" xfId="3039" xr:uid="{00000000-0005-0000-0000-0000453E0000}"/>
    <cellStyle name="40% - Accent3 8 2 3" xfId="1505" xr:uid="{00000000-0005-0000-0000-0000463E0000}"/>
    <cellStyle name="40% - Accent3 8 2 3 2" xfId="5035" xr:uid="{00000000-0005-0000-0000-0000473E0000}"/>
    <cellStyle name="40% - Accent3 8 2 3 2 2" xfId="8626" xr:uid="{00000000-0005-0000-0000-0000483E0000}"/>
    <cellStyle name="40% - Accent3 8 2 3 2 2 2" xfId="16597" xr:uid="{00000000-0005-0000-0000-0000493E0000}"/>
    <cellStyle name="40% - Accent3 8 2 3 2 2 3" xfId="24543" xr:uid="{00000000-0005-0000-0000-00004A3E0000}"/>
    <cellStyle name="40% - Accent3 8 2 3 2 3" xfId="13059" xr:uid="{00000000-0005-0000-0000-00004B3E0000}"/>
    <cellStyle name="40% - Accent3 8 2 3 2 4" xfId="21014" xr:uid="{00000000-0005-0000-0000-00004C3E0000}"/>
    <cellStyle name="40% - Accent3 8 2 3 3" xfId="6867" xr:uid="{00000000-0005-0000-0000-00004D3E0000}"/>
    <cellStyle name="40% - Accent3 8 2 3 3 2" xfId="14839" xr:uid="{00000000-0005-0000-0000-00004E3E0000}"/>
    <cellStyle name="40% - Accent3 8 2 3 3 3" xfId="22786" xr:uid="{00000000-0005-0000-0000-00004F3E0000}"/>
    <cellStyle name="40% - Accent3 8 2 3 4" xfId="11303" xr:uid="{00000000-0005-0000-0000-0000503E0000}"/>
    <cellStyle name="40% - Accent3 8 2 3 5" xfId="19258" xr:uid="{00000000-0005-0000-0000-0000513E0000}"/>
    <cellStyle name="40% - Accent3 8 2 3_Exh G" xfId="3041" xr:uid="{00000000-0005-0000-0000-0000523E0000}"/>
    <cellStyle name="40% - Accent3 8 2 4" xfId="4156" xr:uid="{00000000-0005-0000-0000-0000533E0000}"/>
    <cellStyle name="40% - Accent3 8 2 4 2" xfId="7748" xr:uid="{00000000-0005-0000-0000-0000543E0000}"/>
    <cellStyle name="40% - Accent3 8 2 4 2 2" xfId="15719" xr:uid="{00000000-0005-0000-0000-0000553E0000}"/>
    <cellStyle name="40% - Accent3 8 2 4 2 3" xfId="23665" xr:uid="{00000000-0005-0000-0000-0000563E0000}"/>
    <cellStyle name="40% - Accent3 8 2 4 3" xfId="12181" xr:uid="{00000000-0005-0000-0000-0000573E0000}"/>
    <cellStyle name="40% - Accent3 8 2 4 4" xfId="20136" xr:uid="{00000000-0005-0000-0000-0000583E0000}"/>
    <cellStyle name="40% - Accent3 8 2 5" xfId="5976" xr:uid="{00000000-0005-0000-0000-0000593E0000}"/>
    <cellStyle name="40% - Accent3 8 2 5 2" xfId="13960" xr:uid="{00000000-0005-0000-0000-00005A3E0000}"/>
    <cellStyle name="40% - Accent3 8 2 5 3" xfId="21908" xr:uid="{00000000-0005-0000-0000-00005B3E0000}"/>
    <cellStyle name="40% - Accent3 8 2 6" xfId="9529" xr:uid="{00000000-0005-0000-0000-00005C3E0000}"/>
    <cellStyle name="40% - Accent3 8 2 6 2" xfId="17487" xr:uid="{00000000-0005-0000-0000-00005D3E0000}"/>
    <cellStyle name="40% - Accent3 8 2 6 3" xfId="25431" xr:uid="{00000000-0005-0000-0000-00005E3E0000}"/>
    <cellStyle name="40% - Accent3 8 2 7" xfId="10425" xr:uid="{00000000-0005-0000-0000-00005F3E0000}"/>
    <cellStyle name="40% - Accent3 8 2 8" xfId="18380" xr:uid="{00000000-0005-0000-0000-0000603E0000}"/>
    <cellStyle name="40% - Accent3 8 2_Exh G" xfId="3038" xr:uid="{00000000-0005-0000-0000-0000613E0000}"/>
    <cellStyle name="40% - Accent3 8 3" xfId="479" xr:uid="{00000000-0005-0000-0000-0000623E0000}"/>
    <cellStyle name="40% - Accent3 8 3 2" xfId="1507" xr:uid="{00000000-0005-0000-0000-0000633E0000}"/>
    <cellStyle name="40% - Accent3 8 3 2 2" xfId="5037" xr:uid="{00000000-0005-0000-0000-0000643E0000}"/>
    <cellStyle name="40% - Accent3 8 3 2 2 2" xfId="8628" xr:uid="{00000000-0005-0000-0000-0000653E0000}"/>
    <cellStyle name="40% - Accent3 8 3 2 2 2 2" xfId="16599" xr:uid="{00000000-0005-0000-0000-0000663E0000}"/>
    <cellStyle name="40% - Accent3 8 3 2 2 2 3" xfId="24545" xr:uid="{00000000-0005-0000-0000-0000673E0000}"/>
    <cellStyle name="40% - Accent3 8 3 2 2 3" xfId="13061" xr:uid="{00000000-0005-0000-0000-0000683E0000}"/>
    <cellStyle name="40% - Accent3 8 3 2 2 4" xfId="21016" xr:uid="{00000000-0005-0000-0000-0000693E0000}"/>
    <cellStyle name="40% - Accent3 8 3 2 3" xfId="6869" xr:uid="{00000000-0005-0000-0000-00006A3E0000}"/>
    <cellStyle name="40% - Accent3 8 3 2 3 2" xfId="14841" xr:uid="{00000000-0005-0000-0000-00006B3E0000}"/>
    <cellStyle name="40% - Accent3 8 3 2 3 3" xfId="22788" xr:uid="{00000000-0005-0000-0000-00006C3E0000}"/>
    <cellStyle name="40% - Accent3 8 3 2 4" xfId="11305" xr:uid="{00000000-0005-0000-0000-00006D3E0000}"/>
    <cellStyle name="40% - Accent3 8 3 2 5" xfId="19260" xr:uid="{00000000-0005-0000-0000-00006E3E0000}"/>
    <cellStyle name="40% - Accent3 8 3 2_Exh G" xfId="3043" xr:uid="{00000000-0005-0000-0000-00006F3E0000}"/>
    <cellStyle name="40% - Accent3 8 3 3" xfId="4158" xr:uid="{00000000-0005-0000-0000-0000703E0000}"/>
    <cellStyle name="40% - Accent3 8 3 3 2" xfId="7750" xr:uid="{00000000-0005-0000-0000-0000713E0000}"/>
    <cellStyle name="40% - Accent3 8 3 3 2 2" xfId="15721" xr:uid="{00000000-0005-0000-0000-0000723E0000}"/>
    <cellStyle name="40% - Accent3 8 3 3 2 3" xfId="23667" xr:uid="{00000000-0005-0000-0000-0000733E0000}"/>
    <cellStyle name="40% - Accent3 8 3 3 3" xfId="12183" xr:uid="{00000000-0005-0000-0000-0000743E0000}"/>
    <cellStyle name="40% - Accent3 8 3 3 4" xfId="20138" xr:uid="{00000000-0005-0000-0000-0000753E0000}"/>
    <cellStyle name="40% - Accent3 8 3 4" xfId="5978" xr:uid="{00000000-0005-0000-0000-0000763E0000}"/>
    <cellStyle name="40% - Accent3 8 3 4 2" xfId="13962" xr:uid="{00000000-0005-0000-0000-0000773E0000}"/>
    <cellStyle name="40% - Accent3 8 3 4 3" xfId="21910" xr:uid="{00000000-0005-0000-0000-0000783E0000}"/>
    <cellStyle name="40% - Accent3 8 3 5" xfId="9531" xr:uid="{00000000-0005-0000-0000-0000793E0000}"/>
    <cellStyle name="40% - Accent3 8 3 5 2" xfId="17489" xr:uid="{00000000-0005-0000-0000-00007A3E0000}"/>
    <cellStyle name="40% - Accent3 8 3 5 3" xfId="25433" xr:uid="{00000000-0005-0000-0000-00007B3E0000}"/>
    <cellStyle name="40% - Accent3 8 3 6" xfId="10427" xr:uid="{00000000-0005-0000-0000-00007C3E0000}"/>
    <cellStyle name="40% - Accent3 8 3 7" xfId="18382" xr:uid="{00000000-0005-0000-0000-00007D3E0000}"/>
    <cellStyle name="40% - Accent3 8 3_Exh G" xfId="3042" xr:uid="{00000000-0005-0000-0000-00007E3E0000}"/>
    <cellStyle name="40% - Accent3 8 4" xfId="968" xr:uid="{00000000-0005-0000-0000-00007F3E0000}"/>
    <cellStyle name="40% - Accent3 8 4 2" xfId="1887" xr:uid="{00000000-0005-0000-0000-0000803E0000}"/>
    <cellStyle name="40% - Accent3 8 4 2 2" xfId="5405" xr:uid="{00000000-0005-0000-0000-0000813E0000}"/>
    <cellStyle name="40% - Accent3 8 4 2 2 2" xfId="8996" xr:uid="{00000000-0005-0000-0000-0000823E0000}"/>
    <cellStyle name="40% - Accent3 8 4 2 2 2 2" xfId="16967" xr:uid="{00000000-0005-0000-0000-0000833E0000}"/>
    <cellStyle name="40% - Accent3 8 4 2 2 2 3" xfId="24913" xr:uid="{00000000-0005-0000-0000-0000843E0000}"/>
    <cellStyle name="40% - Accent3 8 4 2 2 3" xfId="13429" xr:uid="{00000000-0005-0000-0000-0000853E0000}"/>
    <cellStyle name="40% - Accent3 8 4 2 2 4" xfId="21384" xr:uid="{00000000-0005-0000-0000-0000863E0000}"/>
    <cellStyle name="40% - Accent3 8 4 2 3" xfId="7237" xr:uid="{00000000-0005-0000-0000-0000873E0000}"/>
    <cellStyle name="40% - Accent3 8 4 2 3 2" xfId="15209" xr:uid="{00000000-0005-0000-0000-0000883E0000}"/>
    <cellStyle name="40% - Accent3 8 4 2 3 3" xfId="23156" xr:uid="{00000000-0005-0000-0000-0000893E0000}"/>
    <cellStyle name="40% - Accent3 8 4 2 4" xfId="11673" xr:uid="{00000000-0005-0000-0000-00008A3E0000}"/>
    <cellStyle name="40% - Accent3 8 4 2 5" xfId="19628" xr:uid="{00000000-0005-0000-0000-00008B3E0000}"/>
    <cellStyle name="40% - Accent3 8 4 2_Exh G" xfId="3045" xr:uid="{00000000-0005-0000-0000-00008C3E0000}"/>
    <cellStyle name="40% - Accent3 8 4 3" xfId="4526" xr:uid="{00000000-0005-0000-0000-00008D3E0000}"/>
    <cellStyle name="40% - Accent3 8 4 3 2" xfId="8118" xr:uid="{00000000-0005-0000-0000-00008E3E0000}"/>
    <cellStyle name="40% - Accent3 8 4 3 2 2" xfId="16089" xr:uid="{00000000-0005-0000-0000-00008F3E0000}"/>
    <cellStyle name="40% - Accent3 8 4 3 2 3" xfId="24035" xr:uid="{00000000-0005-0000-0000-0000903E0000}"/>
    <cellStyle name="40% - Accent3 8 4 3 3" xfId="12551" xr:uid="{00000000-0005-0000-0000-0000913E0000}"/>
    <cellStyle name="40% - Accent3 8 4 3 4" xfId="20506" xr:uid="{00000000-0005-0000-0000-0000923E0000}"/>
    <cellStyle name="40% - Accent3 8 4 4" xfId="6356" xr:uid="{00000000-0005-0000-0000-0000933E0000}"/>
    <cellStyle name="40% - Accent3 8 4 4 2" xfId="14331" xr:uid="{00000000-0005-0000-0000-0000943E0000}"/>
    <cellStyle name="40% - Accent3 8 4 4 3" xfId="22278" xr:uid="{00000000-0005-0000-0000-0000953E0000}"/>
    <cellStyle name="40% - Accent3 8 4 5" xfId="9899" xr:uid="{00000000-0005-0000-0000-0000963E0000}"/>
    <cellStyle name="40% - Accent3 8 4 5 2" xfId="17857" xr:uid="{00000000-0005-0000-0000-0000973E0000}"/>
    <cellStyle name="40% - Accent3 8 4 5 3" xfId="25801" xr:uid="{00000000-0005-0000-0000-0000983E0000}"/>
    <cellStyle name="40% - Accent3 8 4 6" xfId="10795" xr:uid="{00000000-0005-0000-0000-0000993E0000}"/>
    <cellStyle name="40% - Accent3 8 4 7" xfId="18750" xr:uid="{00000000-0005-0000-0000-00009A3E0000}"/>
    <cellStyle name="40% - Accent3 8 4_Exh G" xfId="3044" xr:uid="{00000000-0005-0000-0000-00009B3E0000}"/>
    <cellStyle name="40% - Accent3 8 5" xfId="1504" xr:uid="{00000000-0005-0000-0000-00009C3E0000}"/>
    <cellStyle name="40% - Accent3 8 5 2" xfId="5034" xr:uid="{00000000-0005-0000-0000-00009D3E0000}"/>
    <cellStyle name="40% - Accent3 8 5 2 2" xfId="8625" xr:uid="{00000000-0005-0000-0000-00009E3E0000}"/>
    <cellStyle name="40% - Accent3 8 5 2 2 2" xfId="16596" xr:uid="{00000000-0005-0000-0000-00009F3E0000}"/>
    <cellStyle name="40% - Accent3 8 5 2 2 3" xfId="24542" xr:uid="{00000000-0005-0000-0000-0000A03E0000}"/>
    <cellStyle name="40% - Accent3 8 5 2 3" xfId="13058" xr:uid="{00000000-0005-0000-0000-0000A13E0000}"/>
    <cellStyle name="40% - Accent3 8 5 2 4" xfId="21013" xr:uid="{00000000-0005-0000-0000-0000A23E0000}"/>
    <cellStyle name="40% - Accent3 8 5 3" xfId="6866" xr:uid="{00000000-0005-0000-0000-0000A33E0000}"/>
    <cellStyle name="40% - Accent3 8 5 3 2" xfId="14838" xr:uid="{00000000-0005-0000-0000-0000A43E0000}"/>
    <cellStyle name="40% - Accent3 8 5 3 3" xfId="22785" xr:uid="{00000000-0005-0000-0000-0000A53E0000}"/>
    <cellStyle name="40% - Accent3 8 5 4" xfId="11302" xr:uid="{00000000-0005-0000-0000-0000A63E0000}"/>
    <cellStyle name="40% - Accent3 8 5 5" xfId="19257" xr:uid="{00000000-0005-0000-0000-0000A73E0000}"/>
    <cellStyle name="40% - Accent3 8 5_Exh G" xfId="3046" xr:uid="{00000000-0005-0000-0000-0000A83E0000}"/>
    <cellStyle name="40% - Accent3 8 6" xfId="4155" xr:uid="{00000000-0005-0000-0000-0000A93E0000}"/>
    <cellStyle name="40% - Accent3 8 6 2" xfId="7747" xr:uid="{00000000-0005-0000-0000-0000AA3E0000}"/>
    <cellStyle name="40% - Accent3 8 6 2 2" xfId="15718" xr:uid="{00000000-0005-0000-0000-0000AB3E0000}"/>
    <cellStyle name="40% - Accent3 8 6 2 3" xfId="23664" xr:uid="{00000000-0005-0000-0000-0000AC3E0000}"/>
    <cellStyle name="40% - Accent3 8 6 3" xfId="12180" xr:uid="{00000000-0005-0000-0000-0000AD3E0000}"/>
    <cellStyle name="40% - Accent3 8 6 4" xfId="20135" xr:uid="{00000000-0005-0000-0000-0000AE3E0000}"/>
    <cellStyle name="40% - Accent3 8 7" xfId="5975" xr:uid="{00000000-0005-0000-0000-0000AF3E0000}"/>
    <cellStyle name="40% - Accent3 8 7 2" xfId="13959" xr:uid="{00000000-0005-0000-0000-0000B03E0000}"/>
    <cellStyle name="40% - Accent3 8 7 3" xfId="21907" xr:uid="{00000000-0005-0000-0000-0000B13E0000}"/>
    <cellStyle name="40% - Accent3 8 8" xfId="9528" xr:uid="{00000000-0005-0000-0000-0000B23E0000}"/>
    <cellStyle name="40% - Accent3 8 8 2" xfId="17486" xr:uid="{00000000-0005-0000-0000-0000B33E0000}"/>
    <cellStyle name="40% - Accent3 8 8 3" xfId="25430" xr:uid="{00000000-0005-0000-0000-0000B43E0000}"/>
    <cellStyle name="40% - Accent3 8 9" xfId="10424" xr:uid="{00000000-0005-0000-0000-0000B53E0000}"/>
    <cellStyle name="40% - Accent3 8_Exh G" xfId="3037" xr:uid="{00000000-0005-0000-0000-0000B63E0000}"/>
    <cellStyle name="40% - Accent3 9" xfId="480" xr:uid="{00000000-0005-0000-0000-0000B73E0000}"/>
    <cellStyle name="40% - Accent3 9 10" xfId="18383" xr:uid="{00000000-0005-0000-0000-0000B83E0000}"/>
    <cellStyle name="40% - Accent3 9 2" xfId="481" xr:uid="{00000000-0005-0000-0000-0000B93E0000}"/>
    <cellStyle name="40% - Accent3 9 2 2" xfId="482" xr:uid="{00000000-0005-0000-0000-0000BA3E0000}"/>
    <cellStyle name="40% - Accent3 9 2 2 2" xfId="1510" xr:uid="{00000000-0005-0000-0000-0000BB3E0000}"/>
    <cellStyle name="40% - Accent3 9 2 2 2 2" xfId="5040" xr:uid="{00000000-0005-0000-0000-0000BC3E0000}"/>
    <cellStyle name="40% - Accent3 9 2 2 2 2 2" xfId="8631" xr:uid="{00000000-0005-0000-0000-0000BD3E0000}"/>
    <cellStyle name="40% - Accent3 9 2 2 2 2 2 2" xfId="16602" xr:uid="{00000000-0005-0000-0000-0000BE3E0000}"/>
    <cellStyle name="40% - Accent3 9 2 2 2 2 2 3" xfId="24548" xr:uid="{00000000-0005-0000-0000-0000BF3E0000}"/>
    <cellStyle name="40% - Accent3 9 2 2 2 2 3" xfId="13064" xr:uid="{00000000-0005-0000-0000-0000C03E0000}"/>
    <cellStyle name="40% - Accent3 9 2 2 2 2 4" xfId="21019" xr:uid="{00000000-0005-0000-0000-0000C13E0000}"/>
    <cellStyle name="40% - Accent3 9 2 2 2 3" xfId="6872" xr:uid="{00000000-0005-0000-0000-0000C23E0000}"/>
    <cellStyle name="40% - Accent3 9 2 2 2 3 2" xfId="14844" xr:uid="{00000000-0005-0000-0000-0000C33E0000}"/>
    <cellStyle name="40% - Accent3 9 2 2 2 3 3" xfId="22791" xr:uid="{00000000-0005-0000-0000-0000C43E0000}"/>
    <cellStyle name="40% - Accent3 9 2 2 2 4" xfId="11308" xr:uid="{00000000-0005-0000-0000-0000C53E0000}"/>
    <cellStyle name="40% - Accent3 9 2 2 2 5" xfId="19263" xr:uid="{00000000-0005-0000-0000-0000C63E0000}"/>
    <cellStyle name="40% - Accent3 9 2 2 2_Exh G" xfId="3050" xr:uid="{00000000-0005-0000-0000-0000C73E0000}"/>
    <cellStyle name="40% - Accent3 9 2 2 3" xfId="4161" xr:uid="{00000000-0005-0000-0000-0000C83E0000}"/>
    <cellStyle name="40% - Accent3 9 2 2 3 2" xfId="7753" xr:uid="{00000000-0005-0000-0000-0000C93E0000}"/>
    <cellStyle name="40% - Accent3 9 2 2 3 2 2" xfId="15724" xr:uid="{00000000-0005-0000-0000-0000CA3E0000}"/>
    <cellStyle name="40% - Accent3 9 2 2 3 2 3" xfId="23670" xr:uid="{00000000-0005-0000-0000-0000CB3E0000}"/>
    <cellStyle name="40% - Accent3 9 2 2 3 3" xfId="12186" xr:uid="{00000000-0005-0000-0000-0000CC3E0000}"/>
    <cellStyle name="40% - Accent3 9 2 2 3 4" xfId="20141" xr:uid="{00000000-0005-0000-0000-0000CD3E0000}"/>
    <cellStyle name="40% - Accent3 9 2 2 4" xfId="5981" xr:uid="{00000000-0005-0000-0000-0000CE3E0000}"/>
    <cellStyle name="40% - Accent3 9 2 2 4 2" xfId="13965" xr:uid="{00000000-0005-0000-0000-0000CF3E0000}"/>
    <cellStyle name="40% - Accent3 9 2 2 4 3" xfId="21913" xr:uid="{00000000-0005-0000-0000-0000D03E0000}"/>
    <cellStyle name="40% - Accent3 9 2 2 5" xfId="9534" xr:uid="{00000000-0005-0000-0000-0000D13E0000}"/>
    <cellStyle name="40% - Accent3 9 2 2 5 2" xfId="17492" xr:uid="{00000000-0005-0000-0000-0000D23E0000}"/>
    <cellStyle name="40% - Accent3 9 2 2 5 3" xfId="25436" xr:uid="{00000000-0005-0000-0000-0000D33E0000}"/>
    <cellStyle name="40% - Accent3 9 2 2 6" xfId="10430" xr:uid="{00000000-0005-0000-0000-0000D43E0000}"/>
    <cellStyle name="40% - Accent3 9 2 2 7" xfId="18385" xr:uid="{00000000-0005-0000-0000-0000D53E0000}"/>
    <cellStyle name="40% - Accent3 9 2 2_Exh G" xfId="3049" xr:uid="{00000000-0005-0000-0000-0000D63E0000}"/>
    <cellStyle name="40% - Accent3 9 2 3" xfId="1509" xr:uid="{00000000-0005-0000-0000-0000D73E0000}"/>
    <cellStyle name="40% - Accent3 9 2 3 2" xfId="5039" xr:uid="{00000000-0005-0000-0000-0000D83E0000}"/>
    <cellStyle name="40% - Accent3 9 2 3 2 2" xfId="8630" xr:uid="{00000000-0005-0000-0000-0000D93E0000}"/>
    <cellStyle name="40% - Accent3 9 2 3 2 2 2" xfId="16601" xr:uid="{00000000-0005-0000-0000-0000DA3E0000}"/>
    <cellStyle name="40% - Accent3 9 2 3 2 2 3" xfId="24547" xr:uid="{00000000-0005-0000-0000-0000DB3E0000}"/>
    <cellStyle name="40% - Accent3 9 2 3 2 3" xfId="13063" xr:uid="{00000000-0005-0000-0000-0000DC3E0000}"/>
    <cellStyle name="40% - Accent3 9 2 3 2 4" xfId="21018" xr:uid="{00000000-0005-0000-0000-0000DD3E0000}"/>
    <cellStyle name="40% - Accent3 9 2 3 3" xfId="6871" xr:uid="{00000000-0005-0000-0000-0000DE3E0000}"/>
    <cellStyle name="40% - Accent3 9 2 3 3 2" xfId="14843" xr:uid="{00000000-0005-0000-0000-0000DF3E0000}"/>
    <cellStyle name="40% - Accent3 9 2 3 3 3" xfId="22790" xr:uid="{00000000-0005-0000-0000-0000E03E0000}"/>
    <cellStyle name="40% - Accent3 9 2 3 4" xfId="11307" xr:uid="{00000000-0005-0000-0000-0000E13E0000}"/>
    <cellStyle name="40% - Accent3 9 2 3 5" xfId="19262" xr:uid="{00000000-0005-0000-0000-0000E23E0000}"/>
    <cellStyle name="40% - Accent3 9 2 3_Exh G" xfId="3051" xr:uid="{00000000-0005-0000-0000-0000E33E0000}"/>
    <cellStyle name="40% - Accent3 9 2 4" xfId="4160" xr:uid="{00000000-0005-0000-0000-0000E43E0000}"/>
    <cellStyle name="40% - Accent3 9 2 4 2" xfId="7752" xr:uid="{00000000-0005-0000-0000-0000E53E0000}"/>
    <cellStyle name="40% - Accent3 9 2 4 2 2" xfId="15723" xr:uid="{00000000-0005-0000-0000-0000E63E0000}"/>
    <cellStyle name="40% - Accent3 9 2 4 2 3" xfId="23669" xr:uid="{00000000-0005-0000-0000-0000E73E0000}"/>
    <cellStyle name="40% - Accent3 9 2 4 3" xfId="12185" xr:uid="{00000000-0005-0000-0000-0000E83E0000}"/>
    <cellStyle name="40% - Accent3 9 2 4 4" xfId="20140" xr:uid="{00000000-0005-0000-0000-0000E93E0000}"/>
    <cellStyle name="40% - Accent3 9 2 5" xfId="5980" xr:uid="{00000000-0005-0000-0000-0000EA3E0000}"/>
    <cellStyle name="40% - Accent3 9 2 5 2" xfId="13964" xr:uid="{00000000-0005-0000-0000-0000EB3E0000}"/>
    <cellStyle name="40% - Accent3 9 2 5 3" xfId="21912" xr:uid="{00000000-0005-0000-0000-0000EC3E0000}"/>
    <cellStyle name="40% - Accent3 9 2 6" xfId="9533" xr:uid="{00000000-0005-0000-0000-0000ED3E0000}"/>
    <cellStyle name="40% - Accent3 9 2 6 2" xfId="17491" xr:uid="{00000000-0005-0000-0000-0000EE3E0000}"/>
    <cellStyle name="40% - Accent3 9 2 6 3" xfId="25435" xr:uid="{00000000-0005-0000-0000-0000EF3E0000}"/>
    <cellStyle name="40% - Accent3 9 2 7" xfId="10429" xr:uid="{00000000-0005-0000-0000-0000F03E0000}"/>
    <cellStyle name="40% - Accent3 9 2 8" xfId="18384" xr:uid="{00000000-0005-0000-0000-0000F13E0000}"/>
    <cellStyle name="40% - Accent3 9 2_Exh G" xfId="3048" xr:uid="{00000000-0005-0000-0000-0000F23E0000}"/>
    <cellStyle name="40% - Accent3 9 3" xfId="483" xr:uid="{00000000-0005-0000-0000-0000F33E0000}"/>
    <cellStyle name="40% - Accent3 9 3 2" xfId="1511" xr:uid="{00000000-0005-0000-0000-0000F43E0000}"/>
    <cellStyle name="40% - Accent3 9 3 2 2" xfId="5041" xr:uid="{00000000-0005-0000-0000-0000F53E0000}"/>
    <cellStyle name="40% - Accent3 9 3 2 2 2" xfId="8632" xr:uid="{00000000-0005-0000-0000-0000F63E0000}"/>
    <cellStyle name="40% - Accent3 9 3 2 2 2 2" xfId="16603" xr:uid="{00000000-0005-0000-0000-0000F73E0000}"/>
    <cellStyle name="40% - Accent3 9 3 2 2 2 3" xfId="24549" xr:uid="{00000000-0005-0000-0000-0000F83E0000}"/>
    <cellStyle name="40% - Accent3 9 3 2 2 3" xfId="13065" xr:uid="{00000000-0005-0000-0000-0000F93E0000}"/>
    <cellStyle name="40% - Accent3 9 3 2 2 4" xfId="21020" xr:uid="{00000000-0005-0000-0000-0000FA3E0000}"/>
    <cellStyle name="40% - Accent3 9 3 2 3" xfId="6873" xr:uid="{00000000-0005-0000-0000-0000FB3E0000}"/>
    <cellStyle name="40% - Accent3 9 3 2 3 2" xfId="14845" xr:uid="{00000000-0005-0000-0000-0000FC3E0000}"/>
    <cellStyle name="40% - Accent3 9 3 2 3 3" xfId="22792" xr:uid="{00000000-0005-0000-0000-0000FD3E0000}"/>
    <cellStyle name="40% - Accent3 9 3 2 4" xfId="11309" xr:uid="{00000000-0005-0000-0000-0000FE3E0000}"/>
    <cellStyle name="40% - Accent3 9 3 2 5" xfId="19264" xr:uid="{00000000-0005-0000-0000-0000FF3E0000}"/>
    <cellStyle name="40% - Accent3 9 3 2_Exh G" xfId="3053" xr:uid="{00000000-0005-0000-0000-0000003F0000}"/>
    <cellStyle name="40% - Accent3 9 3 3" xfId="4162" xr:uid="{00000000-0005-0000-0000-0000013F0000}"/>
    <cellStyle name="40% - Accent3 9 3 3 2" xfId="7754" xr:uid="{00000000-0005-0000-0000-0000023F0000}"/>
    <cellStyle name="40% - Accent3 9 3 3 2 2" xfId="15725" xr:uid="{00000000-0005-0000-0000-0000033F0000}"/>
    <cellStyle name="40% - Accent3 9 3 3 2 3" xfId="23671" xr:uid="{00000000-0005-0000-0000-0000043F0000}"/>
    <cellStyle name="40% - Accent3 9 3 3 3" xfId="12187" xr:uid="{00000000-0005-0000-0000-0000053F0000}"/>
    <cellStyle name="40% - Accent3 9 3 3 4" xfId="20142" xr:uid="{00000000-0005-0000-0000-0000063F0000}"/>
    <cellStyle name="40% - Accent3 9 3 4" xfId="5982" xr:uid="{00000000-0005-0000-0000-0000073F0000}"/>
    <cellStyle name="40% - Accent3 9 3 4 2" xfId="13966" xr:uid="{00000000-0005-0000-0000-0000083F0000}"/>
    <cellStyle name="40% - Accent3 9 3 4 3" xfId="21914" xr:uid="{00000000-0005-0000-0000-0000093F0000}"/>
    <cellStyle name="40% - Accent3 9 3 5" xfId="9535" xr:uid="{00000000-0005-0000-0000-00000A3F0000}"/>
    <cellStyle name="40% - Accent3 9 3 5 2" xfId="17493" xr:uid="{00000000-0005-0000-0000-00000B3F0000}"/>
    <cellStyle name="40% - Accent3 9 3 5 3" xfId="25437" xr:uid="{00000000-0005-0000-0000-00000C3F0000}"/>
    <cellStyle name="40% - Accent3 9 3 6" xfId="10431" xr:uid="{00000000-0005-0000-0000-00000D3F0000}"/>
    <cellStyle name="40% - Accent3 9 3 7" xfId="18386" xr:uid="{00000000-0005-0000-0000-00000E3F0000}"/>
    <cellStyle name="40% - Accent3 9 3_Exh G" xfId="3052" xr:uid="{00000000-0005-0000-0000-00000F3F0000}"/>
    <cellStyle name="40% - Accent3 9 4" xfId="969" xr:uid="{00000000-0005-0000-0000-0000103F0000}"/>
    <cellStyle name="40% - Accent3 9 4 2" xfId="1888" xr:uid="{00000000-0005-0000-0000-0000113F0000}"/>
    <cellStyle name="40% - Accent3 9 4 2 2" xfId="5406" xr:uid="{00000000-0005-0000-0000-0000123F0000}"/>
    <cellStyle name="40% - Accent3 9 4 2 2 2" xfId="8997" xr:uid="{00000000-0005-0000-0000-0000133F0000}"/>
    <cellStyle name="40% - Accent3 9 4 2 2 2 2" xfId="16968" xr:uid="{00000000-0005-0000-0000-0000143F0000}"/>
    <cellStyle name="40% - Accent3 9 4 2 2 2 3" xfId="24914" xr:uid="{00000000-0005-0000-0000-0000153F0000}"/>
    <cellStyle name="40% - Accent3 9 4 2 2 3" xfId="13430" xr:uid="{00000000-0005-0000-0000-0000163F0000}"/>
    <cellStyle name="40% - Accent3 9 4 2 2 4" xfId="21385" xr:uid="{00000000-0005-0000-0000-0000173F0000}"/>
    <cellStyle name="40% - Accent3 9 4 2 3" xfId="7238" xr:uid="{00000000-0005-0000-0000-0000183F0000}"/>
    <cellStyle name="40% - Accent3 9 4 2 3 2" xfId="15210" xr:uid="{00000000-0005-0000-0000-0000193F0000}"/>
    <cellStyle name="40% - Accent3 9 4 2 3 3" xfId="23157" xr:uid="{00000000-0005-0000-0000-00001A3F0000}"/>
    <cellStyle name="40% - Accent3 9 4 2 4" xfId="11674" xr:uid="{00000000-0005-0000-0000-00001B3F0000}"/>
    <cellStyle name="40% - Accent3 9 4 2 5" xfId="19629" xr:uid="{00000000-0005-0000-0000-00001C3F0000}"/>
    <cellStyle name="40% - Accent3 9 4 2_Exh G" xfId="3055" xr:uid="{00000000-0005-0000-0000-00001D3F0000}"/>
    <cellStyle name="40% - Accent3 9 4 3" xfId="4527" xr:uid="{00000000-0005-0000-0000-00001E3F0000}"/>
    <cellStyle name="40% - Accent3 9 4 3 2" xfId="8119" xr:uid="{00000000-0005-0000-0000-00001F3F0000}"/>
    <cellStyle name="40% - Accent3 9 4 3 2 2" xfId="16090" xr:uid="{00000000-0005-0000-0000-0000203F0000}"/>
    <cellStyle name="40% - Accent3 9 4 3 2 3" xfId="24036" xr:uid="{00000000-0005-0000-0000-0000213F0000}"/>
    <cellStyle name="40% - Accent3 9 4 3 3" xfId="12552" xr:uid="{00000000-0005-0000-0000-0000223F0000}"/>
    <cellStyle name="40% - Accent3 9 4 3 4" xfId="20507" xr:uid="{00000000-0005-0000-0000-0000233F0000}"/>
    <cellStyle name="40% - Accent3 9 4 4" xfId="6357" xr:uid="{00000000-0005-0000-0000-0000243F0000}"/>
    <cellStyle name="40% - Accent3 9 4 4 2" xfId="14332" xr:uid="{00000000-0005-0000-0000-0000253F0000}"/>
    <cellStyle name="40% - Accent3 9 4 4 3" xfId="22279" xr:uid="{00000000-0005-0000-0000-0000263F0000}"/>
    <cellStyle name="40% - Accent3 9 4 5" xfId="9900" xr:uid="{00000000-0005-0000-0000-0000273F0000}"/>
    <cellStyle name="40% - Accent3 9 4 5 2" xfId="17858" xr:uid="{00000000-0005-0000-0000-0000283F0000}"/>
    <cellStyle name="40% - Accent3 9 4 5 3" xfId="25802" xr:uid="{00000000-0005-0000-0000-0000293F0000}"/>
    <cellStyle name="40% - Accent3 9 4 6" xfId="10796" xr:uid="{00000000-0005-0000-0000-00002A3F0000}"/>
    <cellStyle name="40% - Accent3 9 4 7" xfId="18751" xr:uid="{00000000-0005-0000-0000-00002B3F0000}"/>
    <cellStyle name="40% - Accent3 9 4_Exh G" xfId="3054" xr:uid="{00000000-0005-0000-0000-00002C3F0000}"/>
    <cellStyle name="40% - Accent3 9 5" xfId="1508" xr:uid="{00000000-0005-0000-0000-00002D3F0000}"/>
    <cellStyle name="40% - Accent3 9 5 2" xfId="5038" xr:uid="{00000000-0005-0000-0000-00002E3F0000}"/>
    <cellStyle name="40% - Accent3 9 5 2 2" xfId="8629" xr:uid="{00000000-0005-0000-0000-00002F3F0000}"/>
    <cellStyle name="40% - Accent3 9 5 2 2 2" xfId="16600" xr:uid="{00000000-0005-0000-0000-0000303F0000}"/>
    <cellStyle name="40% - Accent3 9 5 2 2 3" xfId="24546" xr:uid="{00000000-0005-0000-0000-0000313F0000}"/>
    <cellStyle name="40% - Accent3 9 5 2 3" xfId="13062" xr:uid="{00000000-0005-0000-0000-0000323F0000}"/>
    <cellStyle name="40% - Accent3 9 5 2 4" xfId="21017" xr:uid="{00000000-0005-0000-0000-0000333F0000}"/>
    <cellStyle name="40% - Accent3 9 5 3" xfId="6870" xr:uid="{00000000-0005-0000-0000-0000343F0000}"/>
    <cellStyle name="40% - Accent3 9 5 3 2" xfId="14842" xr:uid="{00000000-0005-0000-0000-0000353F0000}"/>
    <cellStyle name="40% - Accent3 9 5 3 3" xfId="22789" xr:uid="{00000000-0005-0000-0000-0000363F0000}"/>
    <cellStyle name="40% - Accent3 9 5 4" xfId="11306" xr:uid="{00000000-0005-0000-0000-0000373F0000}"/>
    <cellStyle name="40% - Accent3 9 5 5" xfId="19261" xr:uid="{00000000-0005-0000-0000-0000383F0000}"/>
    <cellStyle name="40% - Accent3 9 5_Exh G" xfId="3056" xr:uid="{00000000-0005-0000-0000-0000393F0000}"/>
    <cellStyle name="40% - Accent3 9 6" xfId="4159" xr:uid="{00000000-0005-0000-0000-00003A3F0000}"/>
    <cellStyle name="40% - Accent3 9 6 2" xfId="7751" xr:uid="{00000000-0005-0000-0000-00003B3F0000}"/>
    <cellStyle name="40% - Accent3 9 6 2 2" xfId="15722" xr:uid="{00000000-0005-0000-0000-00003C3F0000}"/>
    <cellStyle name="40% - Accent3 9 6 2 3" xfId="23668" xr:uid="{00000000-0005-0000-0000-00003D3F0000}"/>
    <cellStyle name="40% - Accent3 9 6 3" xfId="12184" xr:uid="{00000000-0005-0000-0000-00003E3F0000}"/>
    <cellStyle name="40% - Accent3 9 6 4" xfId="20139" xr:uid="{00000000-0005-0000-0000-00003F3F0000}"/>
    <cellStyle name="40% - Accent3 9 7" xfId="5979" xr:uid="{00000000-0005-0000-0000-0000403F0000}"/>
    <cellStyle name="40% - Accent3 9 7 2" xfId="13963" xr:uid="{00000000-0005-0000-0000-0000413F0000}"/>
    <cellStyle name="40% - Accent3 9 7 3" xfId="21911" xr:uid="{00000000-0005-0000-0000-0000423F0000}"/>
    <cellStyle name="40% - Accent3 9 8" xfId="9532" xr:uid="{00000000-0005-0000-0000-0000433F0000}"/>
    <cellStyle name="40% - Accent3 9 8 2" xfId="17490" xr:uid="{00000000-0005-0000-0000-0000443F0000}"/>
    <cellStyle name="40% - Accent3 9 8 3" xfId="25434" xr:uid="{00000000-0005-0000-0000-0000453F0000}"/>
    <cellStyle name="40% - Accent3 9 9" xfId="10428" xr:uid="{00000000-0005-0000-0000-0000463F0000}"/>
    <cellStyle name="40% - Accent3 9_Exh G" xfId="3047" xr:uid="{00000000-0005-0000-0000-0000473F0000}"/>
    <cellStyle name="40% - Accent4 10" xfId="484" xr:uid="{00000000-0005-0000-0000-0000483F0000}"/>
    <cellStyle name="40% - Accent4 10 10" xfId="18387" xr:uid="{00000000-0005-0000-0000-0000493F0000}"/>
    <cellStyle name="40% - Accent4 10 2" xfId="485" xr:uid="{00000000-0005-0000-0000-00004A3F0000}"/>
    <cellStyle name="40% - Accent4 10 2 2" xfId="486" xr:uid="{00000000-0005-0000-0000-00004B3F0000}"/>
    <cellStyle name="40% - Accent4 10 2 2 2" xfId="1514" xr:uid="{00000000-0005-0000-0000-00004C3F0000}"/>
    <cellStyle name="40% - Accent4 10 2 2 2 2" xfId="5044" xr:uid="{00000000-0005-0000-0000-00004D3F0000}"/>
    <cellStyle name="40% - Accent4 10 2 2 2 2 2" xfId="8635" xr:uid="{00000000-0005-0000-0000-00004E3F0000}"/>
    <cellStyle name="40% - Accent4 10 2 2 2 2 2 2" xfId="16606" xr:uid="{00000000-0005-0000-0000-00004F3F0000}"/>
    <cellStyle name="40% - Accent4 10 2 2 2 2 2 3" xfId="24552" xr:uid="{00000000-0005-0000-0000-0000503F0000}"/>
    <cellStyle name="40% - Accent4 10 2 2 2 2 3" xfId="13068" xr:uid="{00000000-0005-0000-0000-0000513F0000}"/>
    <cellStyle name="40% - Accent4 10 2 2 2 2 4" xfId="21023" xr:uid="{00000000-0005-0000-0000-0000523F0000}"/>
    <cellStyle name="40% - Accent4 10 2 2 2 3" xfId="6876" xr:uid="{00000000-0005-0000-0000-0000533F0000}"/>
    <cellStyle name="40% - Accent4 10 2 2 2 3 2" xfId="14848" xr:uid="{00000000-0005-0000-0000-0000543F0000}"/>
    <cellStyle name="40% - Accent4 10 2 2 2 3 3" xfId="22795" xr:uid="{00000000-0005-0000-0000-0000553F0000}"/>
    <cellStyle name="40% - Accent4 10 2 2 2 4" xfId="11312" xr:uid="{00000000-0005-0000-0000-0000563F0000}"/>
    <cellStyle name="40% - Accent4 10 2 2 2 5" xfId="19267" xr:uid="{00000000-0005-0000-0000-0000573F0000}"/>
    <cellStyle name="40% - Accent4 10 2 2 2_Exh G" xfId="3060" xr:uid="{00000000-0005-0000-0000-0000583F0000}"/>
    <cellStyle name="40% - Accent4 10 2 2 3" xfId="4165" xr:uid="{00000000-0005-0000-0000-0000593F0000}"/>
    <cellStyle name="40% - Accent4 10 2 2 3 2" xfId="7757" xr:uid="{00000000-0005-0000-0000-00005A3F0000}"/>
    <cellStyle name="40% - Accent4 10 2 2 3 2 2" xfId="15728" xr:uid="{00000000-0005-0000-0000-00005B3F0000}"/>
    <cellStyle name="40% - Accent4 10 2 2 3 2 3" xfId="23674" xr:uid="{00000000-0005-0000-0000-00005C3F0000}"/>
    <cellStyle name="40% - Accent4 10 2 2 3 3" xfId="12190" xr:uid="{00000000-0005-0000-0000-00005D3F0000}"/>
    <cellStyle name="40% - Accent4 10 2 2 3 4" xfId="20145" xr:uid="{00000000-0005-0000-0000-00005E3F0000}"/>
    <cellStyle name="40% - Accent4 10 2 2 4" xfId="5985" xr:uid="{00000000-0005-0000-0000-00005F3F0000}"/>
    <cellStyle name="40% - Accent4 10 2 2 4 2" xfId="13969" xr:uid="{00000000-0005-0000-0000-0000603F0000}"/>
    <cellStyle name="40% - Accent4 10 2 2 4 3" xfId="21917" xr:uid="{00000000-0005-0000-0000-0000613F0000}"/>
    <cellStyle name="40% - Accent4 10 2 2 5" xfId="9538" xr:uid="{00000000-0005-0000-0000-0000623F0000}"/>
    <cellStyle name="40% - Accent4 10 2 2 5 2" xfId="17496" xr:uid="{00000000-0005-0000-0000-0000633F0000}"/>
    <cellStyle name="40% - Accent4 10 2 2 5 3" xfId="25440" xr:uid="{00000000-0005-0000-0000-0000643F0000}"/>
    <cellStyle name="40% - Accent4 10 2 2 6" xfId="10434" xr:uid="{00000000-0005-0000-0000-0000653F0000}"/>
    <cellStyle name="40% - Accent4 10 2 2 7" xfId="18389" xr:uid="{00000000-0005-0000-0000-0000663F0000}"/>
    <cellStyle name="40% - Accent4 10 2 2_Exh G" xfId="3059" xr:uid="{00000000-0005-0000-0000-0000673F0000}"/>
    <cellStyle name="40% - Accent4 10 2 3" xfId="1513" xr:uid="{00000000-0005-0000-0000-0000683F0000}"/>
    <cellStyle name="40% - Accent4 10 2 3 2" xfId="5043" xr:uid="{00000000-0005-0000-0000-0000693F0000}"/>
    <cellStyle name="40% - Accent4 10 2 3 2 2" xfId="8634" xr:uid="{00000000-0005-0000-0000-00006A3F0000}"/>
    <cellStyle name="40% - Accent4 10 2 3 2 2 2" xfId="16605" xr:uid="{00000000-0005-0000-0000-00006B3F0000}"/>
    <cellStyle name="40% - Accent4 10 2 3 2 2 3" xfId="24551" xr:uid="{00000000-0005-0000-0000-00006C3F0000}"/>
    <cellStyle name="40% - Accent4 10 2 3 2 3" xfId="13067" xr:uid="{00000000-0005-0000-0000-00006D3F0000}"/>
    <cellStyle name="40% - Accent4 10 2 3 2 4" xfId="21022" xr:uid="{00000000-0005-0000-0000-00006E3F0000}"/>
    <cellStyle name="40% - Accent4 10 2 3 3" xfId="6875" xr:uid="{00000000-0005-0000-0000-00006F3F0000}"/>
    <cellStyle name="40% - Accent4 10 2 3 3 2" xfId="14847" xr:uid="{00000000-0005-0000-0000-0000703F0000}"/>
    <cellStyle name="40% - Accent4 10 2 3 3 3" xfId="22794" xr:uid="{00000000-0005-0000-0000-0000713F0000}"/>
    <cellStyle name="40% - Accent4 10 2 3 4" xfId="11311" xr:uid="{00000000-0005-0000-0000-0000723F0000}"/>
    <cellStyle name="40% - Accent4 10 2 3 5" xfId="19266" xr:uid="{00000000-0005-0000-0000-0000733F0000}"/>
    <cellStyle name="40% - Accent4 10 2 3_Exh G" xfId="3061" xr:uid="{00000000-0005-0000-0000-0000743F0000}"/>
    <cellStyle name="40% - Accent4 10 2 4" xfId="4164" xr:uid="{00000000-0005-0000-0000-0000753F0000}"/>
    <cellStyle name="40% - Accent4 10 2 4 2" xfId="7756" xr:uid="{00000000-0005-0000-0000-0000763F0000}"/>
    <cellStyle name="40% - Accent4 10 2 4 2 2" xfId="15727" xr:uid="{00000000-0005-0000-0000-0000773F0000}"/>
    <cellStyle name="40% - Accent4 10 2 4 2 3" xfId="23673" xr:uid="{00000000-0005-0000-0000-0000783F0000}"/>
    <cellStyle name="40% - Accent4 10 2 4 3" xfId="12189" xr:uid="{00000000-0005-0000-0000-0000793F0000}"/>
    <cellStyle name="40% - Accent4 10 2 4 4" xfId="20144" xr:uid="{00000000-0005-0000-0000-00007A3F0000}"/>
    <cellStyle name="40% - Accent4 10 2 5" xfId="5984" xr:uid="{00000000-0005-0000-0000-00007B3F0000}"/>
    <cellStyle name="40% - Accent4 10 2 5 2" xfId="13968" xr:uid="{00000000-0005-0000-0000-00007C3F0000}"/>
    <cellStyle name="40% - Accent4 10 2 5 3" xfId="21916" xr:uid="{00000000-0005-0000-0000-00007D3F0000}"/>
    <cellStyle name="40% - Accent4 10 2 6" xfId="9537" xr:uid="{00000000-0005-0000-0000-00007E3F0000}"/>
    <cellStyle name="40% - Accent4 10 2 6 2" xfId="17495" xr:uid="{00000000-0005-0000-0000-00007F3F0000}"/>
    <cellStyle name="40% - Accent4 10 2 6 3" xfId="25439" xr:uid="{00000000-0005-0000-0000-0000803F0000}"/>
    <cellStyle name="40% - Accent4 10 2 7" xfId="10433" xr:uid="{00000000-0005-0000-0000-0000813F0000}"/>
    <cellStyle name="40% - Accent4 10 2 8" xfId="18388" xr:uid="{00000000-0005-0000-0000-0000823F0000}"/>
    <cellStyle name="40% - Accent4 10 2_Exh G" xfId="3058" xr:uid="{00000000-0005-0000-0000-0000833F0000}"/>
    <cellStyle name="40% - Accent4 10 3" xfId="487" xr:uid="{00000000-0005-0000-0000-0000843F0000}"/>
    <cellStyle name="40% - Accent4 10 3 2" xfId="1515" xr:uid="{00000000-0005-0000-0000-0000853F0000}"/>
    <cellStyle name="40% - Accent4 10 3 2 2" xfId="5045" xr:uid="{00000000-0005-0000-0000-0000863F0000}"/>
    <cellStyle name="40% - Accent4 10 3 2 2 2" xfId="8636" xr:uid="{00000000-0005-0000-0000-0000873F0000}"/>
    <cellStyle name="40% - Accent4 10 3 2 2 2 2" xfId="16607" xr:uid="{00000000-0005-0000-0000-0000883F0000}"/>
    <cellStyle name="40% - Accent4 10 3 2 2 2 3" xfId="24553" xr:uid="{00000000-0005-0000-0000-0000893F0000}"/>
    <cellStyle name="40% - Accent4 10 3 2 2 3" xfId="13069" xr:uid="{00000000-0005-0000-0000-00008A3F0000}"/>
    <cellStyle name="40% - Accent4 10 3 2 2 4" xfId="21024" xr:uid="{00000000-0005-0000-0000-00008B3F0000}"/>
    <cellStyle name="40% - Accent4 10 3 2 3" xfId="6877" xr:uid="{00000000-0005-0000-0000-00008C3F0000}"/>
    <cellStyle name="40% - Accent4 10 3 2 3 2" xfId="14849" xr:uid="{00000000-0005-0000-0000-00008D3F0000}"/>
    <cellStyle name="40% - Accent4 10 3 2 3 3" xfId="22796" xr:uid="{00000000-0005-0000-0000-00008E3F0000}"/>
    <cellStyle name="40% - Accent4 10 3 2 4" xfId="11313" xr:uid="{00000000-0005-0000-0000-00008F3F0000}"/>
    <cellStyle name="40% - Accent4 10 3 2 5" xfId="19268" xr:uid="{00000000-0005-0000-0000-0000903F0000}"/>
    <cellStyle name="40% - Accent4 10 3 2_Exh G" xfId="3063" xr:uid="{00000000-0005-0000-0000-0000913F0000}"/>
    <cellStyle name="40% - Accent4 10 3 3" xfId="4166" xr:uid="{00000000-0005-0000-0000-0000923F0000}"/>
    <cellStyle name="40% - Accent4 10 3 3 2" xfId="7758" xr:uid="{00000000-0005-0000-0000-0000933F0000}"/>
    <cellStyle name="40% - Accent4 10 3 3 2 2" xfId="15729" xr:uid="{00000000-0005-0000-0000-0000943F0000}"/>
    <cellStyle name="40% - Accent4 10 3 3 2 3" xfId="23675" xr:uid="{00000000-0005-0000-0000-0000953F0000}"/>
    <cellStyle name="40% - Accent4 10 3 3 3" xfId="12191" xr:uid="{00000000-0005-0000-0000-0000963F0000}"/>
    <cellStyle name="40% - Accent4 10 3 3 4" xfId="20146" xr:uid="{00000000-0005-0000-0000-0000973F0000}"/>
    <cellStyle name="40% - Accent4 10 3 4" xfId="5986" xr:uid="{00000000-0005-0000-0000-0000983F0000}"/>
    <cellStyle name="40% - Accent4 10 3 4 2" xfId="13970" xr:uid="{00000000-0005-0000-0000-0000993F0000}"/>
    <cellStyle name="40% - Accent4 10 3 4 3" xfId="21918" xr:uid="{00000000-0005-0000-0000-00009A3F0000}"/>
    <cellStyle name="40% - Accent4 10 3 5" xfId="9539" xr:uid="{00000000-0005-0000-0000-00009B3F0000}"/>
    <cellStyle name="40% - Accent4 10 3 5 2" xfId="17497" xr:uid="{00000000-0005-0000-0000-00009C3F0000}"/>
    <cellStyle name="40% - Accent4 10 3 5 3" xfId="25441" xr:uid="{00000000-0005-0000-0000-00009D3F0000}"/>
    <cellStyle name="40% - Accent4 10 3 6" xfId="10435" xr:uid="{00000000-0005-0000-0000-00009E3F0000}"/>
    <cellStyle name="40% - Accent4 10 3 7" xfId="18390" xr:uid="{00000000-0005-0000-0000-00009F3F0000}"/>
    <cellStyle name="40% - Accent4 10 3_Exh G" xfId="3062" xr:uid="{00000000-0005-0000-0000-0000A03F0000}"/>
    <cellStyle name="40% - Accent4 10 4" xfId="970" xr:uid="{00000000-0005-0000-0000-0000A13F0000}"/>
    <cellStyle name="40% - Accent4 10 5" xfId="1512" xr:uid="{00000000-0005-0000-0000-0000A23F0000}"/>
    <cellStyle name="40% - Accent4 10 5 2" xfId="5042" xr:uid="{00000000-0005-0000-0000-0000A33F0000}"/>
    <cellStyle name="40% - Accent4 10 5 2 2" xfId="8633" xr:uid="{00000000-0005-0000-0000-0000A43F0000}"/>
    <cellStyle name="40% - Accent4 10 5 2 2 2" xfId="16604" xr:uid="{00000000-0005-0000-0000-0000A53F0000}"/>
    <cellStyle name="40% - Accent4 10 5 2 2 3" xfId="24550" xr:uid="{00000000-0005-0000-0000-0000A63F0000}"/>
    <cellStyle name="40% - Accent4 10 5 2 3" xfId="13066" xr:uid="{00000000-0005-0000-0000-0000A73F0000}"/>
    <cellStyle name="40% - Accent4 10 5 2 4" xfId="21021" xr:uid="{00000000-0005-0000-0000-0000A83F0000}"/>
    <cellStyle name="40% - Accent4 10 5 3" xfId="6874" xr:uid="{00000000-0005-0000-0000-0000A93F0000}"/>
    <cellStyle name="40% - Accent4 10 5 3 2" xfId="14846" xr:uid="{00000000-0005-0000-0000-0000AA3F0000}"/>
    <cellStyle name="40% - Accent4 10 5 3 3" xfId="22793" xr:uid="{00000000-0005-0000-0000-0000AB3F0000}"/>
    <cellStyle name="40% - Accent4 10 5 4" xfId="11310" xr:uid="{00000000-0005-0000-0000-0000AC3F0000}"/>
    <cellStyle name="40% - Accent4 10 5 5" xfId="19265" xr:uid="{00000000-0005-0000-0000-0000AD3F0000}"/>
    <cellStyle name="40% - Accent4 10 5_Exh G" xfId="3064" xr:uid="{00000000-0005-0000-0000-0000AE3F0000}"/>
    <cellStyle name="40% - Accent4 10 6" xfId="4163" xr:uid="{00000000-0005-0000-0000-0000AF3F0000}"/>
    <cellStyle name="40% - Accent4 10 6 2" xfId="7755" xr:uid="{00000000-0005-0000-0000-0000B03F0000}"/>
    <cellStyle name="40% - Accent4 10 6 2 2" xfId="15726" xr:uid="{00000000-0005-0000-0000-0000B13F0000}"/>
    <cellStyle name="40% - Accent4 10 6 2 3" xfId="23672" xr:uid="{00000000-0005-0000-0000-0000B23F0000}"/>
    <cellStyle name="40% - Accent4 10 6 3" xfId="12188" xr:uid="{00000000-0005-0000-0000-0000B33F0000}"/>
    <cellStyle name="40% - Accent4 10 6 4" xfId="20143" xr:uid="{00000000-0005-0000-0000-0000B43F0000}"/>
    <cellStyle name="40% - Accent4 10 7" xfId="5983" xr:uid="{00000000-0005-0000-0000-0000B53F0000}"/>
    <cellStyle name="40% - Accent4 10 7 2" xfId="13967" xr:uid="{00000000-0005-0000-0000-0000B63F0000}"/>
    <cellStyle name="40% - Accent4 10 7 3" xfId="21915" xr:uid="{00000000-0005-0000-0000-0000B73F0000}"/>
    <cellStyle name="40% - Accent4 10 8" xfId="9536" xr:uid="{00000000-0005-0000-0000-0000B83F0000}"/>
    <cellStyle name="40% - Accent4 10 8 2" xfId="17494" xr:uid="{00000000-0005-0000-0000-0000B93F0000}"/>
    <cellStyle name="40% - Accent4 10 8 3" xfId="25438" xr:uid="{00000000-0005-0000-0000-0000BA3F0000}"/>
    <cellStyle name="40% - Accent4 10 9" xfId="10432" xr:uid="{00000000-0005-0000-0000-0000BB3F0000}"/>
    <cellStyle name="40% - Accent4 10_Exh G" xfId="3057" xr:uid="{00000000-0005-0000-0000-0000BC3F0000}"/>
    <cellStyle name="40% - Accent4 11" xfId="488" xr:uid="{00000000-0005-0000-0000-0000BD3F0000}"/>
    <cellStyle name="40% - Accent4 11 2" xfId="489" xr:uid="{00000000-0005-0000-0000-0000BE3F0000}"/>
    <cellStyle name="40% - Accent4 11 2 2" xfId="490" xr:uid="{00000000-0005-0000-0000-0000BF3F0000}"/>
    <cellStyle name="40% - Accent4 11 2 2 2" xfId="1518" xr:uid="{00000000-0005-0000-0000-0000C03F0000}"/>
    <cellStyle name="40% - Accent4 11 2 2 2 2" xfId="5048" xr:uid="{00000000-0005-0000-0000-0000C13F0000}"/>
    <cellStyle name="40% - Accent4 11 2 2 2 2 2" xfId="8639" xr:uid="{00000000-0005-0000-0000-0000C23F0000}"/>
    <cellStyle name="40% - Accent4 11 2 2 2 2 2 2" xfId="16610" xr:uid="{00000000-0005-0000-0000-0000C33F0000}"/>
    <cellStyle name="40% - Accent4 11 2 2 2 2 2 3" xfId="24556" xr:uid="{00000000-0005-0000-0000-0000C43F0000}"/>
    <cellStyle name="40% - Accent4 11 2 2 2 2 3" xfId="13072" xr:uid="{00000000-0005-0000-0000-0000C53F0000}"/>
    <cellStyle name="40% - Accent4 11 2 2 2 2 4" xfId="21027" xr:uid="{00000000-0005-0000-0000-0000C63F0000}"/>
    <cellStyle name="40% - Accent4 11 2 2 2 3" xfId="6880" xr:uid="{00000000-0005-0000-0000-0000C73F0000}"/>
    <cellStyle name="40% - Accent4 11 2 2 2 3 2" xfId="14852" xr:uid="{00000000-0005-0000-0000-0000C83F0000}"/>
    <cellStyle name="40% - Accent4 11 2 2 2 3 3" xfId="22799" xr:uid="{00000000-0005-0000-0000-0000C93F0000}"/>
    <cellStyle name="40% - Accent4 11 2 2 2 4" xfId="11316" xr:uid="{00000000-0005-0000-0000-0000CA3F0000}"/>
    <cellStyle name="40% - Accent4 11 2 2 2 5" xfId="19271" xr:uid="{00000000-0005-0000-0000-0000CB3F0000}"/>
    <cellStyle name="40% - Accent4 11 2 2 2_Exh G" xfId="3068" xr:uid="{00000000-0005-0000-0000-0000CC3F0000}"/>
    <cellStyle name="40% - Accent4 11 2 2 3" xfId="4169" xr:uid="{00000000-0005-0000-0000-0000CD3F0000}"/>
    <cellStyle name="40% - Accent4 11 2 2 3 2" xfId="7761" xr:uid="{00000000-0005-0000-0000-0000CE3F0000}"/>
    <cellStyle name="40% - Accent4 11 2 2 3 2 2" xfId="15732" xr:uid="{00000000-0005-0000-0000-0000CF3F0000}"/>
    <cellStyle name="40% - Accent4 11 2 2 3 2 3" xfId="23678" xr:uid="{00000000-0005-0000-0000-0000D03F0000}"/>
    <cellStyle name="40% - Accent4 11 2 2 3 3" xfId="12194" xr:uid="{00000000-0005-0000-0000-0000D13F0000}"/>
    <cellStyle name="40% - Accent4 11 2 2 3 4" xfId="20149" xr:uid="{00000000-0005-0000-0000-0000D23F0000}"/>
    <cellStyle name="40% - Accent4 11 2 2 4" xfId="5989" xr:uid="{00000000-0005-0000-0000-0000D33F0000}"/>
    <cellStyle name="40% - Accent4 11 2 2 4 2" xfId="13973" xr:uid="{00000000-0005-0000-0000-0000D43F0000}"/>
    <cellStyle name="40% - Accent4 11 2 2 4 3" xfId="21921" xr:uid="{00000000-0005-0000-0000-0000D53F0000}"/>
    <cellStyle name="40% - Accent4 11 2 2 5" xfId="9542" xr:uid="{00000000-0005-0000-0000-0000D63F0000}"/>
    <cellStyle name="40% - Accent4 11 2 2 5 2" xfId="17500" xr:uid="{00000000-0005-0000-0000-0000D73F0000}"/>
    <cellStyle name="40% - Accent4 11 2 2 5 3" xfId="25444" xr:uid="{00000000-0005-0000-0000-0000D83F0000}"/>
    <cellStyle name="40% - Accent4 11 2 2 6" xfId="10438" xr:uid="{00000000-0005-0000-0000-0000D93F0000}"/>
    <cellStyle name="40% - Accent4 11 2 2 7" xfId="18393" xr:uid="{00000000-0005-0000-0000-0000DA3F0000}"/>
    <cellStyle name="40% - Accent4 11 2 2_Exh G" xfId="3067" xr:uid="{00000000-0005-0000-0000-0000DB3F0000}"/>
    <cellStyle name="40% - Accent4 11 2 3" xfId="1517" xr:uid="{00000000-0005-0000-0000-0000DC3F0000}"/>
    <cellStyle name="40% - Accent4 11 2 3 2" xfId="5047" xr:uid="{00000000-0005-0000-0000-0000DD3F0000}"/>
    <cellStyle name="40% - Accent4 11 2 3 2 2" xfId="8638" xr:uid="{00000000-0005-0000-0000-0000DE3F0000}"/>
    <cellStyle name="40% - Accent4 11 2 3 2 2 2" xfId="16609" xr:uid="{00000000-0005-0000-0000-0000DF3F0000}"/>
    <cellStyle name="40% - Accent4 11 2 3 2 2 3" xfId="24555" xr:uid="{00000000-0005-0000-0000-0000E03F0000}"/>
    <cellStyle name="40% - Accent4 11 2 3 2 3" xfId="13071" xr:uid="{00000000-0005-0000-0000-0000E13F0000}"/>
    <cellStyle name="40% - Accent4 11 2 3 2 4" xfId="21026" xr:uid="{00000000-0005-0000-0000-0000E23F0000}"/>
    <cellStyle name="40% - Accent4 11 2 3 3" xfId="6879" xr:uid="{00000000-0005-0000-0000-0000E33F0000}"/>
    <cellStyle name="40% - Accent4 11 2 3 3 2" xfId="14851" xr:uid="{00000000-0005-0000-0000-0000E43F0000}"/>
    <cellStyle name="40% - Accent4 11 2 3 3 3" xfId="22798" xr:uid="{00000000-0005-0000-0000-0000E53F0000}"/>
    <cellStyle name="40% - Accent4 11 2 3 4" xfId="11315" xr:uid="{00000000-0005-0000-0000-0000E63F0000}"/>
    <cellStyle name="40% - Accent4 11 2 3 5" xfId="19270" xr:uid="{00000000-0005-0000-0000-0000E73F0000}"/>
    <cellStyle name="40% - Accent4 11 2 3_Exh G" xfId="3069" xr:uid="{00000000-0005-0000-0000-0000E83F0000}"/>
    <cellStyle name="40% - Accent4 11 2 4" xfId="4168" xr:uid="{00000000-0005-0000-0000-0000E93F0000}"/>
    <cellStyle name="40% - Accent4 11 2 4 2" xfId="7760" xr:uid="{00000000-0005-0000-0000-0000EA3F0000}"/>
    <cellStyle name="40% - Accent4 11 2 4 2 2" xfId="15731" xr:uid="{00000000-0005-0000-0000-0000EB3F0000}"/>
    <cellStyle name="40% - Accent4 11 2 4 2 3" xfId="23677" xr:uid="{00000000-0005-0000-0000-0000EC3F0000}"/>
    <cellStyle name="40% - Accent4 11 2 4 3" xfId="12193" xr:uid="{00000000-0005-0000-0000-0000ED3F0000}"/>
    <cellStyle name="40% - Accent4 11 2 4 4" xfId="20148" xr:uid="{00000000-0005-0000-0000-0000EE3F0000}"/>
    <cellStyle name="40% - Accent4 11 2 5" xfId="5988" xr:uid="{00000000-0005-0000-0000-0000EF3F0000}"/>
    <cellStyle name="40% - Accent4 11 2 5 2" xfId="13972" xr:uid="{00000000-0005-0000-0000-0000F03F0000}"/>
    <cellStyle name="40% - Accent4 11 2 5 3" xfId="21920" xr:uid="{00000000-0005-0000-0000-0000F13F0000}"/>
    <cellStyle name="40% - Accent4 11 2 6" xfId="9541" xr:uid="{00000000-0005-0000-0000-0000F23F0000}"/>
    <cellStyle name="40% - Accent4 11 2 6 2" xfId="17499" xr:uid="{00000000-0005-0000-0000-0000F33F0000}"/>
    <cellStyle name="40% - Accent4 11 2 6 3" xfId="25443" xr:uid="{00000000-0005-0000-0000-0000F43F0000}"/>
    <cellStyle name="40% - Accent4 11 2 7" xfId="10437" xr:uid="{00000000-0005-0000-0000-0000F53F0000}"/>
    <cellStyle name="40% - Accent4 11 2 8" xfId="18392" xr:uid="{00000000-0005-0000-0000-0000F63F0000}"/>
    <cellStyle name="40% - Accent4 11 2_Exh G" xfId="3066" xr:uid="{00000000-0005-0000-0000-0000F73F0000}"/>
    <cellStyle name="40% - Accent4 11 3" xfId="491" xr:uid="{00000000-0005-0000-0000-0000F83F0000}"/>
    <cellStyle name="40% - Accent4 11 3 2" xfId="1519" xr:uid="{00000000-0005-0000-0000-0000F93F0000}"/>
    <cellStyle name="40% - Accent4 11 3 2 2" xfId="5049" xr:uid="{00000000-0005-0000-0000-0000FA3F0000}"/>
    <cellStyle name="40% - Accent4 11 3 2 2 2" xfId="8640" xr:uid="{00000000-0005-0000-0000-0000FB3F0000}"/>
    <cellStyle name="40% - Accent4 11 3 2 2 2 2" xfId="16611" xr:uid="{00000000-0005-0000-0000-0000FC3F0000}"/>
    <cellStyle name="40% - Accent4 11 3 2 2 2 3" xfId="24557" xr:uid="{00000000-0005-0000-0000-0000FD3F0000}"/>
    <cellStyle name="40% - Accent4 11 3 2 2 3" xfId="13073" xr:uid="{00000000-0005-0000-0000-0000FE3F0000}"/>
    <cellStyle name="40% - Accent4 11 3 2 2 4" xfId="21028" xr:uid="{00000000-0005-0000-0000-0000FF3F0000}"/>
    <cellStyle name="40% - Accent4 11 3 2 3" xfId="6881" xr:uid="{00000000-0005-0000-0000-000000400000}"/>
    <cellStyle name="40% - Accent4 11 3 2 3 2" xfId="14853" xr:uid="{00000000-0005-0000-0000-000001400000}"/>
    <cellStyle name="40% - Accent4 11 3 2 3 3" xfId="22800" xr:uid="{00000000-0005-0000-0000-000002400000}"/>
    <cellStyle name="40% - Accent4 11 3 2 4" xfId="11317" xr:uid="{00000000-0005-0000-0000-000003400000}"/>
    <cellStyle name="40% - Accent4 11 3 2 5" xfId="19272" xr:uid="{00000000-0005-0000-0000-000004400000}"/>
    <cellStyle name="40% - Accent4 11 3 2_Exh G" xfId="3071" xr:uid="{00000000-0005-0000-0000-000005400000}"/>
    <cellStyle name="40% - Accent4 11 3 3" xfId="4170" xr:uid="{00000000-0005-0000-0000-000006400000}"/>
    <cellStyle name="40% - Accent4 11 3 3 2" xfId="7762" xr:uid="{00000000-0005-0000-0000-000007400000}"/>
    <cellStyle name="40% - Accent4 11 3 3 2 2" xfId="15733" xr:uid="{00000000-0005-0000-0000-000008400000}"/>
    <cellStyle name="40% - Accent4 11 3 3 2 3" xfId="23679" xr:uid="{00000000-0005-0000-0000-000009400000}"/>
    <cellStyle name="40% - Accent4 11 3 3 3" xfId="12195" xr:uid="{00000000-0005-0000-0000-00000A400000}"/>
    <cellStyle name="40% - Accent4 11 3 3 4" xfId="20150" xr:uid="{00000000-0005-0000-0000-00000B400000}"/>
    <cellStyle name="40% - Accent4 11 3 4" xfId="5990" xr:uid="{00000000-0005-0000-0000-00000C400000}"/>
    <cellStyle name="40% - Accent4 11 3 4 2" xfId="13974" xr:uid="{00000000-0005-0000-0000-00000D400000}"/>
    <cellStyle name="40% - Accent4 11 3 4 3" xfId="21922" xr:uid="{00000000-0005-0000-0000-00000E400000}"/>
    <cellStyle name="40% - Accent4 11 3 5" xfId="9543" xr:uid="{00000000-0005-0000-0000-00000F400000}"/>
    <cellStyle name="40% - Accent4 11 3 5 2" xfId="17501" xr:uid="{00000000-0005-0000-0000-000010400000}"/>
    <cellStyle name="40% - Accent4 11 3 5 3" xfId="25445" xr:uid="{00000000-0005-0000-0000-000011400000}"/>
    <cellStyle name="40% - Accent4 11 3 6" xfId="10439" xr:uid="{00000000-0005-0000-0000-000012400000}"/>
    <cellStyle name="40% - Accent4 11 3 7" xfId="18394" xr:uid="{00000000-0005-0000-0000-000013400000}"/>
    <cellStyle name="40% - Accent4 11 3_Exh G" xfId="3070" xr:uid="{00000000-0005-0000-0000-000014400000}"/>
    <cellStyle name="40% - Accent4 11 4" xfId="1516" xr:uid="{00000000-0005-0000-0000-000015400000}"/>
    <cellStyle name="40% - Accent4 11 4 2" xfId="5046" xr:uid="{00000000-0005-0000-0000-000016400000}"/>
    <cellStyle name="40% - Accent4 11 4 2 2" xfId="8637" xr:uid="{00000000-0005-0000-0000-000017400000}"/>
    <cellStyle name="40% - Accent4 11 4 2 2 2" xfId="16608" xr:uid="{00000000-0005-0000-0000-000018400000}"/>
    <cellStyle name="40% - Accent4 11 4 2 2 3" xfId="24554" xr:uid="{00000000-0005-0000-0000-000019400000}"/>
    <cellStyle name="40% - Accent4 11 4 2 3" xfId="13070" xr:uid="{00000000-0005-0000-0000-00001A400000}"/>
    <cellStyle name="40% - Accent4 11 4 2 4" xfId="21025" xr:uid="{00000000-0005-0000-0000-00001B400000}"/>
    <cellStyle name="40% - Accent4 11 4 3" xfId="6878" xr:uid="{00000000-0005-0000-0000-00001C400000}"/>
    <cellStyle name="40% - Accent4 11 4 3 2" xfId="14850" xr:uid="{00000000-0005-0000-0000-00001D400000}"/>
    <cellStyle name="40% - Accent4 11 4 3 3" xfId="22797" xr:uid="{00000000-0005-0000-0000-00001E400000}"/>
    <cellStyle name="40% - Accent4 11 4 4" xfId="11314" xr:uid="{00000000-0005-0000-0000-00001F400000}"/>
    <cellStyle name="40% - Accent4 11 4 5" xfId="19269" xr:uid="{00000000-0005-0000-0000-000020400000}"/>
    <cellStyle name="40% - Accent4 11 4_Exh G" xfId="3072" xr:uid="{00000000-0005-0000-0000-000021400000}"/>
    <cellStyle name="40% - Accent4 11 5" xfId="4167" xr:uid="{00000000-0005-0000-0000-000022400000}"/>
    <cellStyle name="40% - Accent4 11 5 2" xfId="7759" xr:uid="{00000000-0005-0000-0000-000023400000}"/>
    <cellStyle name="40% - Accent4 11 5 2 2" xfId="15730" xr:uid="{00000000-0005-0000-0000-000024400000}"/>
    <cellStyle name="40% - Accent4 11 5 2 3" xfId="23676" xr:uid="{00000000-0005-0000-0000-000025400000}"/>
    <cellStyle name="40% - Accent4 11 5 3" xfId="12192" xr:uid="{00000000-0005-0000-0000-000026400000}"/>
    <cellStyle name="40% - Accent4 11 5 4" xfId="20147" xr:uid="{00000000-0005-0000-0000-000027400000}"/>
    <cellStyle name="40% - Accent4 11 6" xfId="5987" xr:uid="{00000000-0005-0000-0000-000028400000}"/>
    <cellStyle name="40% - Accent4 11 6 2" xfId="13971" xr:uid="{00000000-0005-0000-0000-000029400000}"/>
    <cellStyle name="40% - Accent4 11 6 3" xfId="21919" xr:uid="{00000000-0005-0000-0000-00002A400000}"/>
    <cellStyle name="40% - Accent4 11 7" xfId="9540" xr:uid="{00000000-0005-0000-0000-00002B400000}"/>
    <cellStyle name="40% - Accent4 11 7 2" xfId="17498" xr:uid="{00000000-0005-0000-0000-00002C400000}"/>
    <cellStyle name="40% - Accent4 11 7 3" xfId="25442" xr:uid="{00000000-0005-0000-0000-00002D400000}"/>
    <cellStyle name="40% - Accent4 11 8" xfId="10436" xr:uid="{00000000-0005-0000-0000-00002E400000}"/>
    <cellStyle name="40% - Accent4 11 9" xfId="18391" xr:uid="{00000000-0005-0000-0000-00002F400000}"/>
    <cellStyle name="40% - Accent4 11_Exh G" xfId="3065" xr:uid="{00000000-0005-0000-0000-000030400000}"/>
    <cellStyle name="40% - Accent4 12" xfId="492" xr:uid="{00000000-0005-0000-0000-000031400000}"/>
    <cellStyle name="40% - Accent4 12 2" xfId="493" xr:uid="{00000000-0005-0000-0000-000032400000}"/>
    <cellStyle name="40% - Accent4 12 2 2" xfId="494" xr:uid="{00000000-0005-0000-0000-000033400000}"/>
    <cellStyle name="40% - Accent4 12 2 2 2" xfId="1522" xr:uid="{00000000-0005-0000-0000-000034400000}"/>
    <cellStyle name="40% - Accent4 12 2 2 2 2" xfId="5052" xr:uid="{00000000-0005-0000-0000-000035400000}"/>
    <cellStyle name="40% - Accent4 12 2 2 2 2 2" xfId="8643" xr:uid="{00000000-0005-0000-0000-000036400000}"/>
    <cellStyle name="40% - Accent4 12 2 2 2 2 2 2" xfId="16614" xr:uid="{00000000-0005-0000-0000-000037400000}"/>
    <cellStyle name="40% - Accent4 12 2 2 2 2 2 3" xfId="24560" xr:uid="{00000000-0005-0000-0000-000038400000}"/>
    <cellStyle name="40% - Accent4 12 2 2 2 2 3" xfId="13076" xr:uid="{00000000-0005-0000-0000-000039400000}"/>
    <cellStyle name="40% - Accent4 12 2 2 2 2 4" xfId="21031" xr:uid="{00000000-0005-0000-0000-00003A400000}"/>
    <cellStyle name="40% - Accent4 12 2 2 2 3" xfId="6884" xr:uid="{00000000-0005-0000-0000-00003B400000}"/>
    <cellStyle name="40% - Accent4 12 2 2 2 3 2" xfId="14856" xr:uid="{00000000-0005-0000-0000-00003C400000}"/>
    <cellStyle name="40% - Accent4 12 2 2 2 3 3" xfId="22803" xr:uid="{00000000-0005-0000-0000-00003D400000}"/>
    <cellStyle name="40% - Accent4 12 2 2 2 4" xfId="11320" xr:uid="{00000000-0005-0000-0000-00003E400000}"/>
    <cellStyle name="40% - Accent4 12 2 2 2 5" xfId="19275" xr:uid="{00000000-0005-0000-0000-00003F400000}"/>
    <cellStyle name="40% - Accent4 12 2 2 2_Exh G" xfId="3076" xr:uid="{00000000-0005-0000-0000-000040400000}"/>
    <cellStyle name="40% - Accent4 12 2 2 3" xfId="4173" xr:uid="{00000000-0005-0000-0000-000041400000}"/>
    <cellStyle name="40% - Accent4 12 2 2 3 2" xfId="7765" xr:uid="{00000000-0005-0000-0000-000042400000}"/>
    <cellStyle name="40% - Accent4 12 2 2 3 2 2" xfId="15736" xr:uid="{00000000-0005-0000-0000-000043400000}"/>
    <cellStyle name="40% - Accent4 12 2 2 3 2 3" xfId="23682" xr:uid="{00000000-0005-0000-0000-000044400000}"/>
    <cellStyle name="40% - Accent4 12 2 2 3 3" xfId="12198" xr:uid="{00000000-0005-0000-0000-000045400000}"/>
    <cellStyle name="40% - Accent4 12 2 2 3 4" xfId="20153" xr:uid="{00000000-0005-0000-0000-000046400000}"/>
    <cellStyle name="40% - Accent4 12 2 2 4" xfId="5993" xr:uid="{00000000-0005-0000-0000-000047400000}"/>
    <cellStyle name="40% - Accent4 12 2 2 4 2" xfId="13977" xr:uid="{00000000-0005-0000-0000-000048400000}"/>
    <cellStyle name="40% - Accent4 12 2 2 4 3" xfId="21925" xr:uid="{00000000-0005-0000-0000-000049400000}"/>
    <cellStyle name="40% - Accent4 12 2 2 5" xfId="9546" xr:uid="{00000000-0005-0000-0000-00004A400000}"/>
    <cellStyle name="40% - Accent4 12 2 2 5 2" xfId="17504" xr:uid="{00000000-0005-0000-0000-00004B400000}"/>
    <cellStyle name="40% - Accent4 12 2 2 5 3" xfId="25448" xr:uid="{00000000-0005-0000-0000-00004C400000}"/>
    <cellStyle name="40% - Accent4 12 2 2 6" xfId="10442" xr:uid="{00000000-0005-0000-0000-00004D400000}"/>
    <cellStyle name="40% - Accent4 12 2 2 7" xfId="18397" xr:uid="{00000000-0005-0000-0000-00004E400000}"/>
    <cellStyle name="40% - Accent4 12 2 2_Exh G" xfId="3075" xr:uid="{00000000-0005-0000-0000-00004F400000}"/>
    <cellStyle name="40% - Accent4 12 2 3" xfId="1521" xr:uid="{00000000-0005-0000-0000-000050400000}"/>
    <cellStyle name="40% - Accent4 12 2 3 2" xfId="5051" xr:uid="{00000000-0005-0000-0000-000051400000}"/>
    <cellStyle name="40% - Accent4 12 2 3 2 2" xfId="8642" xr:uid="{00000000-0005-0000-0000-000052400000}"/>
    <cellStyle name="40% - Accent4 12 2 3 2 2 2" xfId="16613" xr:uid="{00000000-0005-0000-0000-000053400000}"/>
    <cellStyle name="40% - Accent4 12 2 3 2 2 3" xfId="24559" xr:uid="{00000000-0005-0000-0000-000054400000}"/>
    <cellStyle name="40% - Accent4 12 2 3 2 3" xfId="13075" xr:uid="{00000000-0005-0000-0000-000055400000}"/>
    <cellStyle name="40% - Accent4 12 2 3 2 4" xfId="21030" xr:uid="{00000000-0005-0000-0000-000056400000}"/>
    <cellStyle name="40% - Accent4 12 2 3 3" xfId="6883" xr:uid="{00000000-0005-0000-0000-000057400000}"/>
    <cellStyle name="40% - Accent4 12 2 3 3 2" xfId="14855" xr:uid="{00000000-0005-0000-0000-000058400000}"/>
    <cellStyle name="40% - Accent4 12 2 3 3 3" xfId="22802" xr:uid="{00000000-0005-0000-0000-000059400000}"/>
    <cellStyle name="40% - Accent4 12 2 3 4" xfId="11319" xr:uid="{00000000-0005-0000-0000-00005A400000}"/>
    <cellStyle name="40% - Accent4 12 2 3 5" xfId="19274" xr:uid="{00000000-0005-0000-0000-00005B400000}"/>
    <cellStyle name="40% - Accent4 12 2 3_Exh G" xfId="3077" xr:uid="{00000000-0005-0000-0000-00005C400000}"/>
    <cellStyle name="40% - Accent4 12 2 4" xfId="4172" xr:uid="{00000000-0005-0000-0000-00005D400000}"/>
    <cellStyle name="40% - Accent4 12 2 4 2" xfId="7764" xr:uid="{00000000-0005-0000-0000-00005E400000}"/>
    <cellStyle name="40% - Accent4 12 2 4 2 2" xfId="15735" xr:uid="{00000000-0005-0000-0000-00005F400000}"/>
    <cellStyle name="40% - Accent4 12 2 4 2 3" xfId="23681" xr:uid="{00000000-0005-0000-0000-000060400000}"/>
    <cellStyle name="40% - Accent4 12 2 4 3" xfId="12197" xr:uid="{00000000-0005-0000-0000-000061400000}"/>
    <cellStyle name="40% - Accent4 12 2 4 4" xfId="20152" xr:uid="{00000000-0005-0000-0000-000062400000}"/>
    <cellStyle name="40% - Accent4 12 2 5" xfId="5992" xr:uid="{00000000-0005-0000-0000-000063400000}"/>
    <cellStyle name="40% - Accent4 12 2 5 2" xfId="13976" xr:uid="{00000000-0005-0000-0000-000064400000}"/>
    <cellStyle name="40% - Accent4 12 2 5 3" xfId="21924" xr:uid="{00000000-0005-0000-0000-000065400000}"/>
    <cellStyle name="40% - Accent4 12 2 6" xfId="9545" xr:uid="{00000000-0005-0000-0000-000066400000}"/>
    <cellStyle name="40% - Accent4 12 2 6 2" xfId="17503" xr:uid="{00000000-0005-0000-0000-000067400000}"/>
    <cellStyle name="40% - Accent4 12 2 6 3" xfId="25447" xr:uid="{00000000-0005-0000-0000-000068400000}"/>
    <cellStyle name="40% - Accent4 12 2 7" xfId="10441" xr:uid="{00000000-0005-0000-0000-000069400000}"/>
    <cellStyle name="40% - Accent4 12 2 8" xfId="18396" xr:uid="{00000000-0005-0000-0000-00006A400000}"/>
    <cellStyle name="40% - Accent4 12 2_Exh G" xfId="3074" xr:uid="{00000000-0005-0000-0000-00006B400000}"/>
    <cellStyle name="40% - Accent4 12 3" xfId="495" xr:uid="{00000000-0005-0000-0000-00006C400000}"/>
    <cellStyle name="40% - Accent4 12 3 2" xfId="1523" xr:uid="{00000000-0005-0000-0000-00006D400000}"/>
    <cellStyle name="40% - Accent4 12 3 2 2" xfId="5053" xr:uid="{00000000-0005-0000-0000-00006E400000}"/>
    <cellStyle name="40% - Accent4 12 3 2 2 2" xfId="8644" xr:uid="{00000000-0005-0000-0000-00006F400000}"/>
    <cellStyle name="40% - Accent4 12 3 2 2 2 2" xfId="16615" xr:uid="{00000000-0005-0000-0000-000070400000}"/>
    <cellStyle name="40% - Accent4 12 3 2 2 2 3" xfId="24561" xr:uid="{00000000-0005-0000-0000-000071400000}"/>
    <cellStyle name="40% - Accent4 12 3 2 2 3" xfId="13077" xr:uid="{00000000-0005-0000-0000-000072400000}"/>
    <cellStyle name="40% - Accent4 12 3 2 2 4" xfId="21032" xr:uid="{00000000-0005-0000-0000-000073400000}"/>
    <cellStyle name="40% - Accent4 12 3 2 3" xfId="6885" xr:uid="{00000000-0005-0000-0000-000074400000}"/>
    <cellStyle name="40% - Accent4 12 3 2 3 2" xfId="14857" xr:uid="{00000000-0005-0000-0000-000075400000}"/>
    <cellStyle name="40% - Accent4 12 3 2 3 3" xfId="22804" xr:uid="{00000000-0005-0000-0000-000076400000}"/>
    <cellStyle name="40% - Accent4 12 3 2 4" xfId="11321" xr:uid="{00000000-0005-0000-0000-000077400000}"/>
    <cellStyle name="40% - Accent4 12 3 2 5" xfId="19276" xr:uid="{00000000-0005-0000-0000-000078400000}"/>
    <cellStyle name="40% - Accent4 12 3 2_Exh G" xfId="3079" xr:uid="{00000000-0005-0000-0000-000079400000}"/>
    <cellStyle name="40% - Accent4 12 3 3" xfId="4174" xr:uid="{00000000-0005-0000-0000-00007A400000}"/>
    <cellStyle name="40% - Accent4 12 3 3 2" xfId="7766" xr:uid="{00000000-0005-0000-0000-00007B400000}"/>
    <cellStyle name="40% - Accent4 12 3 3 2 2" xfId="15737" xr:uid="{00000000-0005-0000-0000-00007C400000}"/>
    <cellStyle name="40% - Accent4 12 3 3 2 3" xfId="23683" xr:uid="{00000000-0005-0000-0000-00007D400000}"/>
    <cellStyle name="40% - Accent4 12 3 3 3" xfId="12199" xr:uid="{00000000-0005-0000-0000-00007E400000}"/>
    <cellStyle name="40% - Accent4 12 3 3 4" xfId="20154" xr:uid="{00000000-0005-0000-0000-00007F400000}"/>
    <cellStyle name="40% - Accent4 12 3 4" xfId="5994" xr:uid="{00000000-0005-0000-0000-000080400000}"/>
    <cellStyle name="40% - Accent4 12 3 4 2" xfId="13978" xr:uid="{00000000-0005-0000-0000-000081400000}"/>
    <cellStyle name="40% - Accent4 12 3 4 3" xfId="21926" xr:uid="{00000000-0005-0000-0000-000082400000}"/>
    <cellStyle name="40% - Accent4 12 3 5" xfId="9547" xr:uid="{00000000-0005-0000-0000-000083400000}"/>
    <cellStyle name="40% - Accent4 12 3 5 2" xfId="17505" xr:uid="{00000000-0005-0000-0000-000084400000}"/>
    <cellStyle name="40% - Accent4 12 3 5 3" xfId="25449" xr:uid="{00000000-0005-0000-0000-000085400000}"/>
    <cellStyle name="40% - Accent4 12 3 6" xfId="10443" xr:uid="{00000000-0005-0000-0000-000086400000}"/>
    <cellStyle name="40% - Accent4 12 3 7" xfId="18398" xr:uid="{00000000-0005-0000-0000-000087400000}"/>
    <cellStyle name="40% - Accent4 12 3_Exh G" xfId="3078" xr:uid="{00000000-0005-0000-0000-000088400000}"/>
    <cellStyle name="40% - Accent4 12 4" xfId="1520" xr:uid="{00000000-0005-0000-0000-000089400000}"/>
    <cellStyle name="40% - Accent4 12 4 2" xfId="5050" xr:uid="{00000000-0005-0000-0000-00008A400000}"/>
    <cellStyle name="40% - Accent4 12 4 2 2" xfId="8641" xr:uid="{00000000-0005-0000-0000-00008B400000}"/>
    <cellStyle name="40% - Accent4 12 4 2 2 2" xfId="16612" xr:uid="{00000000-0005-0000-0000-00008C400000}"/>
    <cellStyle name="40% - Accent4 12 4 2 2 3" xfId="24558" xr:uid="{00000000-0005-0000-0000-00008D400000}"/>
    <cellStyle name="40% - Accent4 12 4 2 3" xfId="13074" xr:uid="{00000000-0005-0000-0000-00008E400000}"/>
    <cellStyle name="40% - Accent4 12 4 2 4" xfId="21029" xr:uid="{00000000-0005-0000-0000-00008F400000}"/>
    <cellStyle name="40% - Accent4 12 4 3" xfId="6882" xr:uid="{00000000-0005-0000-0000-000090400000}"/>
    <cellStyle name="40% - Accent4 12 4 3 2" xfId="14854" xr:uid="{00000000-0005-0000-0000-000091400000}"/>
    <cellStyle name="40% - Accent4 12 4 3 3" xfId="22801" xr:uid="{00000000-0005-0000-0000-000092400000}"/>
    <cellStyle name="40% - Accent4 12 4 4" xfId="11318" xr:uid="{00000000-0005-0000-0000-000093400000}"/>
    <cellStyle name="40% - Accent4 12 4 5" xfId="19273" xr:uid="{00000000-0005-0000-0000-000094400000}"/>
    <cellStyle name="40% - Accent4 12 4_Exh G" xfId="3080" xr:uid="{00000000-0005-0000-0000-000095400000}"/>
    <cellStyle name="40% - Accent4 12 5" xfId="4171" xr:uid="{00000000-0005-0000-0000-000096400000}"/>
    <cellStyle name="40% - Accent4 12 5 2" xfId="7763" xr:uid="{00000000-0005-0000-0000-000097400000}"/>
    <cellStyle name="40% - Accent4 12 5 2 2" xfId="15734" xr:uid="{00000000-0005-0000-0000-000098400000}"/>
    <cellStyle name="40% - Accent4 12 5 2 3" xfId="23680" xr:uid="{00000000-0005-0000-0000-000099400000}"/>
    <cellStyle name="40% - Accent4 12 5 3" xfId="12196" xr:uid="{00000000-0005-0000-0000-00009A400000}"/>
    <cellStyle name="40% - Accent4 12 5 4" xfId="20151" xr:uid="{00000000-0005-0000-0000-00009B400000}"/>
    <cellStyle name="40% - Accent4 12 6" xfId="5991" xr:uid="{00000000-0005-0000-0000-00009C400000}"/>
    <cellStyle name="40% - Accent4 12 6 2" xfId="13975" xr:uid="{00000000-0005-0000-0000-00009D400000}"/>
    <cellStyle name="40% - Accent4 12 6 3" xfId="21923" xr:uid="{00000000-0005-0000-0000-00009E400000}"/>
    <cellStyle name="40% - Accent4 12 7" xfId="9544" xr:uid="{00000000-0005-0000-0000-00009F400000}"/>
    <cellStyle name="40% - Accent4 12 7 2" xfId="17502" xr:uid="{00000000-0005-0000-0000-0000A0400000}"/>
    <cellStyle name="40% - Accent4 12 7 3" xfId="25446" xr:uid="{00000000-0005-0000-0000-0000A1400000}"/>
    <cellStyle name="40% - Accent4 12 8" xfId="10440" xr:uid="{00000000-0005-0000-0000-0000A2400000}"/>
    <cellStyle name="40% - Accent4 12 9" xfId="18395" xr:uid="{00000000-0005-0000-0000-0000A3400000}"/>
    <cellStyle name="40% - Accent4 12_Exh G" xfId="3073" xr:uid="{00000000-0005-0000-0000-0000A4400000}"/>
    <cellStyle name="40% - Accent4 13" xfId="496" xr:uid="{00000000-0005-0000-0000-0000A5400000}"/>
    <cellStyle name="40% - Accent4 13 2" xfId="497" xr:uid="{00000000-0005-0000-0000-0000A6400000}"/>
    <cellStyle name="40% - Accent4 13 2 2" xfId="498" xr:uid="{00000000-0005-0000-0000-0000A7400000}"/>
    <cellStyle name="40% - Accent4 13 2 2 2" xfId="1526" xr:uid="{00000000-0005-0000-0000-0000A8400000}"/>
    <cellStyle name="40% - Accent4 13 2 2 2 2" xfId="5056" xr:uid="{00000000-0005-0000-0000-0000A9400000}"/>
    <cellStyle name="40% - Accent4 13 2 2 2 2 2" xfId="8647" xr:uid="{00000000-0005-0000-0000-0000AA400000}"/>
    <cellStyle name="40% - Accent4 13 2 2 2 2 2 2" xfId="16618" xr:uid="{00000000-0005-0000-0000-0000AB400000}"/>
    <cellStyle name="40% - Accent4 13 2 2 2 2 2 3" xfId="24564" xr:uid="{00000000-0005-0000-0000-0000AC400000}"/>
    <cellStyle name="40% - Accent4 13 2 2 2 2 3" xfId="13080" xr:uid="{00000000-0005-0000-0000-0000AD400000}"/>
    <cellStyle name="40% - Accent4 13 2 2 2 2 4" xfId="21035" xr:uid="{00000000-0005-0000-0000-0000AE400000}"/>
    <cellStyle name="40% - Accent4 13 2 2 2 3" xfId="6888" xr:uid="{00000000-0005-0000-0000-0000AF400000}"/>
    <cellStyle name="40% - Accent4 13 2 2 2 3 2" xfId="14860" xr:uid="{00000000-0005-0000-0000-0000B0400000}"/>
    <cellStyle name="40% - Accent4 13 2 2 2 3 3" xfId="22807" xr:uid="{00000000-0005-0000-0000-0000B1400000}"/>
    <cellStyle name="40% - Accent4 13 2 2 2 4" xfId="11324" xr:uid="{00000000-0005-0000-0000-0000B2400000}"/>
    <cellStyle name="40% - Accent4 13 2 2 2 5" xfId="19279" xr:uid="{00000000-0005-0000-0000-0000B3400000}"/>
    <cellStyle name="40% - Accent4 13 2 2 2_Exh G" xfId="3084" xr:uid="{00000000-0005-0000-0000-0000B4400000}"/>
    <cellStyle name="40% - Accent4 13 2 2 3" xfId="4177" xr:uid="{00000000-0005-0000-0000-0000B5400000}"/>
    <cellStyle name="40% - Accent4 13 2 2 3 2" xfId="7769" xr:uid="{00000000-0005-0000-0000-0000B6400000}"/>
    <cellStyle name="40% - Accent4 13 2 2 3 2 2" xfId="15740" xr:uid="{00000000-0005-0000-0000-0000B7400000}"/>
    <cellStyle name="40% - Accent4 13 2 2 3 2 3" xfId="23686" xr:uid="{00000000-0005-0000-0000-0000B8400000}"/>
    <cellStyle name="40% - Accent4 13 2 2 3 3" xfId="12202" xr:uid="{00000000-0005-0000-0000-0000B9400000}"/>
    <cellStyle name="40% - Accent4 13 2 2 3 4" xfId="20157" xr:uid="{00000000-0005-0000-0000-0000BA400000}"/>
    <cellStyle name="40% - Accent4 13 2 2 4" xfId="5997" xr:uid="{00000000-0005-0000-0000-0000BB400000}"/>
    <cellStyle name="40% - Accent4 13 2 2 4 2" xfId="13981" xr:uid="{00000000-0005-0000-0000-0000BC400000}"/>
    <cellStyle name="40% - Accent4 13 2 2 4 3" xfId="21929" xr:uid="{00000000-0005-0000-0000-0000BD400000}"/>
    <cellStyle name="40% - Accent4 13 2 2 5" xfId="9550" xr:uid="{00000000-0005-0000-0000-0000BE400000}"/>
    <cellStyle name="40% - Accent4 13 2 2 5 2" xfId="17508" xr:uid="{00000000-0005-0000-0000-0000BF400000}"/>
    <cellStyle name="40% - Accent4 13 2 2 5 3" xfId="25452" xr:uid="{00000000-0005-0000-0000-0000C0400000}"/>
    <cellStyle name="40% - Accent4 13 2 2 6" xfId="10446" xr:uid="{00000000-0005-0000-0000-0000C1400000}"/>
    <cellStyle name="40% - Accent4 13 2 2 7" xfId="18401" xr:uid="{00000000-0005-0000-0000-0000C2400000}"/>
    <cellStyle name="40% - Accent4 13 2 2_Exh G" xfId="3083" xr:uid="{00000000-0005-0000-0000-0000C3400000}"/>
    <cellStyle name="40% - Accent4 13 2 3" xfId="1525" xr:uid="{00000000-0005-0000-0000-0000C4400000}"/>
    <cellStyle name="40% - Accent4 13 2 3 2" xfId="5055" xr:uid="{00000000-0005-0000-0000-0000C5400000}"/>
    <cellStyle name="40% - Accent4 13 2 3 2 2" xfId="8646" xr:uid="{00000000-0005-0000-0000-0000C6400000}"/>
    <cellStyle name="40% - Accent4 13 2 3 2 2 2" xfId="16617" xr:uid="{00000000-0005-0000-0000-0000C7400000}"/>
    <cellStyle name="40% - Accent4 13 2 3 2 2 3" xfId="24563" xr:uid="{00000000-0005-0000-0000-0000C8400000}"/>
    <cellStyle name="40% - Accent4 13 2 3 2 3" xfId="13079" xr:uid="{00000000-0005-0000-0000-0000C9400000}"/>
    <cellStyle name="40% - Accent4 13 2 3 2 4" xfId="21034" xr:uid="{00000000-0005-0000-0000-0000CA400000}"/>
    <cellStyle name="40% - Accent4 13 2 3 3" xfId="6887" xr:uid="{00000000-0005-0000-0000-0000CB400000}"/>
    <cellStyle name="40% - Accent4 13 2 3 3 2" xfId="14859" xr:uid="{00000000-0005-0000-0000-0000CC400000}"/>
    <cellStyle name="40% - Accent4 13 2 3 3 3" xfId="22806" xr:uid="{00000000-0005-0000-0000-0000CD400000}"/>
    <cellStyle name="40% - Accent4 13 2 3 4" xfId="11323" xr:uid="{00000000-0005-0000-0000-0000CE400000}"/>
    <cellStyle name="40% - Accent4 13 2 3 5" xfId="19278" xr:uid="{00000000-0005-0000-0000-0000CF400000}"/>
    <cellStyle name="40% - Accent4 13 2 3_Exh G" xfId="3085" xr:uid="{00000000-0005-0000-0000-0000D0400000}"/>
    <cellStyle name="40% - Accent4 13 2 4" xfId="4176" xr:uid="{00000000-0005-0000-0000-0000D1400000}"/>
    <cellStyle name="40% - Accent4 13 2 4 2" xfId="7768" xr:uid="{00000000-0005-0000-0000-0000D2400000}"/>
    <cellStyle name="40% - Accent4 13 2 4 2 2" xfId="15739" xr:uid="{00000000-0005-0000-0000-0000D3400000}"/>
    <cellStyle name="40% - Accent4 13 2 4 2 3" xfId="23685" xr:uid="{00000000-0005-0000-0000-0000D4400000}"/>
    <cellStyle name="40% - Accent4 13 2 4 3" xfId="12201" xr:uid="{00000000-0005-0000-0000-0000D5400000}"/>
    <cellStyle name="40% - Accent4 13 2 4 4" xfId="20156" xr:uid="{00000000-0005-0000-0000-0000D6400000}"/>
    <cellStyle name="40% - Accent4 13 2 5" xfId="5996" xr:uid="{00000000-0005-0000-0000-0000D7400000}"/>
    <cellStyle name="40% - Accent4 13 2 5 2" xfId="13980" xr:uid="{00000000-0005-0000-0000-0000D8400000}"/>
    <cellStyle name="40% - Accent4 13 2 5 3" xfId="21928" xr:uid="{00000000-0005-0000-0000-0000D9400000}"/>
    <cellStyle name="40% - Accent4 13 2 6" xfId="9549" xr:uid="{00000000-0005-0000-0000-0000DA400000}"/>
    <cellStyle name="40% - Accent4 13 2 6 2" xfId="17507" xr:uid="{00000000-0005-0000-0000-0000DB400000}"/>
    <cellStyle name="40% - Accent4 13 2 6 3" xfId="25451" xr:uid="{00000000-0005-0000-0000-0000DC400000}"/>
    <cellStyle name="40% - Accent4 13 2 7" xfId="10445" xr:uid="{00000000-0005-0000-0000-0000DD400000}"/>
    <cellStyle name="40% - Accent4 13 2 8" xfId="18400" xr:uid="{00000000-0005-0000-0000-0000DE400000}"/>
    <cellStyle name="40% - Accent4 13 2_Exh G" xfId="3082" xr:uid="{00000000-0005-0000-0000-0000DF400000}"/>
    <cellStyle name="40% - Accent4 13 3" xfId="499" xr:uid="{00000000-0005-0000-0000-0000E0400000}"/>
    <cellStyle name="40% - Accent4 13 3 2" xfId="1527" xr:uid="{00000000-0005-0000-0000-0000E1400000}"/>
    <cellStyle name="40% - Accent4 13 3 2 2" xfId="5057" xr:uid="{00000000-0005-0000-0000-0000E2400000}"/>
    <cellStyle name="40% - Accent4 13 3 2 2 2" xfId="8648" xr:uid="{00000000-0005-0000-0000-0000E3400000}"/>
    <cellStyle name="40% - Accent4 13 3 2 2 2 2" xfId="16619" xr:uid="{00000000-0005-0000-0000-0000E4400000}"/>
    <cellStyle name="40% - Accent4 13 3 2 2 2 3" xfId="24565" xr:uid="{00000000-0005-0000-0000-0000E5400000}"/>
    <cellStyle name="40% - Accent4 13 3 2 2 3" xfId="13081" xr:uid="{00000000-0005-0000-0000-0000E6400000}"/>
    <cellStyle name="40% - Accent4 13 3 2 2 4" xfId="21036" xr:uid="{00000000-0005-0000-0000-0000E7400000}"/>
    <cellStyle name="40% - Accent4 13 3 2 3" xfId="6889" xr:uid="{00000000-0005-0000-0000-0000E8400000}"/>
    <cellStyle name="40% - Accent4 13 3 2 3 2" xfId="14861" xr:uid="{00000000-0005-0000-0000-0000E9400000}"/>
    <cellStyle name="40% - Accent4 13 3 2 3 3" xfId="22808" xr:uid="{00000000-0005-0000-0000-0000EA400000}"/>
    <cellStyle name="40% - Accent4 13 3 2 4" xfId="11325" xr:uid="{00000000-0005-0000-0000-0000EB400000}"/>
    <cellStyle name="40% - Accent4 13 3 2 5" xfId="19280" xr:uid="{00000000-0005-0000-0000-0000EC400000}"/>
    <cellStyle name="40% - Accent4 13 3 2_Exh G" xfId="3087" xr:uid="{00000000-0005-0000-0000-0000ED400000}"/>
    <cellStyle name="40% - Accent4 13 3 3" xfId="4178" xr:uid="{00000000-0005-0000-0000-0000EE400000}"/>
    <cellStyle name="40% - Accent4 13 3 3 2" xfId="7770" xr:uid="{00000000-0005-0000-0000-0000EF400000}"/>
    <cellStyle name="40% - Accent4 13 3 3 2 2" xfId="15741" xr:uid="{00000000-0005-0000-0000-0000F0400000}"/>
    <cellStyle name="40% - Accent4 13 3 3 2 3" xfId="23687" xr:uid="{00000000-0005-0000-0000-0000F1400000}"/>
    <cellStyle name="40% - Accent4 13 3 3 3" xfId="12203" xr:uid="{00000000-0005-0000-0000-0000F2400000}"/>
    <cellStyle name="40% - Accent4 13 3 3 4" xfId="20158" xr:uid="{00000000-0005-0000-0000-0000F3400000}"/>
    <cellStyle name="40% - Accent4 13 3 4" xfId="5998" xr:uid="{00000000-0005-0000-0000-0000F4400000}"/>
    <cellStyle name="40% - Accent4 13 3 4 2" xfId="13982" xr:uid="{00000000-0005-0000-0000-0000F5400000}"/>
    <cellStyle name="40% - Accent4 13 3 4 3" xfId="21930" xr:uid="{00000000-0005-0000-0000-0000F6400000}"/>
    <cellStyle name="40% - Accent4 13 3 5" xfId="9551" xr:uid="{00000000-0005-0000-0000-0000F7400000}"/>
    <cellStyle name="40% - Accent4 13 3 5 2" xfId="17509" xr:uid="{00000000-0005-0000-0000-0000F8400000}"/>
    <cellStyle name="40% - Accent4 13 3 5 3" xfId="25453" xr:uid="{00000000-0005-0000-0000-0000F9400000}"/>
    <cellStyle name="40% - Accent4 13 3 6" xfId="10447" xr:uid="{00000000-0005-0000-0000-0000FA400000}"/>
    <cellStyle name="40% - Accent4 13 3 7" xfId="18402" xr:uid="{00000000-0005-0000-0000-0000FB400000}"/>
    <cellStyle name="40% - Accent4 13 3_Exh G" xfId="3086" xr:uid="{00000000-0005-0000-0000-0000FC400000}"/>
    <cellStyle name="40% - Accent4 13 4" xfId="1524" xr:uid="{00000000-0005-0000-0000-0000FD400000}"/>
    <cellStyle name="40% - Accent4 13 4 2" xfId="5054" xr:uid="{00000000-0005-0000-0000-0000FE400000}"/>
    <cellStyle name="40% - Accent4 13 4 2 2" xfId="8645" xr:uid="{00000000-0005-0000-0000-0000FF400000}"/>
    <cellStyle name="40% - Accent4 13 4 2 2 2" xfId="16616" xr:uid="{00000000-0005-0000-0000-000000410000}"/>
    <cellStyle name="40% - Accent4 13 4 2 2 3" xfId="24562" xr:uid="{00000000-0005-0000-0000-000001410000}"/>
    <cellStyle name="40% - Accent4 13 4 2 3" xfId="13078" xr:uid="{00000000-0005-0000-0000-000002410000}"/>
    <cellStyle name="40% - Accent4 13 4 2 4" xfId="21033" xr:uid="{00000000-0005-0000-0000-000003410000}"/>
    <cellStyle name="40% - Accent4 13 4 3" xfId="6886" xr:uid="{00000000-0005-0000-0000-000004410000}"/>
    <cellStyle name="40% - Accent4 13 4 3 2" xfId="14858" xr:uid="{00000000-0005-0000-0000-000005410000}"/>
    <cellStyle name="40% - Accent4 13 4 3 3" xfId="22805" xr:uid="{00000000-0005-0000-0000-000006410000}"/>
    <cellStyle name="40% - Accent4 13 4 4" xfId="11322" xr:uid="{00000000-0005-0000-0000-000007410000}"/>
    <cellStyle name="40% - Accent4 13 4 5" xfId="19277" xr:uid="{00000000-0005-0000-0000-000008410000}"/>
    <cellStyle name="40% - Accent4 13 4_Exh G" xfId="3088" xr:uid="{00000000-0005-0000-0000-000009410000}"/>
    <cellStyle name="40% - Accent4 13 5" xfId="4175" xr:uid="{00000000-0005-0000-0000-00000A410000}"/>
    <cellStyle name="40% - Accent4 13 5 2" xfId="7767" xr:uid="{00000000-0005-0000-0000-00000B410000}"/>
    <cellStyle name="40% - Accent4 13 5 2 2" xfId="15738" xr:uid="{00000000-0005-0000-0000-00000C410000}"/>
    <cellStyle name="40% - Accent4 13 5 2 3" xfId="23684" xr:uid="{00000000-0005-0000-0000-00000D410000}"/>
    <cellStyle name="40% - Accent4 13 5 3" xfId="12200" xr:uid="{00000000-0005-0000-0000-00000E410000}"/>
    <cellStyle name="40% - Accent4 13 5 4" xfId="20155" xr:uid="{00000000-0005-0000-0000-00000F410000}"/>
    <cellStyle name="40% - Accent4 13 6" xfId="5995" xr:uid="{00000000-0005-0000-0000-000010410000}"/>
    <cellStyle name="40% - Accent4 13 6 2" xfId="13979" xr:uid="{00000000-0005-0000-0000-000011410000}"/>
    <cellStyle name="40% - Accent4 13 6 3" xfId="21927" xr:uid="{00000000-0005-0000-0000-000012410000}"/>
    <cellStyle name="40% - Accent4 13 7" xfId="9548" xr:uid="{00000000-0005-0000-0000-000013410000}"/>
    <cellStyle name="40% - Accent4 13 7 2" xfId="17506" xr:uid="{00000000-0005-0000-0000-000014410000}"/>
    <cellStyle name="40% - Accent4 13 7 3" xfId="25450" xr:uid="{00000000-0005-0000-0000-000015410000}"/>
    <cellStyle name="40% - Accent4 13 8" xfId="10444" xr:uid="{00000000-0005-0000-0000-000016410000}"/>
    <cellStyle name="40% - Accent4 13 9" xfId="18399" xr:uid="{00000000-0005-0000-0000-000017410000}"/>
    <cellStyle name="40% - Accent4 13_Exh G" xfId="3081" xr:uid="{00000000-0005-0000-0000-000018410000}"/>
    <cellStyle name="40% - Accent4 14" xfId="500" xr:uid="{00000000-0005-0000-0000-000019410000}"/>
    <cellStyle name="40% - Accent4 14 2" xfId="501" xr:uid="{00000000-0005-0000-0000-00001A410000}"/>
    <cellStyle name="40% - Accent4 14 2 2" xfId="1529" xr:uid="{00000000-0005-0000-0000-00001B410000}"/>
    <cellStyle name="40% - Accent4 14 2 2 2" xfId="5059" xr:uid="{00000000-0005-0000-0000-00001C410000}"/>
    <cellStyle name="40% - Accent4 14 2 2 2 2" xfId="8650" xr:uid="{00000000-0005-0000-0000-00001D410000}"/>
    <cellStyle name="40% - Accent4 14 2 2 2 2 2" xfId="16621" xr:uid="{00000000-0005-0000-0000-00001E410000}"/>
    <cellStyle name="40% - Accent4 14 2 2 2 2 3" xfId="24567" xr:uid="{00000000-0005-0000-0000-00001F410000}"/>
    <cellStyle name="40% - Accent4 14 2 2 2 3" xfId="13083" xr:uid="{00000000-0005-0000-0000-000020410000}"/>
    <cellStyle name="40% - Accent4 14 2 2 2 4" xfId="21038" xr:uid="{00000000-0005-0000-0000-000021410000}"/>
    <cellStyle name="40% - Accent4 14 2 2 3" xfId="6891" xr:uid="{00000000-0005-0000-0000-000022410000}"/>
    <cellStyle name="40% - Accent4 14 2 2 3 2" xfId="14863" xr:uid="{00000000-0005-0000-0000-000023410000}"/>
    <cellStyle name="40% - Accent4 14 2 2 3 3" xfId="22810" xr:uid="{00000000-0005-0000-0000-000024410000}"/>
    <cellStyle name="40% - Accent4 14 2 2 4" xfId="11327" xr:uid="{00000000-0005-0000-0000-000025410000}"/>
    <cellStyle name="40% - Accent4 14 2 2 5" xfId="19282" xr:uid="{00000000-0005-0000-0000-000026410000}"/>
    <cellStyle name="40% - Accent4 14 2 2_Exh G" xfId="3091" xr:uid="{00000000-0005-0000-0000-000027410000}"/>
    <cellStyle name="40% - Accent4 14 2 3" xfId="4180" xr:uid="{00000000-0005-0000-0000-000028410000}"/>
    <cellStyle name="40% - Accent4 14 2 3 2" xfId="7772" xr:uid="{00000000-0005-0000-0000-000029410000}"/>
    <cellStyle name="40% - Accent4 14 2 3 2 2" xfId="15743" xr:uid="{00000000-0005-0000-0000-00002A410000}"/>
    <cellStyle name="40% - Accent4 14 2 3 2 3" xfId="23689" xr:uid="{00000000-0005-0000-0000-00002B410000}"/>
    <cellStyle name="40% - Accent4 14 2 3 3" xfId="12205" xr:uid="{00000000-0005-0000-0000-00002C410000}"/>
    <cellStyle name="40% - Accent4 14 2 3 4" xfId="20160" xr:uid="{00000000-0005-0000-0000-00002D410000}"/>
    <cellStyle name="40% - Accent4 14 2 4" xfId="6000" xr:uid="{00000000-0005-0000-0000-00002E410000}"/>
    <cellStyle name="40% - Accent4 14 2 4 2" xfId="13984" xr:uid="{00000000-0005-0000-0000-00002F410000}"/>
    <cellStyle name="40% - Accent4 14 2 4 3" xfId="21932" xr:uid="{00000000-0005-0000-0000-000030410000}"/>
    <cellStyle name="40% - Accent4 14 2 5" xfId="9553" xr:uid="{00000000-0005-0000-0000-000031410000}"/>
    <cellStyle name="40% - Accent4 14 2 5 2" xfId="17511" xr:uid="{00000000-0005-0000-0000-000032410000}"/>
    <cellStyle name="40% - Accent4 14 2 5 3" xfId="25455" xr:uid="{00000000-0005-0000-0000-000033410000}"/>
    <cellStyle name="40% - Accent4 14 2 6" xfId="10449" xr:uid="{00000000-0005-0000-0000-000034410000}"/>
    <cellStyle name="40% - Accent4 14 2 7" xfId="18404" xr:uid="{00000000-0005-0000-0000-000035410000}"/>
    <cellStyle name="40% - Accent4 14 2_Exh G" xfId="3090" xr:uid="{00000000-0005-0000-0000-000036410000}"/>
    <cellStyle name="40% - Accent4 14 3" xfId="1528" xr:uid="{00000000-0005-0000-0000-000037410000}"/>
    <cellStyle name="40% - Accent4 14 3 2" xfId="5058" xr:uid="{00000000-0005-0000-0000-000038410000}"/>
    <cellStyle name="40% - Accent4 14 3 2 2" xfId="8649" xr:uid="{00000000-0005-0000-0000-000039410000}"/>
    <cellStyle name="40% - Accent4 14 3 2 2 2" xfId="16620" xr:uid="{00000000-0005-0000-0000-00003A410000}"/>
    <cellStyle name="40% - Accent4 14 3 2 2 3" xfId="24566" xr:uid="{00000000-0005-0000-0000-00003B410000}"/>
    <cellStyle name="40% - Accent4 14 3 2 3" xfId="13082" xr:uid="{00000000-0005-0000-0000-00003C410000}"/>
    <cellStyle name="40% - Accent4 14 3 2 4" xfId="21037" xr:uid="{00000000-0005-0000-0000-00003D410000}"/>
    <cellStyle name="40% - Accent4 14 3 3" xfId="6890" xr:uid="{00000000-0005-0000-0000-00003E410000}"/>
    <cellStyle name="40% - Accent4 14 3 3 2" xfId="14862" xr:uid="{00000000-0005-0000-0000-00003F410000}"/>
    <cellStyle name="40% - Accent4 14 3 3 3" xfId="22809" xr:uid="{00000000-0005-0000-0000-000040410000}"/>
    <cellStyle name="40% - Accent4 14 3 4" xfId="11326" xr:uid="{00000000-0005-0000-0000-000041410000}"/>
    <cellStyle name="40% - Accent4 14 3 5" xfId="19281" xr:uid="{00000000-0005-0000-0000-000042410000}"/>
    <cellStyle name="40% - Accent4 14 3_Exh G" xfId="3092" xr:uid="{00000000-0005-0000-0000-000043410000}"/>
    <cellStyle name="40% - Accent4 14 4" xfId="4179" xr:uid="{00000000-0005-0000-0000-000044410000}"/>
    <cellStyle name="40% - Accent4 14 4 2" xfId="7771" xr:uid="{00000000-0005-0000-0000-000045410000}"/>
    <cellStyle name="40% - Accent4 14 4 2 2" xfId="15742" xr:uid="{00000000-0005-0000-0000-000046410000}"/>
    <cellStyle name="40% - Accent4 14 4 2 3" xfId="23688" xr:uid="{00000000-0005-0000-0000-000047410000}"/>
    <cellStyle name="40% - Accent4 14 4 3" xfId="12204" xr:uid="{00000000-0005-0000-0000-000048410000}"/>
    <cellStyle name="40% - Accent4 14 4 4" xfId="20159" xr:uid="{00000000-0005-0000-0000-000049410000}"/>
    <cellStyle name="40% - Accent4 14 5" xfId="5999" xr:uid="{00000000-0005-0000-0000-00004A410000}"/>
    <cellStyle name="40% - Accent4 14 5 2" xfId="13983" xr:uid="{00000000-0005-0000-0000-00004B410000}"/>
    <cellStyle name="40% - Accent4 14 5 3" xfId="21931" xr:uid="{00000000-0005-0000-0000-00004C410000}"/>
    <cellStyle name="40% - Accent4 14 6" xfId="9552" xr:uid="{00000000-0005-0000-0000-00004D410000}"/>
    <cellStyle name="40% - Accent4 14 6 2" xfId="17510" xr:uid="{00000000-0005-0000-0000-00004E410000}"/>
    <cellStyle name="40% - Accent4 14 6 3" xfId="25454" xr:uid="{00000000-0005-0000-0000-00004F410000}"/>
    <cellStyle name="40% - Accent4 14 7" xfId="10448" xr:uid="{00000000-0005-0000-0000-000050410000}"/>
    <cellStyle name="40% - Accent4 14 8" xfId="18403" xr:uid="{00000000-0005-0000-0000-000051410000}"/>
    <cellStyle name="40% - Accent4 14_Exh G" xfId="3089" xr:uid="{00000000-0005-0000-0000-000052410000}"/>
    <cellStyle name="40% - Accent4 15" xfId="502" xr:uid="{00000000-0005-0000-0000-000053410000}"/>
    <cellStyle name="40% - Accent4 15 2" xfId="1530" xr:uid="{00000000-0005-0000-0000-000054410000}"/>
    <cellStyle name="40% - Accent4 15 2 2" xfId="5060" xr:uid="{00000000-0005-0000-0000-000055410000}"/>
    <cellStyle name="40% - Accent4 15 2 2 2" xfId="8651" xr:uid="{00000000-0005-0000-0000-000056410000}"/>
    <cellStyle name="40% - Accent4 15 2 2 2 2" xfId="16622" xr:uid="{00000000-0005-0000-0000-000057410000}"/>
    <cellStyle name="40% - Accent4 15 2 2 2 3" xfId="24568" xr:uid="{00000000-0005-0000-0000-000058410000}"/>
    <cellStyle name="40% - Accent4 15 2 2 3" xfId="13084" xr:uid="{00000000-0005-0000-0000-000059410000}"/>
    <cellStyle name="40% - Accent4 15 2 2 4" xfId="21039" xr:uid="{00000000-0005-0000-0000-00005A410000}"/>
    <cellStyle name="40% - Accent4 15 2 3" xfId="6892" xr:uid="{00000000-0005-0000-0000-00005B410000}"/>
    <cellStyle name="40% - Accent4 15 2 3 2" xfId="14864" xr:uid="{00000000-0005-0000-0000-00005C410000}"/>
    <cellStyle name="40% - Accent4 15 2 3 3" xfId="22811" xr:uid="{00000000-0005-0000-0000-00005D410000}"/>
    <cellStyle name="40% - Accent4 15 2 4" xfId="11328" xr:uid="{00000000-0005-0000-0000-00005E410000}"/>
    <cellStyle name="40% - Accent4 15 2 5" xfId="19283" xr:uid="{00000000-0005-0000-0000-00005F410000}"/>
    <cellStyle name="40% - Accent4 15 2_Exh G" xfId="3094" xr:uid="{00000000-0005-0000-0000-000060410000}"/>
    <cellStyle name="40% - Accent4 15 3" xfId="4181" xr:uid="{00000000-0005-0000-0000-000061410000}"/>
    <cellStyle name="40% - Accent4 15 3 2" xfId="7773" xr:uid="{00000000-0005-0000-0000-000062410000}"/>
    <cellStyle name="40% - Accent4 15 3 2 2" xfId="15744" xr:uid="{00000000-0005-0000-0000-000063410000}"/>
    <cellStyle name="40% - Accent4 15 3 2 3" xfId="23690" xr:uid="{00000000-0005-0000-0000-000064410000}"/>
    <cellStyle name="40% - Accent4 15 3 3" xfId="12206" xr:uid="{00000000-0005-0000-0000-000065410000}"/>
    <cellStyle name="40% - Accent4 15 3 4" xfId="20161" xr:uid="{00000000-0005-0000-0000-000066410000}"/>
    <cellStyle name="40% - Accent4 15 4" xfId="6001" xr:uid="{00000000-0005-0000-0000-000067410000}"/>
    <cellStyle name="40% - Accent4 15 4 2" xfId="13985" xr:uid="{00000000-0005-0000-0000-000068410000}"/>
    <cellStyle name="40% - Accent4 15 4 3" xfId="21933" xr:uid="{00000000-0005-0000-0000-000069410000}"/>
    <cellStyle name="40% - Accent4 15 5" xfId="9554" xr:uid="{00000000-0005-0000-0000-00006A410000}"/>
    <cellStyle name="40% - Accent4 15 5 2" xfId="17512" xr:uid="{00000000-0005-0000-0000-00006B410000}"/>
    <cellStyle name="40% - Accent4 15 5 3" xfId="25456" xr:uid="{00000000-0005-0000-0000-00006C410000}"/>
    <cellStyle name="40% - Accent4 15 6" xfId="10450" xr:uid="{00000000-0005-0000-0000-00006D410000}"/>
    <cellStyle name="40% - Accent4 15 7" xfId="18405" xr:uid="{00000000-0005-0000-0000-00006E410000}"/>
    <cellStyle name="40% - Accent4 15_Exh G" xfId="3093" xr:uid="{00000000-0005-0000-0000-00006F410000}"/>
    <cellStyle name="40% - Accent4 16" xfId="852" xr:uid="{00000000-0005-0000-0000-000070410000}"/>
    <cellStyle name="40% - Accent4 16 2" xfId="1791" xr:uid="{00000000-0005-0000-0000-000071410000}"/>
    <cellStyle name="40% - Accent4 16 2 2" xfId="5312" xr:uid="{00000000-0005-0000-0000-000072410000}"/>
    <cellStyle name="40% - Accent4 16 2 2 2" xfId="8903" xr:uid="{00000000-0005-0000-0000-000073410000}"/>
    <cellStyle name="40% - Accent4 16 2 2 2 2" xfId="16874" xr:uid="{00000000-0005-0000-0000-000074410000}"/>
    <cellStyle name="40% - Accent4 16 2 2 2 3" xfId="24820" xr:uid="{00000000-0005-0000-0000-000075410000}"/>
    <cellStyle name="40% - Accent4 16 2 2 3" xfId="13336" xr:uid="{00000000-0005-0000-0000-000076410000}"/>
    <cellStyle name="40% - Accent4 16 2 2 4" xfId="21291" xr:uid="{00000000-0005-0000-0000-000077410000}"/>
    <cellStyle name="40% - Accent4 16 2 3" xfId="7144" xr:uid="{00000000-0005-0000-0000-000078410000}"/>
    <cellStyle name="40% - Accent4 16 2 3 2" xfId="15116" xr:uid="{00000000-0005-0000-0000-000079410000}"/>
    <cellStyle name="40% - Accent4 16 2 3 3" xfId="23063" xr:uid="{00000000-0005-0000-0000-00007A410000}"/>
    <cellStyle name="40% - Accent4 16 2 4" xfId="11580" xr:uid="{00000000-0005-0000-0000-00007B410000}"/>
    <cellStyle name="40% - Accent4 16 2 5" xfId="19535" xr:uid="{00000000-0005-0000-0000-00007C410000}"/>
    <cellStyle name="40% - Accent4 16 2_Exh G" xfId="3096" xr:uid="{00000000-0005-0000-0000-00007D410000}"/>
    <cellStyle name="40% - Accent4 16 3" xfId="4433" xr:uid="{00000000-0005-0000-0000-00007E410000}"/>
    <cellStyle name="40% - Accent4 16 3 2" xfId="8025" xr:uid="{00000000-0005-0000-0000-00007F410000}"/>
    <cellStyle name="40% - Accent4 16 3 2 2" xfId="15996" xr:uid="{00000000-0005-0000-0000-000080410000}"/>
    <cellStyle name="40% - Accent4 16 3 2 3" xfId="23942" xr:uid="{00000000-0005-0000-0000-000081410000}"/>
    <cellStyle name="40% - Accent4 16 3 3" xfId="12458" xr:uid="{00000000-0005-0000-0000-000082410000}"/>
    <cellStyle name="40% - Accent4 16 3 4" xfId="20413" xr:uid="{00000000-0005-0000-0000-000083410000}"/>
    <cellStyle name="40% - Accent4 16 4" xfId="6263" xr:uid="{00000000-0005-0000-0000-000084410000}"/>
    <cellStyle name="40% - Accent4 16 4 2" xfId="14238" xr:uid="{00000000-0005-0000-0000-000085410000}"/>
    <cellStyle name="40% - Accent4 16 4 3" xfId="22185" xr:uid="{00000000-0005-0000-0000-000086410000}"/>
    <cellStyle name="40% - Accent4 16 5" xfId="9806" xr:uid="{00000000-0005-0000-0000-000087410000}"/>
    <cellStyle name="40% - Accent4 16 5 2" xfId="17764" xr:uid="{00000000-0005-0000-0000-000088410000}"/>
    <cellStyle name="40% - Accent4 16 5 3" xfId="25708" xr:uid="{00000000-0005-0000-0000-000089410000}"/>
    <cellStyle name="40% - Accent4 16 6" xfId="10702" xr:uid="{00000000-0005-0000-0000-00008A410000}"/>
    <cellStyle name="40% - Accent4 16 7" xfId="18657" xr:uid="{00000000-0005-0000-0000-00008B410000}"/>
    <cellStyle name="40% - Accent4 16_Exh G" xfId="3095" xr:uid="{00000000-0005-0000-0000-00008C410000}"/>
    <cellStyle name="40% - Accent4 2" xfId="503" xr:uid="{00000000-0005-0000-0000-00008D410000}"/>
    <cellStyle name="40% - Accent4 2 10" xfId="18406" xr:uid="{00000000-0005-0000-0000-00008E410000}"/>
    <cellStyle name="40% - Accent4 2 2" xfId="504" xr:uid="{00000000-0005-0000-0000-00008F410000}"/>
    <cellStyle name="40% - Accent4 2 2 2" xfId="505" xr:uid="{00000000-0005-0000-0000-000090410000}"/>
    <cellStyle name="40% - Accent4 2 2 2 2" xfId="1533" xr:uid="{00000000-0005-0000-0000-000091410000}"/>
    <cellStyle name="40% - Accent4 2 2 2 2 2" xfId="5063" xr:uid="{00000000-0005-0000-0000-000092410000}"/>
    <cellStyle name="40% - Accent4 2 2 2 2 2 2" xfId="8654" xr:uid="{00000000-0005-0000-0000-000093410000}"/>
    <cellStyle name="40% - Accent4 2 2 2 2 2 2 2" xfId="16625" xr:uid="{00000000-0005-0000-0000-000094410000}"/>
    <cellStyle name="40% - Accent4 2 2 2 2 2 2 3" xfId="24571" xr:uid="{00000000-0005-0000-0000-000095410000}"/>
    <cellStyle name="40% - Accent4 2 2 2 2 2 3" xfId="13087" xr:uid="{00000000-0005-0000-0000-000096410000}"/>
    <cellStyle name="40% - Accent4 2 2 2 2 2 4" xfId="21042" xr:uid="{00000000-0005-0000-0000-000097410000}"/>
    <cellStyle name="40% - Accent4 2 2 2 2 3" xfId="6895" xr:uid="{00000000-0005-0000-0000-000098410000}"/>
    <cellStyle name="40% - Accent4 2 2 2 2 3 2" xfId="14867" xr:uid="{00000000-0005-0000-0000-000099410000}"/>
    <cellStyle name="40% - Accent4 2 2 2 2 3 3" xfId="22814" xr:uid="{00000000-0005-0000-0000-00009A410000}"/>
    <cellStyle name="40% - Accent4 2 2 2 2 4" xfId="11331" xr:uid="{00000000-0005-0000-0000-00009B410000}"/>
    <cellStyle name="40% - Accent4 2 2 2 2 5" xfId="19286" xr:uid="{00000000-0005-0000-0000-00009C410000}"/>
    <cellStyle name="40% - Accent4 2 2 2 2_Exh G" xfId="3100" xr:uid="{00000000-0005-0000-0000-00009D410000}"/>
    <cellStyle name="40% - Accent4 2 2 2 3" xfId="4184" xr:uid="{00000000-0005-0000-0000-00009E410000}"/>
    <cellStyle name="40% - Accent4 2 2 2 3 2" xfId="7776" xr:uid="{00000000-0005-0000-0000-00009F410000}"/>
    <cellStyle name="40% - Accent4 2 2 2 3 2 2" xfId="15747" xr:uid="{00000000-0005-0000-0000-0000A0410000}"/>
    <cellStyle name="40% - Accent4 2 2 2 3 2 3" xfId="23693" xr:uid="{00000000-0005-0000-0000-0000A1410000}"/>
    <cellStyle name="40% - Accent4 2 2 2 3 3" xfId="12209" xr:uid="{00000000-0005-0000-0000-0000A2410000}"/>
    <cellStyle name="40% - Accent4 2 2 2 3 4" xfId="20164" xr:uid="{00000000-0005-0000-0000-0000A3410000}"/>
    <cellStyle name="40% - Accent4 2 2 2 4" xfId="6004" xr:uid="{00000000-0005-0000-0000-0000A4410000}"/>
    <cellStyle name="40% - Accent4 2 2 2 4 2" xfId="13988" xr:uid="{00000000-0005-0000-0000-0000A5410000}"/>
    <cellStyle name="40% - Accent4 2 2 2 4 3" xfId="21936" xr:uid="{00000000-0005-0000-0000-0000A6410000}"/>
    <cellStyle name="40% - Accent4 2 2 2 5" xfId="9557" xr:uid="{00000000-0005-0000-0000-0000A7410000}"/>
    <cellStyle name="40% - Accent4 2 2 2 5 2" xfId="17515" xr:uid="{00000000-0005-0000-0000-0000A8410000}"/>
    <cellStyle name="40% - Accent4 2 2 2 5 3" xfId="25459" xr:uid="{00000000-0005-0000-0000-0000A9410000}"/>
    <cellStyle name="40% - Accent4 2 2 2 6" xfId="10453" xr:uid="{00000000-0005-0000-0000-0000AA410000}"/>
    <cellStyle name="40% - Accent4 2 2 2 7" xfId="18408" xr:uid="{00000000-0005-0000-0000-0000AB410000}"/>
    <cellStyle name="40% - Accent4 2 2 2_Exh G" xfId="3099" xr:uid="{00000000-0005-0000-0000-0000AC410000}"/>
    <cellStyle name="40% - Accent4 2 2 3" xfId="972" xr:uid="{00000000-0005-0000-0000-0000AD410000}"/>
    <cellStyle name="40% - Accent4 2 2 3 2" xfId="1890" xr:uid="{00000000-0005-0000-0000-0000AE410000}"/>
    <cellStyle name="40% - Accent4 2 2 3 2 2" xfId="5408" xr:uid="{00000000-0005-0000-0000-0000AF410000}"/>
    <cellStyle name="40% - Accent4 2 2 3 2 2 2" xfId="8999" xr:uid="{00000000-0005-0000-0000-0000B0410000}"/>
    <cellStyle name="40% - Accent4 2 2 3 2 2 2 2" xfId="16970" xr:uid="{00000000-0005-0000-0000-0000B1410000}"/>
    <cellStyle name="40% - Accent4 2 2 3 2 2 2 3" xfId="24916" xr:uid="{00000000-0005-0000-0000-0000B2410000}"/>
    <cellStyle name="40% - Accent4 2 2 3 2 2 3" xfId="13432" xr:uid="{00000000-0005-0000-0000-0000B3410000}"/>
    <cellStyle name="40% - Accent4 2 2 3 2 2 4" xfId="21387" xr:uid="{00000000-0005-0000-0000-0000B4410000}"/>
    <cellStyle name="40% - Accent4 2 2 3 2 3" xfId="7240" xr:uid="{00000000-0005-0000-0000-0000B5410000}"/>
    <cellStyle name="40% - Accent4 2 2 3 2 3 2" xfId="15212" xr:uid="{00000000-0005-0000-0000-0000B6410000}"/>
    <cellStyle name="40% - Accent4 2 2 3 2 3 3" xfId="23159" xr:uid="{00000000-0005-0000-0000-0000B7410000}"/>
    <cellStyle name="40% - Accent4 2 2 3 2 4" xfId="11676" xr:uid="{00000000-0005-0000-0000-0000B8410000}"/>
    <cellStyle name="40% - Accent4 2 2 3 2 5" xfId="19631" xr:uid="{00000000-0005-0000-0000-0000B9410000}"/>
    <cellStyle name="40% - Accent4 2 2 3 2_Exh G" xfId="3102" xr:uid="{00000000-0005-0000-0000-0000BA410000}"/>
    <cellStyle name="40% - Accent4 2 2 3 3" xfId="4529" xr:uid="{00000000-0005-0000-0000-0000BB410000}"/>
    <cellStyle name="40% - Accent4 2 2 3 3 2" xfId="8121" xr:uid="{00000000-0005-0000-0000-0000BC410000}"/>
    <cellStyle name="40% - Accent4 2 2 3 3 2 2" xfId="16092" xr:uid="{00000000-0005-0000-0000-0000BD410000}"/>
    <cellStyle name="40% - Accent4 2 2 3 3 2 3" xfId="24038" xr:uid="{00000000-0005-0000-0000-0000BE410000}"/>
    <cellStyle name="40% - Accent4 2 2 3 3 3" xfId="12554" xr:uid="{00000000-0005-0000-0000-0000BF410000}"/>
    <cellStyle name="40% - Accent4 2 2 3 3 4" xfId="20509" xr:uid="{00000000-0005-0000-0000-0000C0410000}"/>
    <cellStyle name="40% - Accent4 2 2 3 4" xfId="6359" xr:uid="{00000000-0005-0000-0000-0000C1410000}"/>
    <cellStyle name="40% - Accent4 2 2 3 4 2" xfId="14334" xr:uid="{00000000-0005-0000-0000-0000C2410000}"/>
    <cellStyle name="40% - Accent4 2 2 3 4 3" xfId="22281" xr:uid="{00000000-0005-0000-0000-0000C3410000}"/>
    <cellStyle name="40% - Accent4 2 2 3 5" xfId="9902" xr:uid="{00000000-0005-0000-0000-0000C4410000}"/>
    <cellStyle name="40% - Accent4 2 2 3 5 2" xfId="17860" xr:uid="{00000000-0005-0000-0000-0000C5410000}"/>
    <cellStyle name="40% - Accent4 2 2 3 5 3" xfId="25804" xr:uid="{00000000-0005-0000-0000-0000C6410000}"/>
    <cellStyle name="40% - Accent4 2 2 3 6" xfId="10798" xr:uid="{00000000-0005-0000-0000-0000C7410000}"/>
    <cellStyle name="40% - Accent4 2 2 3 7" xfId="18753" xr:uid="{00000000-0005-0000-0000-0000C8410000}"/>
    <cellStyle name="40% - Accent4 2 2 3_Exh G" xfId="3101" xr:uid="{00000000-0005-0000-0000-0000C9410000}"/>
    <cellStyle name="40% - Accent4 2 2 4" xfId="1532" xr:uid="{00000000-0005-0000-0000-0000CA410000}"/>
    <cellStyle name="40% - Accent4 2 2 4 2" xfId="5062" xr:uid="{00000000-0005-0000-0000-0000CB410000}"/>
    <cellStyle name="40% - Accent4 2 2 4 2 2" xfId="8653" xr:uid="{00000000-0005-0000-0000-0000CC410000}"/>
    <cellStyle name="40% - Accent4 2 2 4 2 2 2" xfId="16624" xr:uid="{00000000-0005-0000-0000-0000CD410000}"/>
    <cellStyle name="40% - Accent4 2 2 4 2 2 3" xfId="24570" xr:uid="{00000000-0005-0000-0000-0000CE410000}"/>
    <cellStyle name="40% - Accent4 2 2 4 2 3" xfId="13086" xr:uid="{00000000-0005-0000-0000-0000CF410000}"/>
    <cellStyle name="40% - Accent4 2 2 4 2 4" xfId="21041" xr:uid="{00000000-0005-0000-0000-0000D0410000}"/>
    <cellStyle name="40% - Accent4 2 2 4 3" xfId="6894" xr:uid="{00000000-0005-0000-0000-0000D1410000}"/>
    <cellStyle name="40% - Accent4 2 2 4 3 2" xfId="14866" xr:uid="{00000000-0005-0000-0000-0000D2410000}"/>
    <cellStyle name="40% - Accent4 2 2 4 3 3" xfId="22813" xr:uid="{00000000-0005-0000-0000-0000D3410000}"/>
    <cellStyle name="40% - Accent4 2 2 4 4" xfId="11330" xr:uid="{00000000-0005-0000-0000-0000D4410000}"/>
    <cellStyle name="40% - Accent4 2 2 4 5" xfId="19285" xr:uid="{00000000-0005-0000-0000-0000D5410000}"/>
    <cellStyle name="40% - Accent4 2 2 4_Exh G" xfId="3103" xr:uid="{00000000-0005-0000-0000-0000D6410000}"/>
    <cellStyle name="40% - Accent4 2 2 5" xfId="4183" xr:uid="{00000000-0005-0000-0000-0000D7410000}"/>
    <cellStyle name="40% - Accent4 2 2 5 2" xfId="7775" xr:uid="{00000000-0005-0000-0000-0000D8410000}"/>
    <cellStyle name="40% - Accent4 2 2 5 2 2" xfId="15746" xr:uid="{00000000-0005-0000-0000-0000D9410000}"/>
    <cellStyle name="40% - Accent4 2 2 5 2 3" xfId="23692" xr:uid="{00000000-0005-0000-0000-0000DA410000}"/>
    <cellStyle name="40% - Accent4 2 2 5 3" xfId="12208" xr:uid="{00000000-0005-0000-0000-0000DB410000}"/>
    <cellStyle name="40% - Accent4 2 2 5 4" xfId="20163" xr:uid="{00000000-0005-0000-0000-0000DC410000}"/>
    <cellStyle name="40% - Accent4 2 2 6" xfId="6003" xr:uid="{00000000-0005-0000-0000-0000DD410000}"/>
    <cellStyle name="40% - Accent4 2 2 6 2" xfId="13987" xr:uid="{00000000-0005-0000-0000-0000DE410000}"/>
    <cellStyle name="40% - Accent4 2 2 6 3" xfId="21935" xr:uid="{00000000-0005-0000-0000-0000DF410000}"/>
    <cellStyle name="40% - Accent4 2 2 7" xfId="9556" xr:uid="{00000000-0005-0000-0000-0000E0410000}"/>
    <cellStyle name="40% - Accent4 2 2 7 2" xfId="17514" xr:uid="{00000000-0005-0000-0000-0000E1410000}"/>
    <cellStyle name="40% - Accent4 2 2 7 3" xfId="25458" xr:uid="{00000000-0005-0000-0000-0000E2410000}"/>
    <cellStyle name="40% - Accent4 2 2 8" xfId="10452" xr:uid="{00000000-0005-0000-0000-0000E3410000}"/>
    <cellStyle name="40% - Accent4 2 2 9" xfId="18407" xr:uid="{00000000-0005-0000-0000-0000E4410000}"/>
    <cellStyle name="40% - Accent4 2 2_Exh G" xfId="3098" xr:uid="{00000000-0005-0000-0000-0000E5410000}"/>
    <cellStyle name="40% - Accent4 2 3" xfId="506" xr:uid="{00000000-0005-0000-0000-0000E6410000}"/>
    <cellStyle name="40% - Accent4 2 3 2" xfId="1534" xr:uid="{00000000-0005-0000-0000-0000E7410000}"/>
    <cellStyle name="40% - Accent4 2 3 2 2" xfId="5064" xr:uid="{00000000-0005-0000-0000-0000E8410000}"/>
    <cellStyle name="40% - Accent4 2 3 2 2 2" xfId="8655" xr:uid="{00000000-0005-0000-0000-0000E9410000}"/>
    <cellStyle name="40% - Accent4 2 3 2 2 2 2" xfId="16626" xr:uid="{00000000-0005-0000-0000-0000EA410000}"/>
    <cellStyle name="40% - Accent4 2 3 2 2 2 3" xfId="24572" xr:uid="{00000000-0005-0000-0000-0000EB410000}"/>
    <cellStyle name="40% - Accent4 2 3 2 2 3" xfId="13088" xr:uid="{00000000-0005-0000-0000-0000EC410000}"/>
    <cellStyle name="40% - Accent4 2 3 2 2 4" xfId="21043" xr:uid="{00000000-0005-0000-0000-0000ED410000}"/>
    <cellStyle name="40% - Accent4 2 3 2 3" xfId="6896" xr:uid="{00000000-0005-0000-0000-0000EE410000}"/>
    <cellStyle name="40% - Accent4 2 3 2 3 2" xfId="14868" xr:uid="{00000000-0005-0000-0000-0000EF410000}"/>
    <cellStyle name="40% - Accent4 2 3 2 3 3" xfId="22815" xr:uid="{00000000-0005-0000-0000-0000F0410000}"/>
    <cellStyle name="40% - Accent4 2 3 2 4" xfId="11332" xr:uid="{00000000-0005-0000-0000-0000F1410000}"/>
    <cellStyle name="40% - Accent4 2 3 2 5" xfId="19287" xr:uid="{00000000-0005-0000-0000-0000F2410000}"/>
    <cellStyle name="40% - Accent4 2 3 2_Exh G" xfId="3105" xr:uid="{00000000-0005-0000-0000-0000F3410000}"/>
    <cellStyle name="40% - Accent4 2 3 3" xfId="4185" xr:uid="{00000000-0005-0000-0000-0000F4410000}"/>
    <cellStyle name="40% - Accent4 2 3 3 2" xfId="7777" xr:uid="{00000000-0005-0000-0000-0000F5410000}"/>
    <cellStyle name="40% - Accent4 2 3 3 2 2" xfId="15748" xr:uid="{00000000-0005-0000-0000-0000F6410000}"/>
    <cellStyle name="40% - Accent4 2 3 3 2 3" xfId="23694" xr:uid="{00000000-0005-0000-0000-0000F7410000}"/>
    <cellStyle name="40% - Accent4 2 3 3 3" xfId="12210" xr:uid="{00000000-0005-0000-0000-0000F8410000}"/>
    <cellStyle name="40% - Accent4 2 3 3 4" xfId="20165" xr:uid="{00000000-0005-0000-0000-0000F9410000}"/>
    <cellStyle name="40% - Accent4 2 3 4" xfId="6005" xr:uid="{00000000-0005-0000-0000-0000FA410000}"/>
    <cellStyle name="40% - Accent4 2 3 4 2" xfId="13989" xr:uid="{00000000-0005-0000-0000-0000FB410000}"/>
    <cellStyle name="40% - Accent4 2 3 4 3" xfId="21937" xr:uid="{00000000-0005-0000-0000-0000FC410000}"/>
    <cellStyle name="40% - Accent4 2 3 5" xfId="9558" xr:uid="{00000000-0005-0000-0000-0000FD410000}"/>
    <cellStyle name="40% - Accent4 2 3 5 2" xfId="17516" xr:uid="{00000000-0005-0000-0000-0000FE410000}"/>
    <cellStyle name="40% - Accent4 2 3 5 3" xfId="25460" xr:uid="{00000000-0005-0000-0000-0000FF410000}"/>
    <cellStyle name="40% - Accent4 2 3 6" xfId="10454" xr:uid="{00000000-0005-0000-0000-000000420000}"/>
    <cellStyle name="40% - Accent4 2 3 7" xfId="18409" xr:uid="{00000000-0005-0000-0000-000001420000}"/>
    <cellStyle name="40% - Accent4 2 3_Exh G" xfId="3104" xr:uid="{00000000-0005-0000-0000-000002420000}"/>
    <cellStyle name="40% - Accent4 2 4" xfId="971" xr:uid="{00000000-0005-0000-0000-000003420000}"/>
    <cellStyle name="40% - Accent4 2 4 2" xfId="1889" xr:uid="{00000000-0005-0000-0000-000004420000}"/>
    <cellStyle name="40% - Accent4 2 4 2 2" xfId="5407" xr:uid="{00000000-0005-0000-0000-000005420000}"/>
    <cellStyle name="40% - Accent4 2 4 2 2 2" xfId="8998" xr:uid="{00000000-0005-0000-0000-000006420000}"/>
    <cellStyle name="40% - Accent4 2 4 2 2 2 2" xfId="16969" xr:uid="{00000000-0005-0000-0000-000007420000}"/>
    <cellStyle name="40% - Accent4 2 4 2 2 2 3" xfId="24915" xr:uid="{00000000-0005-0000-0000-000008420000}"/>
    <cellStyle name="40% - Accent4 2 4 2 2 3" xfId="13431" xr:uid="{00000000-0005-0000-0000-000009420000}"/>
    <cellStyle name="40% - Accent4 2 4 2 2 4" xfId="21386" xr:uid="{00000000-0005-0000-0000-00000A420000}"/>
    <cellStyle name="40% - Accent4 2 4 2 3" xfId="7239" xr:uid="{00000000-0005-0000-0000-00000B420000}"/>
    <cellStyle name="40% - Accent4 2 4 2 3 2" xfId="15211" xr:uid="{00000000-0005-0000-0000-00000C420000}"/>
    <cellStyle name="40% - Accent4 2 4 2 3 3" xfId="23158" xr:uid="{00000000-0005-0000-0000-00000D420000}"/>
    <cellStyle name="40% - Accent4 2 4 2 4" xfId="11675" xr:uid="{00000000-0005-0000-0000-00000E420000}"/>
    <cellStyle name="40% - Accent4 2 4 2 5" xfId="19630" xr:uid="{00000000-0005-0000-0000-00000F420000}"/>
    <cellStyle name="40% - Accent4 2 4 2_Exh G" xfId="3107" xr:uid="{00000000-0005-0000-0000-000010420000}"/>
    <cellStyle name="40% - Accent4 2 4 3" xfId="4528" xr:uid="{00000000-0005-0000-0000-000011420000}"/>
    <cellStyle name="40% - Accent4 2 4 3 2" xfId="8120" xr:uid="{00000000-0005-0000-0000-000012420000}"/>
    <cellStyle name="40% - Accent4 2 4 3 2 2" xfId="16091" xr:uid="{00000000-0005-0000-0000-000013420000}"/>
    <cellStyle name="40% - Accent4 2 4 3 2 3" xfId="24037" xr:uid="{00000000-0005-0000-0000-000014420000}"/>
    <cellStyle name="40% - Accent4 2 4 3 3" xfId="12553" xr:uid="{00000000-0005-0000-0000-000015420000}"/>
    <cellStyle name="40% - Accent4 2 4 3 4" xfId="20508" xr:uid="{00000000-0005-0000-0000-000016420000}"/>
    <cellStyle name="40% - Accent4 2 4 4" xfId="6358" xr:uid="{00000000-0005-0000-0000-000017420000}"/>
    <cellStyle name="40% - Accent4 2 4 4 2" xfId="14333" xr:uid="{00000000-0005-0000-0000-000018420000}"/>
    <cellStyle name="40% - Accent4 2 4 4 3" xfId="22280" xr:uid="{00000000-0005-0000-0000-000019420000}"/>
    <cellStyle name="40% - Accent4 2 4 5" xfId="9901" xr:uid="{00000000-0005-0000-0000-00001A420000}"/>
    <cellStyle name="40% - Accent4 2 4 5 2" xfId="17859" xr:uid="{00000000-0005-0000-0000-00001B420000}"/>
    <cellStyle name="40% - Accent4 2 4 5 3" xfId="25803" xr:uid="{00000000-0005-0000-0000-00001C420000}"/>
    <cellStyle name="40% - Accent4 2 4 6" xfId="10797" xr:uid="{00000000-0005-0000-0000-00001D420000}"/>
    <cellStyle name="40% - Accent4 2 4 7" xfId="18752" xr:uid="{00000000-0005-0000-0000-00001E420000}"/>
    <cellStyle name="40% - Accent4 2 4_Exh G" xfId="3106" xr:uid="{00000000-0005-0000-0000-00001F420000}"/>
    <cellStyle name="40% - Accent4 2 5" xfId="1531" xr:uid="{00000000-0005-0000-0000-000020420000}"/>
    <cellStyle name="40% - Accent4 2 5 2" xfId="5061" xr:uid="{00000000-0005-0000-0000-000021420000}"/>
    <cellStyle name="40% - Accent4 2 5 2 2" xfId="8652" xr:uid="{00000000-0005-0000-0000-000022420000}"/>
    <cellStyle name="40% - Accent4 2 5 2 2 2" xfId="16623" xr:uid="{00000000-0005-0000-0000-000023420000}"/>
    <cellStyle name="40% - Accent4 2 5 2 2 3" xfId="24569" xr:uid="{00000000-0005-0000-0000-000024420000}"/>
    <cellStyle name="40% - Accent4 2 5 2 3" xfId="13085" xr:uid="{00000000-0005-0000-0000-000025420000}"/>
    <cellStyle name="40% - Accent4 2 5 2 4" xfId="21040" xr:uid="{00000000-0005-0000-0000-000026420000}"/>
    <cellStyle name="40% - Accent4 2 5 3" xfId="6893" xr:uid="{00000000-0005-0000-0000-000027420000}"/>
    <cellStyle name="40% - Accent4 2 5 3 2" xfId="14865" xr:uid="{00000000-0005-0000-0000-000028420000}"/>
    <cellStyle name="40% - Accent4 2 5 3 3" xfId="22812" xr:uid="{00000000-0005-0000-0000-000029420000}"/>
    <cellStyle name="40% - Accent4 2 5 4" xfId="11329" xr:uid="{00000000-0005-0000-0000-00002A420000}"/>
    <cellStyle name="40% - Accent4 2 5 5" xfId="19284" xr:uid="{00000000-0005-0000-0000-00002B420000}"/>
    <cellStyle name="40% - Accent4 2 5_Exh G" xfId="3108" xr:uid="{00000000-0005-0000-0000-00002C420000}"/>
    <cellStyle name="40% - Accent4 2 6" xfId="4182" xr:uid="{00000000-0005-0000-0000-00002D420000}"/>
    <cellStyle name="40% - Accent4 2 6 2" xfId="7774" xr:uid="{00000000-0005-0000-0000-00002E420000}"/>
    <cellStyle name="40% - Accent4 2 6 2 2" xfId="15745" xr:uid="{00000000-0005-0000-0000-00002F420000}"/>
    <cellStyle name="40% - Accent4 2 6 2 3" xfId="23691" xr:uid="{00000000-0005-0000-0000-000030420000}"/>
    <cellStyle name="40% - Accent4 2 6 3" xfId="12207" xr:uid="{00000000-0005-0000-0000-000031420000}"/>
    <cellStyle name="40% - Accent4 2 6 4" xfId="20162" xr:uid="{00000000-0005-0000-0000-000032420000}"/>
    <cellStyle name="40% - Accent4 2 7" xfId="6002" xr:uid="{00000000-0005-0000-0000-000033420000}"/>
    <cellStyle name="40% - Accent4 2 7 2" xfId="13986" xr:uid="{00000000-0005-0000-0000-000034420000}"/>
    <cellStyle name="40% - Accent4 2 7 3" xfId="21934" xr:uid="{00000000-0005-0000-0000-000035420000}"/>
    <cellStyle name="40% - Accent4 2 8" xfId="9555" xr:uid="{00000000-0005-0000-0000-000036420000}"/>
    <cellStyle name="40% - Accent4 2 8 2" xfId="17513" xr:uid="{00000000-0005-0000-0000-000037420000}"/>
    <cellStyle name="40% - Accent4 2 8 3" xfId="25457" xr:uid="{00000000-0005-0000-0000-000038420000}"/>
    <cellStyle name="40% - Accent4 2 9" xfId="10451" xr:uid="{00000000-0005-0000-0000-000039420000}"/>
    <cellStyle name="40% - Accent4 2_Exh G" xfId="3097" xr:uid="{00000000-0005-0000-0000-00003A420000}"/>
    <cellStyle name="40% - Accent4 3" xfId="507" xr:uid="{00000000-0005-0000-0000-00003B420000}"/>
    <cellStyle name="40% - Accent4 3 10" xfId="18410" xr:uid="{00000000-0005-0000-0000-00003C420000}"/>
    <cellStyle name="40% - Accent4 3 2" xfId="508" xr:uid="{00000000-0005-0000-0000-00003D420000}"/>
    <cellStyle name="40% - Accent4 3 2 2" xfId="509" xr:uid="{00000000-0005-0000-0000-00003E420000}"/>
    <cellStyle name="40% - Accent4 3 2 2 2" xfId="1537" xr:uid="{00000000-0005-0000-0000-00003F420000}"/>
    <cellStyle name="40% - Accent4 3 2 2 2 2" xfId="5067" xr:uid="{00000000-0005-0000-0000-000040420000}"/>
    <cellStyle name="40% - Accent4 3 2 2 2 2 2" xfId="8658" xr:uid="{00000000-0005-0000-0000-000041420000}"/>
    <cellStyle name="40% - Accent4 3 2 2 2 2 2 2" xfId="16629" xr:uid="{00000000-0005-0000-0000-000042420000}"/>
    <cellStyle name="40% - Accent4 3 2 2 2 2 2 3" xfId="24575" xr:uid="{00000000-0005-0000-0000-000043420000}"/>
    <cellStyle name="40% - Accent4 3 2 2 2 2 3" xfId="13091" xr:uid="{00000000-0005-0000-0000-000044420000}"/>
    <cellStyle name="40% - Accent4 3 2 2 2 2 4" xfId="21046" xr:uid="{00000000-0005-0000-0000-000045420000}"/>
    <cellStyle name="40% - Accent4 3 2 2 2 3" xfId="6899" xr:uid="{00000000-0005-0000-0000-000046420000}"/>
    <cellStyle name="40% - Accent4 3 2 2 2 3 2" xfId="14871" xr:uid="{00000000-0005-0000-0000-000047420000}"/>
    <cellStyle name="40% - Accent4 3 2 2 2 3 3" xfId="22818" xr:uid="{00000000-0005-0000-0000-000048420000}"/>
    <cellStyle name="40% - Accent4 3 2 2 2 4" xfId="11335" xr:uid="{00000000-0005-0000-0000-000049420000}"/>
    <cellStyle name="40% - Accent4 3 2 2 2 5" xfId="19290" xr:uid="{00000000-0005-0000-0000-00004A420000}"/>
    <cellStyle name="40% - Accent4 3 2 2 2_Exh G" xfId="3112" xr:uid="{00000000-0005-0000-0000-00004B420000}"/>
    <cellStyle name="40% - Accent4 3 2 2 3" xfId="4188" xr:uid="{00000000-0005-0000-0000-00004C420000}"/>
    <cellStyle name="40% - Accent4 3 2 2 3 2" xfId="7780" xr:uid="{00000000-0005-0000-0000-00004D420000}"/>
    <cellStyle name="40% - Accent4 3 2 2 3 2 2" xfId="15751" xr:uid="{00000000-0005-0000-0000-00004E420000}"/>
    <cellStyle name="40% - Accent4 3 2 2 3 2 3" xfId="23697" xr:uid="{00000000-0005-0000-0000-00004F420000}"/>
    <cellStyle name="40% - Accent4 3 2 2 3 3" xfId="12213" xr:uid="{00000000-0005-0000-0000-000050420000}"/>
    <cellStyle name="40% - Accent4 3 2 2 3 4" xfId="20168" xr:uid="{00000000-0005-0000-0000-000051420000}"/>
    <cellStyle name="40% - Accent4 3 2 2 4" xfId="6008" xr:uid="{00000000-0005-0000-0000-000052420000}"/>
    <cellStyle name="40% - Accent4 3 2 2 4 2" xfId="13992" xr:uid="{00000000-0005-0000-0000-000053420000}"/>
    <cellStyle name="40% - Accent4 3 2 2 4 3" xfId="21940" xr:uid="{00000000-0005-0000-0000-000054420000}"/>
    <cellStyle name="40% - Accent4 3 2 2 5" xfId="9561" xr:uid="{00000000-0005-0000-0000-000055420000}"/>
    <cellStyle name="40% - Accent4 3 2 2 5 2" xfId="17519" xr:uid="{00000000-0005-0000-0000-000056420000}"/>
    <cellStyle name="40% - Accent4 3 2 2 5 3" xfId="25463" xr:uid="{00000000-0005-0000-0000-000057420000}"/>
    <cellStyle name="40% - Accent4 3 2 2 6" xfId="10457" xr:uid="{00000000-0005-0000-0000-000058420000}"/>
    <cellStyle name="40% - Accent4 3 2 2 7" xfId="18412" xr:uid="{00000000-0005-0000-0000-000059420000}"/>
    <cellStyle name="40% - Accent4 3 2 2_Exh G" xfId="3111" xr:uid="{00000000-0005-0000-0000-00005A420000}"/>
    <cellStyle name="40% - Accent4 3 2 3" xfId="974" xr:uid="{00000000-0005-0000-0000-00005B420000}"/>
    <cellStyle name="40% - Accent4 3 2 3 2" xfId="1892" xr:uid="{00000000-0005-0000-0000-00005C420000}"/>
    <cellStyle name="40% - Accent4 3 2 3 2 2" xfId="5410" xr:uid="{00000000-0005-0000-0000-00005D420000}"/>
    <cellStyle name="40% - Accent4 3 2 3 2 2 2" xfId="9001" xr:uid="{00000000-0005-0000-0000-00005E420000}"/>
    <cellStyle name="40% - Accent4 3 2 3 2 2 2 2" xfId="16972" xr:uid="{00000000-0005-0000-0000-00005F420000}"/>
    <cellStyle name="40% - Accent4 3 2 3 2 2 2 3" xfId="24918" xr:uid="{00000000-0005-0000-0000-000060420000}"/>
    <cellStyle name="40% - Accent4 3 2 3 2 2 3" xfId="13434" xr:uid="{00000000-0005-0000-0000-000061420000}"/>
    <cellStyle name="40% - Accent4 3 2 3 2 2 4" xfId="21389" xr:uid="{00000000-0005-0000-0000-000062420000}"/>
    <cellStyle name="40% - Accent4 3 2 3 2 3" xfId="7242" xr:uid="{00000000-0005-0000-0000-000063420000}"/>
    <cellStyle name="40% - Accent4 3 2 3 2 3 2" xfId="15214" xr:uid="{00000000-0005-0000-0000-000064420000}"/>
    <cellStyle name="40% - Accent4 3 2 3 2 3 3" xfId="23161" xr:uid="{00000000-0005-0000-0000-000065420000}"/>
    <cellStyle name="40% - Accent4 3 2 3 2 4" xfId="11678" xr:uid="{00000000-0005-0000-0000-000066420000}"/>
    <cellStyle name="40% - Accent4 3 2 3 2 5" xfId="19633" xr:uid="{00000000-0005-0000-0000-000067420000}"/>
    <cellStyle name="40% - Accent4 3 2 3 2_Exh G" xfId="3114" xr:uid="{00000000-0005-0000-0000-000068420000}"/>
    <cellStyle name="40% - Accent4 3 2 3 3" xfId="4531" xr:uid="{00000000-0005-0000-0000-000069420000}"/>
    <cellStyle name="40% - Accent4 3 2 3 3 2" xfId="8123" xr:uid="{00000000-0005-0000-0000-00006A420000}"/>
    <cellStyle name="40% - Accent4 3 2 3 3 2 2" xfId="16094" xr:uid="{00000000-0005-0000-0000-00006B420000}"/>
    <cellStyle name="40% - Accent4 3 2 3 3 2 3" xfId="24040" xr:uid="{00000000-0005-0000-0000-00006C420000}"/>
    <cellStyle name="40% - Accent4 3 2 3 3 3" xfId="12556" xr:uid="{00000000-0005-0000-0000-00006D420000}"/>
    <cellStyle name="40% - Accent4 3 2 3 3 4" xfId="20511" xr:uid="{00000000-0005-0000-0000-00006E420000}"/>
    <cellStyle name="40% - Accent4 3 2 3 4" xfId="6361" xr:uid="{00000000-0005-0000-0000-00006F420000}"/>
    <cellStyle name="40% - Accent4 3 2 3 4 2" xfId="14336" xr:uid="{00000000-0005-0000-0000-000070420000}"/>
    <cellStyle name="40% - Accent4 3 2 3 4 3" xfId="22283" xr:uid="{00000000-0005-0000-0000-000071420000}"/>
    <cellStyle name="40% - Accent4 3 2 3 5" xfId="9904" xr:uid="{00000000-0005-0000-0000-000072420000}"/>
    <cellStyle name="40% - Accent4 3 2 3 5 2" xfId="17862" xr:uid="{00000000-0005-0000-0000-000073420000}"/>
    <cellStyle name="40% - Accent4 3 2 3 5 3" xfId="25806" xr:uid="{00000000-0005-0000-0000-000074420000}"/>
    <cellStyle name="40% - Accent4 3 2 3 6" xfId="10800" xr:uid="{00000000-0005-0000-0000-000075420000}"/>
    <cellStyle name="40% - Accent4 3 2 3 7" xfId="18755" xr:uid="{00000000-0005-0000-0000-000076420000}"/>
    <cellStyle name="40% - Accent4 3 2 3_Exh G" xfId="3113" xr:uid="{00000000-0005-0000-0000-000077420000}"/>
    <cellStyle name="40% - Accent4 3 2 4" xfId="1536" xr:uid="{00000000-0005-0000-0000-000078420000}"/>
    <cellStyle name="40% - Accent4 3 2 4 2" xfId="5066" xr:uid="{00000000-0005-0000-0000-000079420000}"/>
    <cellStyle name="40% - Accent4 3 2 4 2 2" xfId="8657" xr:uid="{00000000-0005-0000-0000-00007A420000}"/>
    <cellStyle name="40% - Accent4 3 2 4 2 2 2" xfId="16628" xr:uid="{00000000-0005-0000-0000-00007B420000}"/>
    <cellStyle name="40% - Accent4 3 2 4 2 2 3" xfId="24574" xr:uid="{00000000-0005-0000-0000-00007C420000}"/>
    <cellStyle name="40% - Accent4 3 2 4 2 3" xfId="13090" xr:uid="{00000000-0005-0000-0000-00007D420000}"/>
    <cellStyle name="40% - Accent4 3 2 4 2 4" xfId="21045" xr:uid="{00000000-0005-0000-0000-00007E420000}"/>
    <cellStyle name="40% - Accent4 3 2 4 3" xfId="6898" xr:uid="{00000000-0005-0000-0000-00007F420000}"/>
    <cellStyle name="40% - Accent4 3 2 4 3 2" xfId="14870" xr:uid="{00000000-0005-0000-0000-000080420000}"/>
    <cellStyle name="40% - Accent4 3 2 4 3 3" xfId="22817" xr:uid="{00000000-0005-0000-0000-000081420000}"/>
    <cellStyle name="40% - Accent4 3 2 4 4" xfId="11334" xr:uid="{00000000-0005-0000-0000-000082420000}"/>
    <cellStyle name="40% - Accent4 3 2 4 5" xfId="19289" xr:uid="{00000000-0005-0000-0000-000083420000}"/>
    <cellStyle name="40% - Accent4 3 2 4_Exh G" xfId="3115" xr:uid="{00000000-0005-0000-0000-000084420000}"/>
    <cellStyle name="40% - Accent4 3 2 5" xfId="4187" xr:uid="{00000000-0005-0000-0000-000085420000}"/>
    <cellStyle name="40% - Accent4 3 2 5 2" xfId="7779" xr:uid="{00000000-0005-0000-0000-000086420000}"/>
    <cellStyle name="40% - Accent4 3 2 5 2 2" xfId="15750" xr:uid="{00000000-0005-0000-0000-000087420000}"/>
    <cellStyle name="40% - Accent4 3 2 5 2 3" xfId="23696" xr:uid="{00000000-0005-0000-0000-000088420000}"/>
    <cellStyle name="40% - Accent4 3 2 5 3" xfId="12212" xr:uid="{00000000-0005-0000-0000-000089420000}"/>
    <cellStyle name="40% - Accent4 3 2 5 4" xfId="20167" xr:uid="{00000000-0005-0000-0000-00008A420000}"/>
    <cellStyle name="40% - Accent4 3 2 6" xfId="6007" xr:uid="{00000000-0005-0000-0000-00008B420000}"/>
    <cellStyle name="40% - Accent4 3 2 6 2" xfId="13991" xr:uid="{00000000-0005-0000-0000-00008C420000}"/>
    <cellStyle name="40% - Accent4 3 2 6 3" xfId="21939" xr:uid="{00000000-0005-0000-0000-00008D420000}"/>
    <cellStyle name="40% - Accent4 3 2 7" xfId="9560" xr:uid="{00000000-0005-0000-0000-00008E420000}"/>
    <cellStyle name="40% - Accent4 3 2 7 2" xfId="17518" xr:uid="{00000000-0005-0000-0000-00008F420000}"/>
    <cellStyle name="40% - Accent4 3 2 7 3" xfId="25462" xr:uid="{00000000-0005-0000-0000-000090420000}"/>
    <cellStyle name="40% - Accent4 3 2 8" xfId="10456" xr:uid="{00000000-0005-0000-0000-000091420000}"/>
    <cellStyle name="40% - Accent4 3 2 9" xfId="18411" xr:uid="{00000000-0005-0000-0000-000092420000}"/>
    <cellStyle name="40% - Accent4 3 2_Exh G" xfId="3110" xr:uid="{00000000-0005-0000-0000-000093420000}"/>
    <cellStyle name="40% - Accent4 3 3" xfId="510" xr:uid="{00000000-0005-0000-0000-000094420000}"/>
    <cellStyle name="40% - Accent4 3 3 2" xfId="1538" xr:uid="{00000000-0005-0000-0000-000095420000}"/>
    <cellStyle name="40% - Accent4 3 3 2 2" xfId="5068" xr:uid="{00000000-0005-0000-0000-000096420000}"/>
    <cellStyle name="40% - Accent4 3 3 2 2 2" xfId="8659" xr:uid="{00000000-0005-0000-0000-000097420000}"/>
    <cellStyle name="40% - Accent4 3 3 2 2 2 2" xfId="16630" xr:uid="{00000000-0005-0000-0000-000098420000}"/>
    <cellStyle name="40% - Accent4 3 3 2 2 2 3" xfId="24576" xr:uid="{00000000-0005-0000-0000-000099420000}"/>
    <cellStyle name="40% - Accent4 3 3 2 2 3" xfId="13092" xr:uid="{00000000-0005-0000-0000-00009A420000}"/>
    <cellStyle name="40% - Accent4 3 3 2 2 4" xfId="21047" xr:uid="{00000000-0005-0000-0000-00009B420000}"/>
    <cellStyle name="40% - Accent4 3 3 2 3" xfId="6900" xr:uid="{00000000-0005-0000-0000-00009C420000}"/>
    <cellStyle name="40% - Accent4 3 3 2 3 2" xfId="14872" xr:uid="{00000000-0005-0000-0000-00009D420000}"/>
    <cellStyle name="40% - Accent4 3 3 2 3 3" xfId="22819" xr:uid="{00000000-0005-0000-0000-00009E420000}"/>
    <cellStyle name="40% - Accent4 3 3 2 4" xfId="11336" xr:uid="{00000000-0005-0000-0000-00009F420000}"/>
    <cellStyle name="40% - Accent4 3 3 2 5" xfId="19291" xr:uid="{00000000-0005-0000-0000-0000A0420000}"/>
    <cellStyle name="40% - Accent4 3 3 2_Exh G" xfId="3117" xr:uid="{00000000-0005-0000-0000-0000A1420000}"/>
    <cellStyle name="40% - Accent4 3 3 3" xfId="4189" xr:uid="{00000000-0005-0000-0000-0000A2420000}"/>
    <cellStyle name="40% - Accent4 3 3 3 2" xfId="7781" xr:uid="{00000000-0005-0000-0000-0000A3420000}"/>
    <cellStyle name="40% - Accent4 3 3 3 2 2" xfId="15752" xr:uid="{00000000-0005-0000-0000-0000A4420000}"/>
    <cellStyle name="40% - Accent4 3 3 3 2 3" xfId="23698" xr:uid="{00000000-0005-0000-0000-0000A5420000}"/>
    <cellStyle name="40% - Accent4 3 3 3 3" xfId="12214" xr:uid="{00000000-0005-0000-0000-0000A6420000}"/>
    <cellStyle name="40% - Accent4 3 3 3 4" xfId="20169" xr:uid="{00000000-0005-0000-0000-0000A7420000}"/>
    <cellStyle name="40% - Accent4 3 3 4" xfId="6009" xr:uid="{00000000-0005-0000-0000-0000A8420000}"/>
    <cellStyle name="40% - Accent4 3 3 4 2" xfId="13993" xr:uid="{00000000-0005-0000-0000-0000A9420000}"/>
    <cellStyle name="40% - Accent4 3 3 4 3" xfId="21941" xr:uid="{00000000-0005-0000-0000-0000AA420000}"/>
    <cellStyle name="40% - Accent4 3 3 5" xfId="9562" xr:uid="{00000000-0005-0000-0000-0000AB420000}"/>
    <cellStyle name="40% - Accent4 3 3 5 2" xfId="17520" xr:uid="{00000000-0005-0000-0000-0000AC420000}"/>
    <cellStyle name="40% - Accent4 3 3 5 3" xfId="25464" xr:uid="{00000000-0005-0000-0000-0000AD420000}"/>
    <cellStyle name="40% - Accent4 3 3 6" xfId="10458" xr:uid="{00000000-0005-0000-0000-0000AE420000}"/>
    <cellStyle name="40% - Accent4 3 3 7" xfId="18413" xr:uid="{00000000-0005-0000-0000-0000AF420000}"/>
    <cellStyle name="40% - Accent4 3 3_Exh G" xfId="3116" xr:uid="{00000000-0005-0000-0000-0000B0420000}"/>
    <cellStyle name="40% - Accent4 3 4" xfId="973" xr:uid="{00000000-0005-0000-0000-0000B1420000}"/>
    <cellStyle name="40% - Accent4 3 4 2" xfId="1891" xr:uid="{00000000-0005-0000-0000-0000B2420000}"/>
    <cellStyle name="40% - Accent4 3 4 2 2" xfId="5409" xr:uid="{00000000-0005-0000-0000-0000B3420000}"/>
    <cellStyle name="40% - Accent4 3 4 2 2 2" xfId="9000" xr:uid="{00000000-0005-0000-0000-0000B4420000}"/>
    <cellStyle name="40% - Accent4 3 4 2 2 2 2" xfId="16971" xr:uid="{00000000-0005-0000-0000-0000B5420000}"/>
    <cellStyle name="40% - Accent4 3 4 2 2 2 3" xfId="24917" xr:uid="{00000000-0005-0000-0000-0000B6420000}"/>
    <cellStyle name="40% - Accent4 3 4 2 2 3" xfId="13433" xr:uid="{00000000-0005-0000-0000-0000B7420000}"/>
    <cellStyle name="40% - Accent4 3 4 2 2 4" xfId="21388" xr:uid="{00000000-0005-0000-0000-0000B8420000}"/>
    <cellStyle name="40% - Accent4 3 4 2 3" xfId="7241" xr:uid="{00000000-0005-0000-0000-0000B9420000}"/>
    <cellStyle name="40% - Accent4 3 4 2 3 2" xfId="15213" xr:uid="{00000000-0005-0000-0000-0000BA420000}"/>
    <cellStyle name="40% - Accent4 3 4 2 3 3" xfId="23160" xr:uid="{00000000-0005-0000-0000-0000BB420000}"/>
    <cellStyle name="40% - Accent4 3 4 2 4" xfId="11677" xr:uid="{00000000-0005-0000-0000-0000BC420000}"/>
    <cellStyle name="40% - Accent4 3 4 2 5" xfId="19632" xr:uid="{00000000-0005-0000-0000-0000BD420000}"/>
    <cellStyle name="40% - Accent4 3 4 2_Exh G" xfId="3119" xr:uid="{00000000-0005-0000-0000-0000BE420000}"/>
    <cellStyle name="40% - Accent4 3 4 3" xfId="4530" xr:uid="{00000000-0005-0000-0000-0000BF420000}"/>
    <cellStyle name="40% - Accent4 3 4 3 2" xfId="8122" xr:uid="{00000000-0005-0000-0000-0000C0420000}"/>
    <cellStyle name="40% - Accent4 3 4 3 2 2" xfId="16093" xr:uid="{00000000-0005-0000-0000-0000C1420000}"/>
    <cellStyle name="40% - Accent4 3 4 3 2 3" xfId="24039" xr:uid="{00000000-0005-0000-0000-0000C2420000}"/>
    <cellStyle name="40% - Accent4 3 4 3 3" xfId="12555" xr:uid="{00000000-0005-0000-0000-0000C3420000}"/>
    <cellStyle name="40% - Accent4 3 4 3 4" xfId="20510" xr:uid="{00000000-0005-0000-0000-0000C4420000}"/>
    <cellStyle name="40% - Accent4 3 4 4" xfId="6360" xr:uid="{00000000-0005-0000-0000-0000C5420000}"/>
    <cellStyle name="40% - Accent4 3 4 4 2" xfId="14335" xr:uid="{00000000-0005-0000-0000-0000C6420000}"/>
    <cellStyle name="40% - Accent4 3 4 4 3" xfId="22282" xr:uid="{00000000-0005-0000-0000-0000C7420000}"/>
    <cellStyle name="40% - Accent4 3 4 5" xfId="9903" xr:uid="{00000000-0005-0000-0000-0000C8420000}"/>
    <cellStyle name="40% - Accent4 3 4 5 2" xfId="17861" xr:uid="{00000000-0005-0000-0000-0000C9420000}"/>
    <cellStyle name="40% - Accent4 3 4 5 3" xfId="25805" xr:uid="{00000000-0005-0000-0000-0000CA420000}"/>
    <cellStyle name="40% - Accent4 3 4 6" xfId="10799" xr:uid="{00000000-0005-0000-0000-0000CB420000}"/>
    <cellStyle name="40% - Accent4 3 4 7" xfId="18754" xr:uid="{00000000-0005-0000-0000-0000CC420000}"/>
    <cellStyle name="40% - Accent4 3 4_Exh G" xfId="3118" xr:uid="{00000000-0005-0000-0000-0000CD420000}"/>
    <cellStyle name="40% - Accent4 3 5" xfId="1535" xr:uid="{00000000-0005-0000-0000-0000CE420000}"/>
    <cellStyle name="40% - Accent4 3 5 2" xfId="5065" xr:uid="{00000000-0005-0000-0000-0000CF420000}"/>
    <cellStyle name="40% - Accent4 3 5 2 2" xfId="8656" xr:uid="{00000000-0005-0000-0000-0000D0420000}"/>
    <cellStyle name="40% - Accent4 3 5 2 2 2" xfId="16627" xr:uid="{00000000-0005-0000-0000-0000D1420000}"/>
    <cellStyle name="40% - Accent4 3 5 2 2 3" xfId="24573" xr:uid="{00000000-0005-0000-0000-0000D2420000}"/>
    <cellStyle name="40% - Accent4 3 5 2 3" xfId="13089" xr:uid="{00000000-0005-0000-0000-0000D3420000}"/>
    <cellStyle name="40% - Accent4 3 5 2 4" xfId="21044" xr:uid="{00000000-0005-0000-0000-0000D4420000}"/>
    <cellStyle name="40% - Accent4 3 5 3" xfId="6897" xr:uid="{00000000-0005-0000-0000-0000D5420000}"/>
    <cellStyle name="40% - Accent4 3 5 3 2" xfId="14869" xr:uid="{00000000-0005-0000-0000-0000D6420000}"/>
    <cellStyle name="40% - Accent4 3 5 3 3" xfId="22816" xr:uid="{00000000-0005-0000-0000-0000D7420000}"/>
    <cellStyle name="40% - Accent4 3 5 4" xfId="11333" xr:uid="{00000000-0005-0000-0000-0000D8420000}"/>
    <cellStyle name="40% - Accent4 3 5 5" xfId="19288" xr:uid="{00000000-0005-0000-0000-0000D9420000}"/>
    <cellStyle name="40% - Accent4 3 5_Exh G" xfId="3120" xr:uid="{00000000-0005-0000-0000-0000DA420000}"/>
    <cellStyle name="40% - Accent4 3 6" xfId="4186" xr:uid="{00000000-0005-0000-0000-0000DB420000}"/>
    <cellStyle name="40% - Accent4 3 6 2" xfId="7778" xr:uid="{00000000-0005-0000-0000-0000DC420000}"/>
    <cellStyle name="40% - Accent4 3 6 2 2" xfId="15749" xr:uid="{00000000-0005-0000-0000-0000DD420000}"/>
    <cellStyle name="40% - Accent4 3 6 2 3" xfId="23695" xr:uid="{00000000-0005-0000-0000-0000DE420000}"/>
    <cellStyle name="40% - Accent4 3 6 3" xfId="12211" xr:uid="{00000000-0005-0000-0000-0000DF420000}"/>
    <cellStyle name="40% - Accent4 3 6 4" xfId="20166" xr:uid="{00000000-0005-0000-0000-0000E0420000}"/>
    <cellStyle name="40% - Accent4 3 7" xfId="6006" xr:uid="{00000000-0005-0000-0000-0000E1420000}"/>
    <cellStyle name="40% - Accent4 3 7 2" xfId="13990" xr:uid="{00000000-0005-0000-0000-0000E2420000}"/>
    <cellStyle name="40% - Accent4 3 7 3" xfId="21938" xr:uid="{00000000-0005-0000-0000-0000E3420000}"/>
    <cellStyle name="40% - Accent4 3 8" xfId="9559" xr:uid="{00000000-0005-0000-0000-0000E4420000}"/>
    <cellStyle name="40% - Accent4 3 8 2" xfId="17517" xr:uid="{00000000-0005-0000-0000-0000E5420000}"/>
    <cellStyle name="40% - Accent4 3 8 3" xfId="25461" xr:uid="{00000000-0005-0000-0000-0000E6420000}"/>
    <cellStyle name="40% - Accent4 3 9" xfId="10455" xr:uid="{00000000-0005-0000-0000-0000E7420000}"/>
    <cellStyle name="40% - Accent4 3_Exh G" xfId="3109" xr:uid="{00000000-0005-0000-0000-0000E8420000}"/>
    <cellStyle name="40% - Accent4 4" xfId="511" xr:uid="{00000000-0005-0000-0000-0000E9420000}"/>
    <cellStyle name="40% - Accent4 4 10" xfId="18414" xr:uid="{00000000-0005-0000-0000-0000EA420000}"/>
    <cellStyle name="40% - Accent4 4 2" xfId="512" xr:uid="{00000000-0005-0000-0000-0000EB420000}"/>
    <cellStyle name="40% - Accent4 4 2 2" xfId="513" xr:uid="{00000000-0005-0000-0000-0000EC420000}"/>
    <cellStyle name="40% - Accent4 4 2 2 2" xfId="1541" xr:uid="{00000000-0005-0000-0000-0000ED420000}"/>
    <cellStyle name="40% - Accent4 4 2 2 2 2" xfId="5071" xr:uid="{00000000-0005-0000-0000-0000EE420000}"/>
    <cellStyle name="40% - Accent4 4 2 2 2 2 2" xfId="8662" xr:uid="{00000000-0005-0000-0000-0000EF420000}"/>
    <cellStyle name="40% - Accent4 4 2 2 2 2 2 2" xfId="16633" xr:uid="{00000000-0005-0000-0000-0000F0420000}"/>
    <cellStyle name="40% - Accent4 4 2 2 2 2 2 3" xfId="24579" xr:uid="{00000000-0005-0000-0000-0000F1420000}"/>
    <cellStyle name="40% - Accent4 4 2 2 2 2 3" xfId="13095" xr:uid="{00000000-0005-0000-0000-0000F2420000}"/>
    <cellStyle name="40% - Accent4 4 2 2 2 2 4" xfId="21050" xr:uid="{00000000-0005-0000-0000-0000F3420000}"/>
    <cellStyle name="40% - Accent4 4 2 2 2 3" xfId="6903" xr:uid="{00000000-0005-0000-0000-0000F4420000}"/>
    <cellStyle name="40% - Accent4 4 2 2 2 3 2" xfId="14875" xr:uid="{00000000-0005-0000-0000-0000F5420000}"/>
    <cellStyle name="40% - Accent4 4 2 2 2 3 3" xfId="22822" xr:uid="{00000000-0005-0000-0000-0000F6420000}"/>
    <cellStyle name="40% - Accent4 4 2 2 2 4" xfId="11339" xr:uid="{00000000-0005-0000-0000-0000F7420000}"/>
    <cellStyle name="40% - Accent4 4 2 2 2 5" xfId="19294" xr:uid="{00000000-0005-0000-0000-0000F8420000}"/>
    <cellStyle name="40% - Accent4 4 2 2 2_Exh G" xfId="3124" xr:uid="{00000000-0005-0000-0000-0000F9420000}"/>
    <cellStyle name="40% - Accent4 4 2 2 3" xfId="4192" xr:uid="{00000000-0005-0000-0000-0000FA420000}"/>
    <cellStyle name="40% - Accent4 4 2 2 3 2" xfId="7784" xr:uid="{00000000-0005-0000-0000-0000FB420000}"/>
    <cellStyle name="40% - Accent4 4 2 2 3 2 2" xfId="15755" xr:uid="{00000000-0005-0000-0000-0000FC420000}"/>
    <cellStyle name="40% - Accent4 4 2 2 3 2 3" xfId="23701" xr:uid="{00000000-0005-0000-0000-0000FD420000}"/>
    <cellStyle name="40% - Accent4 4 2 2 3 3" xfId="12217" xr:uid="{00000000-0005-0000-0000-0000FE420000}"/>
    <cellStyle name="40% - Accent4 4 2 2 3 4" xfId="20172" xr:uid="{00000000-0005-0000-0000-0000FF420000}"/>
    <cellStyle name="40% - Accent4 4 2 2 4" xfId="6012" xr:uid="{00000000-0005-0000-0000-000000430000}"/>
    <cellStyle name="40% - Accent4 4 2 2 4 2" xfId="13996" xr:uid="{00000000-0005-0000-0000-000001430000}"/>
    <cellStyle name="40% - Accent4 4 2 2 4 3" xfId="21944" xr:uid="{00000000-0005-0000-0000-000002430000}"/>
    <cellStyle name="40% - Accent4 4 2 2 5" xfId="9565" xr:uid="{00000000-0005-0000-0000-000003430000}"/>
    <cellStyle name="40% - Accent4 4 2 2 5 2" xfId="17523" xr:uid="{00000000-0005-0000-0000-000004430000}"/>
    <cellStyle name="40% - Accent4 4 2 2 5 3" xfId="25467" xr:uid="{00000000-0005-0000-0000-000005430000}"/>
    <cellStyle name="40% - Accent4 4 2 2 6" xfId="10461" xr:uid="{00000000-0005-0000-0000-000006430000}"/>
    <cellStyle name="40% - Accent4 4 2 2 7" xfId="18416" xr:uid="{00000000-0005-0000-0000-000007430000}"/>
    <cellStyle name="40% - Accent4 4 2 2_Exh G" xfId="3123" xr:uid="{00000000-0005-0000-0000-000008430000}"/>
    <cellStyle name="40% - Accent4 4 2 3" xfId="976" xr:uid="{00000000-0005-0000-0000-000009430000}"/>
    <cellStyle name="40% - Accent4 4 2 3 2" xfId="1894" xr:uid="{00000000-0005-0000-0000-00000A430000}"/>
    <cellStyle name="40% - Accent4 4 2 3 2 2" xfId="5412" xr:uid="{00000000-0005-0000-0000-00000B430000}"/>
    <cellStyle name="40% - Accent4 4 2 3 2 2 2" xfId="9003" xr:uid="{00000000-0005-0000-0000-00000C430000}"/>
    <cellStyle name="40% - Accent4 4 2 3 2 2 2 2" xfId="16974" xr:uid="{00000000-0005-0000-0000-00000D430000}"/>
    <cellStyle name="40% - Accent4 4 2 3 2 2 2 3" xfId="24920" xr:uid="{00000000-0005-0000-0000-00000E430000}"/>
    <cellStyle name="40% - Accent4 4 2 3 2 2 3" xfId="13436" xr:uid="{00000000-0005-0000-0000-00000F430000}"/>
    <cellStyle name="40% - Accent4 4 2 3 2 2 4" xfId="21391" xr:uid="{00000000-0005-0000-0000-000010430000}"/>
    <cellStyle name="40% - Accent4 4 2 3 2 3" xfId="7244" xr:uid="{00000000-0005-0000-0000-000011430000}"/>
    <cellStyle name="40% - Accent4 4 2 3 2 3 2" xfId="15216" xr:uid="{00000000-0005-0000-0000-000012430000}"/>
    <cellStyle name="40% - Accent4 4 2 3 2 3 3" xfId="23163" xr:uid="{00000000-0005-0000-0000-000013430000}"/>
    <cellStyle name="40% - Accent4 4 2 3 2 4" xfId="11680" xr:uid="{00000000-0005-0000-0000-000014430000}"/>
    <cellStyle name="40% - Accent4 4 2 3 2 5" xfId="19635" xr:uid="{00000000-0005-0000-0000-000015430000}"/>
    <cellStyle name="40% - Accent4 4 2 3 2_Exh G" xfId="3126" xr:uid="{00000000-0005-0000-0000-000016430000}"/>
    <cellStyle name="40% - Accent4 4 2 3 3" xfId="4533" xr:uid="{00000000-0005-0000-0000-000017430000}"/>
    <cellStyle name="40% - Accent4 4 2 3 3 2" xfId="8125" xr:uid="{00000000-0005-0000-0000-000018430000}"/>
    <cellStyle name="40% - Accent4 4 2 3 3 2 2" xfId="16096" xr:uid="{00000000-0005-0000-0000-000019430000}"/>
    <cellStyle name="40% - Accent4 4 2 3 3 2 3" xfId="24042" xr:uid="{00000000-0005-0000-0000-00001A430000}"/>
    <cellStyle name="40% - Accent4 4 2 3 3 3" xfId="12558" xr:uid="{00000000-0005-0000-0000-00001B430000}"/>
    <cellStyle name="40% - Accent4 4 2 3 3 4" xfId="20513" xr:uid="{00000000-0005-0000-0000-00001C430000}"/>
    <cellStyle name="40% - Accent4 4 2 3 4" xfId="6363" xr:uid="{00000000-0005-0000-0000-00001D430000}"/>
    <cellStyle name="40% - Accent4 4 2 3 4 2" xfId="14338" xr:uid="{00000000-0005-0000-0000-00001E430000}"/>
    <cellStyle name="40% - Accent4 4 2 3 4 3" xfId="22285" xr:uid="{00000000-0005-0000-0000-00001F430000}"/>
    <cellStyle name="40% - Accent4 4 2 3 5" xfId="9906" xr:uid="{00000000-0005-0000-0000-000020430000}"/>
    <cellStyle name="40% - Accent4 4 2 3 5 2" xfId="17864" xr:uid="{00000000-0005-0000-0000-000021430000}"/>
    <cellStyle name="40% - Accent4 4 2 3 5 3" xfId="25808" xr:uid="{00000000-0005-0000-0000-000022430000}"/>
    <cellStyle name="40% - Accent4 4 2 3 6" xfId="10802" xr:uid="{00000000-0005-0000-0000-000023430000}"/>
    <cellStyle name="40% - Accent4 4 2 3 7" xfId="18757" xr:uid="{00000000-0005-0000-0000-000024430000}"/>
    <cellStyle name="40% - Accent4 4 2 3_Exh G" xfId="3125" xr:uid="{00000000-0005-0000-0000-000025430000}"/>
    <cellStyle name="40% - Accent4 4 2 4" xfId="1540" xr:uid="{00000000-0005-0000-0000-000026430000}"/>
    <cellStyle name="40% - Accent4 4 2 4 2" xfId="5070" xr:uid="{00000000-0005-0000-0000-000027430000}"/>
    <cellStyle name="40% - Accent4 4 2 4 2 2" xfId="8661" xr:uid="{00000000-0005-0000-0000-000028430000}"/>
    <cellStyle name="40% - Accent4 4 2 4 2 2 2" xfId="16632" xr:uid="{00000000-0005-0000-0000-000029430000}"/>
    <cellStyle name="40% - Accent4 4 2 4 2 2 3" xfId="24578" xr:uid="{00000000-0005-0000-0000-00002A430000}"/>
    <cellStyle name="40% - Accent4 4 2 4 2 3" xfId="13094" xr:uid="{00000000-0005-0000-0000-00002B430000}"/>
    <cellStyle name="40% - Accent4 4 2 4 2 4" xfId="21049" xr:uid="{00000000-0005-0000-0000-00002C430000}"/>
    <cellStyle name="40% - Accent4 4 2 4 3" xfId="6902" xr:uid="{00000000-0005-0000-0000-00002D430000}"/>
    <cellStyle name="40% - Accent4 4 2 4 3 2" xfId="14874" xr:uid="{00000000-0005-0000-0000-00002E430000}"/>
    <cellStyle name="40% - Accent4 4 2 4 3 3" xfId="22821" xr:uid="{00000000-0005-0000-0000-00002F430000}"/>
    <cellStyle name="40% - Accent4 4 2 4 4" xfId="11338" xr:uid="{00000000-0005-0000-0000-000030430000}"/>
    <cellStyle name="40% - Accent4 4 2 4 5" xfId="19293" xr:uid="{00000000-0005-0000-0000-000031430000}"/>
    <cellStyle name="40% - Accent4 4 2 4_Exh G" xfId="3127" xr:uid="{00000000-0005-0000-0000-000032430000}"/>
    <cellStyle name="40% - Accent4 4 2 5" xfId="4191" xr:uid="{00000000-0005-0000-0000-000033430000}"/>
    <cellStyle name="40% - Accent4 4 2 5 2" xfId="7783" xr:uid="{00000000-0005-0000-0000-000034430000}"/>
    <cellStyle name="40% - Accent4 4 2 5 2 2" xfId="15754" xr:uid="{00000000-0005-0000-0000-000035430000}"/>
    <cellStyle name="40% - Accent4 4 2 5 2 3" xfId="23700" xr:uid="{00000000-0005-0000-0000-000036430000}"/>
    <cellStyle name="40% - Accent4 4 2 5 3" xfId="12216" xr:uid="{00000000-0005-0000-0000-000037430000}"/>
    <cellStyle name="40% - Accent4 4 2 5 4" xfId="20171" xr:uid="{00000000-0005-0000-0000-000038430000}"/>
    <cellStyle name="40% - Accent4 4 2 6" xfId="6011" xr:uid="{00000000-0005-0000-0000-000039430000}"/>
    <cellStyle name="40% - Accent4 4 2 6 2" xfId="13995" xr:uid="{00000000-0005-0000-0000-00003A430000}"/>
    <cellStyle name="40% - Accent4 4 2 6 3" xfId="21943" xr:uid="{00000000-0005-0000-0000-00003B430000}"/>
    <cellStyle name="40% - Accent4 4 2 7" xfId="9564" xr:uid="{00000000-0005-0000-0000-00003C430000}"/>
    <cellStyle name="40% - Accent4 4 2 7 2" xfId="17522" xr:uid="{00000000-0005-0000-0000-00003D430000}"/>
    <cellStyle name="40% - Accent4 4 2 7 3" xfId="25466" xr:uid="{00000000-0005-0000-0000-00003E430000}"/>
    <cellStyle name="40% - Accent4 4 2 8" xfId="10460" xr:uid="{00000000-0005-0000-0000-00003F430000}"/>
    <cellStyle name="40% - Accent4 4 2 9" xfId="18415" xr:uid="{00000000-0005-0000-0000-000040430000}"/>
    <cellStyle name="40% - Accent4 4 2_Exh G" xfId="3122" xr:uid="{00000000-0005-0000-0000-000041430000}"/>
    <cellStyle name="40% - Accent4 4 3" xfId="514" xr:uid="{00000000-0005-0000-0000-000042430000}"/>
    <cellStyle name="40% - Accent4 4 3 2" xfId="1542" xr:uid="{00000000-0005-0000-0000-000043430000}"/>
    <cellStyle name="40% - Accent4 4 3 2 2" xfId="5072" xr:uid="{00000000-0005-0000-0000-000044430000}"/>
    <cellStyle name="40% - Accent4 4 3 2 2 2" xfId="8663" xr:uid="{00000000-0005-0000-0000-000045430000}"/>
    <cellStyle name="40% - Accent4 4 3 2 2 2 2" xfId="16634" xr:uid="{00000000-0005-0000-0000-000046430000}"/>
    <cellStyle name="40% - Accent4 4 3 2 2 2 3" xfId="24580" xr:uid="{00000000-0005-0000-0000-000047430000}"/>
    <cellStyle name="40% - Accent4 4 3 2 2 3" xfId="13096" xr:uid="{00000000-0005-0000-0000-000048430000}"/>
    <cellStyle name="40% - Accent4 4 3 2 2 4" xfId="21051" xr:uid="{00000000-0005-0000-0000-000049430000}"/>
    <cellStyle name="40% - Accent4 4 3 2 3" xfId="6904" xr:uid="{00000000-0005-0000-0000-00004A430000}"/>
    <cellStyle name="40% - Accent4 4 3 2 3 2" xfId="14876" xr:uid="{00000000-0005-0000-0000-00004B430000}"/>
    <cellStyle name="40% - Accent4 4 3 2 3 3" xfId="22823" xr:uid="{00000000-0005-0000-0000-00004C430000}"/>
    <cellStyle name="40% - Accent4 4 3 2 4" xfId="11340" xr:uid="{00000000-0005-0000-0000-00004D430000}"/>
    <cellStyle name="40% - Accent4 4 3 2 5" xfId="19295" xr:uid="{00000000-0005-0000-0000-00004E430000}"/>
    <cellStyle name="40% - Accent4 4 3 2_Exh G" xfId="3129" xr:uid="{00000000-0005-0000-0000-00004F430000}"/>
    <cellStyle name="40% - Accent4 4 3 3" xfId="4193" xr:uid="{00000000-0005-0000-0000-000050430000}"/>
    <cellStyle name="40% - Accent4 4 3 3 2" xfId="7785" xr:uid="{00000000-0005-0000-0000-000051430000}"/>
    <cellStyle name="40% - Accent4 4 3 3 2 2" xfId="15756" xr:uid="{00000000-0005-0000-0000-000052430000}"/>
    <cellStyle name="40% - Accent4 4 3 3 2 3" xfId="23702" xr:uid="{00000000-0005-0000-0000-000053430000}"/>
    <cellStyle name="40% - Accent4 4 3 3 3" xfId="12218" xr:uid="{00000000-0005-0000-0000-000054430000}"/>
    <cellStyle name="40% - Accent4 4 3 3 4" xfId="20173" xr:uid="{00000000-0005-0000-0000-000055430000}"/>
    <cellStyle name="40% - Accent4 4 3 4" xfId="6013" xr:uid="{00000000-0005-0000-0000-000056430000}"/>
    <cellStyle name="40% - Accent4 4 3 4 2" xfId="13997" xr:uid="{00000000-0005-0000-0000-000057430000}"/>
    <cellStyle name="40% - Accent4 4 3 4 3" xfId="21945" xr:uid="{00000000-0005-0000-0000-000058430000}"/>
    <cellStyle name="40% - Accent4 4 3 5" xfId="9566" xr:uid="{00000000-0005-0000-0000-000059430000}"/>
    <cellStyle name="40% - Accent4 4 3 5 2" xfId="17524" xr:uid="{00000000-0005-0000-0000-00005A430000}"/>
    <cellStyle name="40% - Accent4 4 3 5 3" xfId="25468" xr:uid="{00000000-0005-0000-0000-00005B430000}"/>
    <cellStyle name="40% - Accent4 4 3 6" xfId="10462" xr:uid="{00000000-0005-0000-0000-00005C430000}"/>
    <cellStyle name="40% - Accent4 4 3 7" xfId="18417" xr:uid="{00000000-0005-0000-0000-00005D430000}"/>
    <cellStyle name="40% - Accent4 4 3_Exh G" xfId="3128" xr:uid="{00000000-0005-0000-0000-00005E430000}"/>
    <cellStyle name="40% - Accent4 4 4" xfId="975" xr:uid="{00000000-0005-0000-0000-00005F430000}"/>
    <cellStyle name="40% - Accent4 4 4 2" xfId="1893" xr:uid="{00000000-0005-0000-0000-000060430000}"/>
    <cellStyle name="40% - Accent4 4 4 2 2" xfId="5411" xr:uid="{00000000-0005-0000-0000-000061430000}"/>
    <cellStyle name="40% - Accent4 4 4 2 2 2" xfId="9002" xr:uid="{00000000-0005-0000-0000-000062430000}"/>
    <cellStyle name="40% - Accent4 4 4 2 2 2 2" xfId="16973" xr:uid="{00000000-0005-0000-0000-000063430000}"/>
    <cellStyle name="40% - Accent4 4 4 2 2 2 3" xfId="24919" xr:uid="{00000000-0005-0000-0000-000064430000}"/>
    <cellStyle name="40% - Accent4 4 4 2 2 3" xfId="13435" xr:uid="{00000000-0005-0000-0000-000065430000}"/>
    <cellStyle name="40% - Accent4 4 4 2 2 4" xfId="21390" xr:uid="{00000000-0005-0000-0000-000066430000}"/>
    <cellStyle name="40% - Accent4 4 4 2 3" xfId="7243" xr:uid="{00000000-0005-0000-0000-000067430000}"/>
    <cellStyle name="40% - Accent4 4 4 2 3 2" xfId="15215" xr:uid="{00000000-0005-0000-0000-000068430000}"/>
    <cellStyle name="40% - Accent4 4 4 2 3 3" xfId="23162" xr:uid="{00000000-0005-0000-0000-000069430000}"/>
    <cellStyle name="40% - Accent4 4 4 2 4" xfId="11679" xr:uid="{00000000-0005-0000-0000-00006A430000}"/>
    <cellStyle name="40% - Accent4 4 4 2 5" xfId="19634" xr:uid="{00000000-0005-0000-0000-00006B430000}"/>
    <cellStyle name="40% - Accent4 4 4 2_Exh G" xfId="3131" xr:uid="{00000000-0005-0000-0000-00006C430000}"/>
    <cellStyle name="40% - Accent4 4 4 3" xfId="4532" xr:uid="{00000000-0005-0000-0000-00006D430000}"/>
    <cellStyle name="40% - Accent4 4 4 3 2" xfId="8124" xr:uid="{00000000-0005-0000-0000-00006E430000}"/>
    <cellStyle name="40% - Accent4 4 4 3 2 2" xfId="16095" xr:uid="{00000000-0005-0000-0000-00006F430000}"/>
    <cellStyle name="40% - Accent4 4 4 3 2 3" xfId="24041" xr:uid="{00000000-0005-0000-0000-000070430000}"/>
    <cellStyle name="40% - Accent4 4 4 3 3" xfId="12557" xr:uid="{00000000-0005-0000-0000-000071430000}"/>
    <cellStyle name="40% - Accent4 4 4 3 4" xfId="20512" xr:uid="{00000000-0005-0000-0000-000072430000}"/>
    <cellStyle name="40% - Accent4 4 4 4" xfId="6362" xr:uid="{00000000-0005-0000-0000-000073430000}"/>
    <cellStyle name="40% - Accent4 4 4 4 2" xfId="14337" xr:uid="{00000000-0005-0000-0000-000074430000}"/>
    <cellStyle name="40% - Accent4 4 4 4 3" xfId="22284" xr:uid="{00000000-0005-0000-0000-000075430000}"/>
    <cellStyle name="40% - Accent4 4 4 5" xfId="9905" xr:uid="{00000000-0005-0000-0000-000076430000}"/>
    <cellStyle name="40% - Accent4 4 4 5 2" xfId="17863" xr:uid="{00000000-0005-0000-0000-000077430000}"/>
    <cellStyle name="40% - Accent4 4 4 5 3" xfId="25807" xr:uid="{00000000-0005-0000-0000-000078430000}"/>
    <cellStyle name="40% - Accent4 4 4 6" xfId="10801" xr:uid="{00000000-0005-0000-0000-000079430000}"/>
    <cellStyle name="40% - Accent4 4 4 7" xfId="18756" xr:uid="{00000000-0005-0000-0000-00007A430000}"/>
    <cellStyle name="40% - Accent4 4 4_Exh G" xfId="3130" xr:uid="{00000000-0005-0000-0000-00007B430000}"/>
    <cellStyle name="40% - Accent4 4 5" xfId="1539" xr:uid="{00000000-0005-0000-0000-00007C430000}"/>
    <cellStyle name="40% - Accent4 4 5 2" xfId="5069" xr:uid="{00000000-0005-0000-0000-00007D430000}"/>
    <cellStyle name="40% - Accent4 4 5 2 2" xfId="8660" xr:uid="{00000000-0005-0000-0000-00007E430000}"/>
    <cellStyle name="40% - Accent4 4 5 2 2 2" xfId="16631" xr:uid="{00000000-0005-0000-0000-00007F430000}"/>
    <cellStyle name="40% - Accent4 4 5 2 2 3" xfId="24577" xr:uid="{00000000-0005-0000-0000-000080430000}"/>
    <cellStyle name="40% - Accent4 4 5 2 3" xfId="13093" xr:uid="{00000000-0005-0000-0000-000081430000}"/>
    <cellStyle name="40% - Accent4 4 5 2 4" xfId="21048" xr:uid="{00000000-0005-0000-0000-000082430000}"/>
    <cellStyle name="40% - Accent4 4 5 3" xfId="6901" xr:uid="{00000000-0005-0000-0000-000083430000}"/>
    <cellStyle name="40% - Accent4 4 5 3 2" xfId="14873" xr:uid="{00000000-0005-0000-0000-000084430000}"/>
    <cellStyle name="40% - Accent4 4 5 3 3" xfId="22820" xr:uid="{00000000-0005-0000-0000-000085430000}"/>
    <cellStyle name="40% - Accent4 4 5 4" xfId="11337" xr:uid="{00000000-0005-0000-0000-000086430000}"/>
    <cellStyle name="40% - Accent4 4 5 5" xfId="19292" xr:uid="{00000000-0005-0000-0000-000087430000}"/>
    <cellStyle name="40% - Accent4 4 5_Exh G" xfId="3132" xr:uid="{00000000-0005-0000-0000-000088430000}"/>
    <cellStyle name="40% - Accent4 4 6" xfId="4190" xr:uid="{00000000-0005-0000-0000-000089430000}"/>
    <cellStyle name="40% - Accent4 4 6 2" xfId="7782" xr:uid="{00000000-0005-0000-0000-00008A430000}"/>
    <cellStyle name="40% - Accent4 4 6 2 2" xfId="15753" xr:uid="{00000000-0005-0000-0000-00008B430000}"/>
    <cellStyle name="40% - Accent4 4 6 2 3" xfId="23699" xr:uid="{00000000-0005-0000-0000-00008C430000}"/>
    <cellStyle name="40% - Accent4 4 6 3" xfId="12215" xr:uid="{00000000-0005-0000-0000-00008D430000}"/>
    <cellStyle name="40% - Accent4 4 6 4" xfId="20170" xr:uid="{00000000-0005-0000-0000-00008E430000}"/>
    <cellStyle name="40% - Accent4 4 7" xfId="6010" xr:uid="{00000000-0005-0000-0000-00008F430000}"/>
    <cellStyle name="40% - Accent4 4 7 2" xfId="13994" xr:uid="{00000000-0005-0000-0000-000090430000}"/>
    <cellStyle name="40% - Accent4 4 7 3" xfId="21942" xr:uid="{00000000-0005-0000-0000-000091430000}"/>
    <cellStyle name="40% - Accent4 4 8" xfId="9563" xr:uid="{00000000-0005-0000-0000-000092430000}"/>
    <cellStyle name="40% - Accent4 4 8 2" xfId="17521" xr:uid="{00000000-0005-0000-0000-000093430000}"/>
    <cellStyle name="40% - Accent4 4 8 3" xfId="25465" xr:uid="{00000000-0005-0000-0000-000094430000}"/>
    <cellStyle name="40% - Accent4 4 9" xfId="10459" xr:uid="{00000000-0005-0000-0000-000095430000}"/>
    <cellStyle name="40% - Accent4 4_Exh G" xfId="3121" xr:uid="{00000000-0005-0000-0000-000096430000}"/>
    <cellStyle name="40% - Accent4 5" xfId="515" xr:uid="{00000000-0005-0000-0000-000097430000}"/>
    <cellStyle name="40% - Accent4 5 10" xfId="18418" xr:uid="{00000000-0005-0000-0000-000098430000}"/>
    <cellStyle name="40% - Accent4 5 2" xfId="516" xr:uid="{00000000-0005-0000-0000-000099430000}"/>
    <cellStyle name="40% - Accent4 5 2 2" xfId="517" xr:uid="{00000000-0005-0000-0000-00009A430000}"/>
    <cellStyle name="40% - Accent4 5 2 2 2" xfId="1545" xr:uid="{00000000-0005-0000-0000-00009B430000}"/>
    <cellStyle name="40% - Accent4 5 2 2 2 2" xfId="5075" xr:uid="{00000000-0005-0000-0000-00009C430000}"/>
    <cellStyle name="40% - Accent4 5 2 2 2 2 2" xfId="8666" xr:uid="{00000000-0005-0000-0000-00009D430000}"/>
    <cellStyle name="40% - Accent4 5 2 2 2 2 2 2" xfId="16637" xr:uid="{00000000-0005-0000-0000-00009E430000}"/>
    <cellStyle name="40% - Accent4 5 2 2 2 2 2 3" xfId="24583" xr:uid="{00000000-0005-0000-0000-00009F430000}"/>
    <cellStyle name="40% - Accent4 5 2 2 2 2 3" xfId="13099" xr:uid="{00000000-0005-0000-0000-0000A0430000}"/>
    <cellStyle name="40% - Accent4 5 2 2 2 2 4" xfId="21054" xr:uid="{00000000-0005-0000-0000-0000A1430000}"/>
    <cellStyle name="40% - Accent4 5 2 2 2 3" xfId="6907" xr:uid="{00000000-0005-0000-0000-0000A2430000}"/>
    <cellStyle name="40% - Accent4 5 2 2 2 3 2" xfId="14879" xr:uid="{00000000-0005-0000-0000-0000A3430000}"/>
    <cellStyle name="40% - Accent4 5 2 2 2 3 3" xfId="22826" xr:uid="{00000000-0005-0000-0000-0000A4430000}"/>
    <cellStyle name="40% - Accent4 5 2 2 2 4" xfId="11343" xr:uid="{00000000-0005-0000-0000-0000A5430000}"/>
    <cellStyle name="40% - Accent4 5 2 2 2 5" xfId="19298" xr:uid="{00000000-0005-0000-0000-0000A6430000}"/>
    <cellStyle name="40% - Accent4 5 2 2 2_Exh G" xfId="3136" xr:uid="{00000000-0005-0000-0000-0000A7430000}"/>
    <cellStyle name="40% - Accent4 5 2 2 3" xfId="4196" xr:uid="{00000000-0005-0000-0000-0000A8430000}"/>
    <cellStyle name="40% - Accent4 5 2 2 3 2" xfId="7788" xr:uid="{00000000-0005-0000-0000-0000A9430000}"/>
    <cellStyle name="40% - Accent4 5 2 2 3 2 2" xfId="15759" xr:uid="{00000000-0005-0000-0000-0000AA430000}"/>
    <cellStyle name="40% - Accent4 5 2 2 3 2 3" xfId="23705" xr:uid="{00000000-0005-0000-0000-0000AB430000}"/>
    <cellStyle name="40% - Accent4 5 2 2 3 3" xfId="12221" xr:uid="{00000000-0005-0000-0000-0000AC430000}"/>
    <cellStyle name="40% - Accent4 5 2 2 3 4" xfId="20176" xr:uid="{00000000-0005-0000-0000-0000AD430000}"/>
    <cellStyle name="40% - Accent4 5 2 2 4" xfId="6016" xr:uid="{00000000-0005-0000-0000-0000AE430000}"/>
    <cellStyle name="40% - Accent4 5 2 2 4 2" xfId="14000" xr:uid="{00000000-0005-0000-0000-0000AF430000}"/>
    <cellStyle name="40% - Accent4 5 2 2 4 3" xfId="21948" xr:uid="{00000000-0005-0000-0000-0000B0430000}"/>
    <cellStyle name="40% - Accent4 5 2 2 5" xfId="9569" xr:uid="{00000000-0005-0000-0000-0000B1430000}"/>
    <cellStyle name="40% - Accent4 5 2 2 5 2" xfId="17527" xr:uid="{00000000-0005-0000-0000-0000B2430000}"/>
    <cellStyle name="40% - Accent4 5 2 2 5 3" xfId="25471" xr:uid="{00000000-0005-0000-0000-0000B3430000}"/>
    <cellStyle name="40% - Accent4 5 2 2 6" xfId="10465" xr:uid="{00000000-0005-0000-0000-0000B4430000}"/>
    <cellStyle name="40% - Accent4 5 2 2 7" xfId="18420" xr:uid="{00000000-0005-0000-0000-0000B5430000}"/>
    <cellStyle name="40% - Accent4 5 2 2_Exh G" xfId="3135" xr:uid="{00000000-0005-0000-0000-0000B6430000}"/>
    <cellStyle name="40% - Accent4 5 2 3" xfId="1544" xr:uid="{00000000-0005-0000-0000-0000B7430000}"/>
    <cellStyle name="40% - Accent4 5 2 3 2" xfId="5074" xr:uid="{00000000-0005-0000-0000-0000B8430000}"/>
    <cellStyle name="40% - Accent4 5 2 3 2 2" xfId="8665" xr:uid="{00000000-0005-0000-0000-0000B9430000}"/>
    <cellStyle name="40% - Accent4 5 2 3 2 2 2" xfId="16636" xr:uid="{00000000-0005-0000-0000-0000BA430000}"/>
    <cellStyle name="40% - Accent4 5 2 3 2 2 3" xfId="24582" xr:uid="{00000000-0005-0000-0000-0000BB430000}"/>
    <cellStyle name="40% - Accent4 5 2 3 2 3" xfId="13098" xr:uid="{00000000-0005-0000-0000-0000BC430000}"/>
    <cellStyle name="40% - Accent4 5 2 3 2 4" xfId="21053" xr:uid="{00000000-0005-0000-0000-0000BD430000}"/>
    <cellStyle name="40% - Accent4 5 2 3 3" xfId="6906" xr:uid="{00000000-0005-0000-0000-0000BE430000}"/>
    <cellStyle name="40% - Accent4 5 2 3 3 2" xfId="14878" xr:uid="{00000000-0005-0000-0000-0000BF430000}"/>
    <cellStyle name="40% - Accent4 5 2 3 3 3" xfId="22825" xr:uid="{00000000-0005-0000-0000-0000C0430000}"/>
    <cellStyle name="40% - Accent4 5 2 3 4" xfId="11342" xr:uid="{00000000-0005-0000-0000-0000C1430000}"/>
    <cellStyle name="40% - Accent4 5 2 3 5" xfId="19297" xr:uid="{00000000-0005-0000-0000-0000C2430000}"/>
    <cellStyle name="40% - Accent4 5 2 3_Exh G" xfId="3137" xr:uid="{00000000-0005-0000-0000-0000C3430000}"/>
    <cellStyle name="40% - Accent4 5 2 4" xfId="4195" xr:uid="{00000000-0005-0000-0000-0000C4430000}"/>
    <cellStyle name="40% - Accent4 5 2 4 2" xfId="7787" xr:uid="{00000000-0005-0000-0000-0000C5430000}"/>
    <cellStyle name="40% - Accent4 5 2 4 2 2" xfId="15758" xr:uid="{00000000-0005-0000-0000-0000C6430000}"/>
    <cellStyle name="40% - Accent4 5 2 4 2 3" xfId="23704" xr:uid="{00000000-0005-0000-0000-0000C7430000}"/>
    <cellStyle name="40% - Accent4 5 2 4 3" xfId="12220" xr:uid="{00000000-0005-0000-0000-0000C8430000}"/>
    <cellStyle name="40% - Accent4 5 2 4 4" xfId="20175" xr:uid="{00000000-0005-0000-0000-0000C9430000}"/>
    <cellStyle name="40% - Accent4 5 2 5" xfId="6015" xr:uid="{00000000-0005-0000-0000-0000CA430000}"/>
    <cellStyle name="40% - Accent4 5 2 5 2" xfId="13999" xr:uid="{00000000-0005-0000-0000-0000CB430000}"/>
    <cellStyle name="40% - Accent4 5 2 5 3" xfId="21947" xr:uid="{00000000-0005-0000-0000-0000CC430000}"/>
    <cellStyle name="40% - Accent4 5 2 6" xfId="9568" xr:uid="{00000000-0005-0000-0000-0000CD430000}"/>
    <cellStyle name="40% - Accent4 5 2 6 2" xfId="17526" xr:uid="{00000000-0005-0000-0000-0000CE430000}"/>
    <cellStyle name="40% - Accent4 5 2 6 3" xfId="25470" xr:uid="{00000000-0005-0000-0000-0000CF430000}"/>
    <cellStyle name="40% - Accent4 5 2 7" xfId="10464" xr:uid="{00000000-0005-0000-0000-0000D0430000}"/>
    <cellStyle name="40% - Accent4 5 2 8" xfId="18419" xr:uid="{00000000-0005-0000-0000-0000D1430000}"/>
    <cellStyle name="40% - Accent4 5 2_Exh G" xfId="3134" xr:uid="{00000000-0005-0000-0000-0000D2430000}"/>
    <cellStyle name="40% - Accent4 5 3" xfId="518" xr:uid="{00000000-0005-0000-0000-0000D3430000}"/>
    <cellStyle name="40% - Accent4 5 3 2" xfId="1546" xr:uid="{00000000-0005-0000-0000-0000D4430000}"/>
    <cellStyle name="40% - Accent4 5 3 2 2" xfId="5076" xr:uid="{00000000-0005-0000-0000-0000D5430000}"/>
    <cellStyle name="40% - Accent4 5 3 2 2 2" xfId="8667" xr:uid="{00000000-0005-0000-0000-0000D6430000}"/>
    <cellStyle name="40% - Accent4 5 3 2 2 2 2" xfId="16638" xr:uid="{00000000-0005-0000-0000-0000D7430000}"/>
    <cellStyle name="40% - Accent4 5 3 2 2 2 3" xfId="24584" xr:uid="{00000000-0005-0000-0000-0000D8430000}"/>
    <cellStyle name="40% - Accent4 5 3 2 2 3" xfId="13100" xr:uid="{00000000-0005-0000-0000-0000D9430000}"/>
    <cellStyle name="40% - Accent4 5 3 2 2 4" xfId="21055" xr:uid="{00000000-0005-0000-0000-0000DA430000}"/>
    <cellStyle name="40% - Accent4 5 3 2 3" xfId="6908" xr:uid="{00000000-0005-0000-0000-0000DB430000}"/>
    <cellStyle name="40% - Accent4 5 3 2 3 2" xfId="14880" xr:uid="{00000000-0005-0000-0000-0000DC430000}"/>
    <cellStyle name="40% - Accent4 5 3 2 3 3" xfId="22827" xr:uid="{00000000-0005-0000-0000-0000DD430000}"/>
    <cellStyle name="40% - Accent4 5 3 2 4" xfId="11344" xr:uid="{00000000-0005-0000-0000-0000DE430000}"/>
    <cellStyle name="40% - Accent4 5 3 2 5" xfId="19299" xr:uid="{00000000-0005-0000-0000-0000DF430000}"/>
    <cellStyle name="40% - Accent4 5 3 2_Exh G" xfId="3139" xr:uid="{00000000-0005-0000-0000-0000E0430000}"/>
    <cellStyle name="40% - Accent4 5 3 3" xfId="4197" xr:uid="{00000000-0005-0000-0000-0000E1430000}"/>
    <cellStyle name="40% - Accent4 5 3 3 2" xfId="7789" xr:uid="{00000000-0005-0000-0000-0000E2430000}"/>
    <cellStyle name="40% - Accent4 5 3 3 2 2" xfId="15760" xr:uid="{00000000-0005-0000-0000-0000E3430000}"/>
    <cellStyle name="40% - Accent4 5 3 3 2 3" xfId="23706" xr:uid="{00000000-0005-0000-0000-0000E4430000}"/>
    <cellStyle name="40% - Accent4 5 3 3 3" xfId="12222" xr:uid="{00000000-0005-0000-0000-0000E5430000}"/>
    <cellStyle name="40% - Accent4 5 3 3 4" xfId="20177" xr:uid="{00000000-0005-0000-0000-0000E6430000}"/>
    <cellStyle name="40% - Accent4 5 3 4" xfId="6017" xr:uid="{00000000-0005-0000-0000-0000E7430000}"/>
    <cellStyle name="40% - Accent4 5 3 4 2" xfId="14001" xr:uid="{00000000-0005-0000-0000-0000E8430000}"/>
    <cellStyle name="40% - Accent4 5 3 4 3" xfId="21949" xr:uid="{00000000-0005-0000-0000-0000E9430000}"/>
    <cellStyle name="40% - Accent4 5 3 5" xfId="9570" xr:uid="{00000000-0005-0000-0000-0000EA430000}"/>
    <cellStyle name="40% - Accent4 5 3 5 2" xfId="17528" xr:uid="{00000000-0005-0000-0000-0000EB430000}"/>
    <cellStyle name="40% - Accent4 5 3 5 3" xfId="25472" xr:uid="{00000000-0005-0000-0000-0000EC430000}"/>
    <cellStyle name="40% - Accent4 5 3 6" xfId="10466" xr:uid="{00000000-0005-0000-0000-0000ED430000}"/>
    <cellStyle name="40% - Accent4 5 3 7" xfId="18421" xr:uid="{00000000-0005-0000-0000-0000EE430000}"/>
    <cellStyle name="40% - Accent4 5 3_Exh G" xfId="3138" xr:uid="{00000000-0005-0000-0000-0000EF430000}"/>
    <cellStyle name="40% - Accent4 5 4" xfId="977" xr:uid="{00000000-0005-0000-0000-0000F0430000}"/>
    <cellStyle name="40% - Accent4 5 5" xfId="1543" xr:uid="{00000000-0005-0000-0000-0000F1430000}"/>
    <cellStyle name="40% - Accent4 5 5 2" xfId="5073" xr:uid="{00000000-0005-0000-0000-0000F2430000}"/>
    <cellStyle name="40% - Accent4 5 5 2 2" xfId="8664" xr:uid="{00000000-0005-0000-0000-0000F3430000}"/>
    <cellStyle name="40% - Accent4 5 5 2 2 2" xfId="16635" xr:uid="{00000000-0005-0000-0000-0000F4430000}"/>
    <cellStyle name="40% - Accent4 5 5 2 2 3" xfId="24581" xr:uid="{00000000-0005-0000-0000-0000F5430000}"/>
    <cellStyle name="40% - Accent4 5 5 2 3" xfId="13097" xr:uid="{00000000-0005-0000-0000-0000F6430000}"/>
    <cellStyle name="40% - Accent4 5 5 2 4" xfId="21052" xr:uid="{00000000-0005-0000-0000-0000F7430000}"/>
    <cellStyle name="40% - Accent4 5 5 3" xfId="6905" xr:uid="{00000000-0005-0000-0000-0000F8430000}"/>
    <cellStyle name="40% - Accent4 5 5 3 2" xfId="14877" xr:uid="{00000000-0005-0000-0000-0000F9430000}"/>
    <cellStyle name="40% - Accent4 5 5 3 3" xfId="22824" xr:uid="{00000000-0005-0000-0000-0000FA430000}"/>
    <cellStyle name="40% - Accent4 5 5 4" xfId="11341" xr:uid="{00000000-0005-0000-0000-0000FB430000}"/>
    <cellStyle name="40% - Accent4 5 5 5" xfId="19296" xr:uid="{00000000-0005-0000-0000-0000FC430000}"/>
    <cellStyle name="40% - Accent4 5 5_Exh G" xfId="3140" xr:uid="{00000000-0005-0000-0000-0000FD430000}"/>
    <cellStyle name="40% - Accent4 5 6" xfId="4194" xr:uid="{00000000-0005-0000-0000-0000FE430000}"/>
    <cellStyle name="40% - Accent4 5 6 2" xfId="7786" xr:uid="{00000000-0005-0000-0000-0000FF430000}"/>
    <cellStyle name="40% - Accent4 5 6 2 2" xfId="15757" xr:uid="{00000000-0005-0000-0000-000000440000}"/>
    <cellStyle name="40% - Accent4 5 6 2 3" xfId="23703" xr:uid="{00000000-0005-0000-0000-000001440000}"/>
    <cellStyle name="40% - Accent4 5 6 3" xfId="12219" xr:uid="{00000000-0005-0000-0000-000002440000}"/>
    <cellStyle name="40% - Accent4 5 6 4" xfId="20174" xr:uid="{00000000-0005-0000-0000-000003440000}"/>
    <cellStyle name="40% - Accent4 5 7" xfId="6014" xr:uid="{00000000-0005-0000-0000-000004440000}"/>
    <cellStyle name="40% - Accent4 5 7 2" xfId="13998" xr:uid="{00000000-0005-0000-0000-000005440000}"/>
    <cellStyle name="40% - Accent4 5 7 3" xfId="21946" xr:uid="{00000000-0005-0000-0000-000006440000}"/>
    <cellStyle name="40% - Accent4 5 8" xfId="9567" xr:uid="{00000000-0005-0000-0000-000007440000}"/>
    <cellStyle name="40% - Accent4 5 8 2" xfId="17525" xr:uid="{00000000-0005-0000-0000-000008440000}"/>
    <cellStyle name="40% - Accent4 5 8 3" xfId="25469" xr:uid="{00000000-0005-0000-0000-000009440000}"/>
    <cellStyle name="40% - Accent4 5 9" xfId="10463" xr:uid="{00000000-0005-0000-0000-00000A440000}"/>
    <cellStyle name="40% - Accent4 5_Exh G" xfId="3133" xr:uid="{00000000-0005-0000-0000-00000B440000}"/>
    <cellStyle name="40% - Accent4 6" xfId="519" xr:uid="{00000000-0005-0000-0000-00000C440000}"/>
    <cellStyle name="40% - Accent4 6 10" xfId="18422" xr:uid="{00000000-0005-0000-0000-00000D440000}"/>
    <cellStyle name="40% - Accent4 6 2" xfId="520" xr:uid="{00000000-0005-0000-0000-00000E440000}"/>
    <cellStyle name="40% - Accent4 6 2 2" xfId="521" xr:uid="{00000000-0005-0000-0000-00000F440000}"/>
    <cellStyle name="40% - Accent4 6 2 2 2" xfId="1549" xr:uid="{00000000-0005-0000-0000-000010440000}"/>
    <cellStyle name="40% - Accent4 6 2 2 2 2" xfId="5079" xr:uid="{00000000-0005-0000-0000-000011440000}"/>
    <cellStyle name="40% - Accent4 6 2 2 2 2 2" xfId="8670" xr:uid="{00000000-0005-0000-0000-000012440000}"/>
    <cellStyle name="40% - Accent4 6 2 2 2 2 2 2" xfId="16641" xr:uid="{00000000-0005-0000-0000-000013440000}"/>
    <cellStyle name="40% - Accent4 6 2 2 2 2 2 3" xfId="24587" xr:uid="{00000000-0005-0000-0000-000014440000}"/>
    <cellStyle name="40% - Accent4 6 2 2 2 2 3" xfId="13103" xr:uid="{00000000-0005-0000-0000-000015440000}"/>
    <cellStyle name="40% - Accent4 6 2 2 2 2 4" xfId="21058" xr:uid="{00000000-0005-0000-0000-000016440000}"/>
    <cellStyle name="40% - Accent4 6 2 2 2 3" xfId="6911" xr:uid="{00000000-0005-0000-0000-000017440000}"/>
    <cellStyle name="40% - Accent4 6 2 2 2 3 2" xfId="14883" xr:uid="{00000000-0005-0000-0000-000018440000}"/>
    <cellStyle name="40% - Accent4 6 2 2 2 3 3" xfId="22830" xr:uid="{00000000-0005-0000-0000-000019440000}"/>
    <cellStyle name="40% - Accent4 6 2 2 2 4" xfId="11347" xr:uid="{00000000-0005-0000-0000-00001A440000}"/>
    <cellStyle name="40% - Accent4 6 2 2 2 5" xfId="19302" xr:uid="{00000000-0005-0000-0000-00001B440000}"/>
    <cellStyle name="40% - Accent4 6 2 2 2_Exh G" xfId="3144" xr:uid="{00000000-0005-0000-0000-00001C440000}"/>
    <cellStyle name="40% - Accent4 6 2 2 3" xfId="4200" xr:uid="{00000000-0005-0000-0000-00001D440000}"/>
    <cellStyle name="40% - Accent4 6 2 2 3 2" xfId="7792" xr:uid="{00000000-0005-0000-0000-00001E440000}"/>
    <cellStyle name="40% - Accent4 6 2 2 3 2 2" xfId="15763" xr:uid="{00000000-0005-0000-0000-00001F440000}"/>
    <cellStyle name="40% - Accent4 6 2 2 3 2 3" xfId="23709" xr:uid="{00000000-0005-0000-0000-000020440000}"/>
    <cellStyle name="40% - Accent4 6 2 2 3 3" xfId="12225" xr:uid="{00000000-0005-0000-0000-000021440000}"/>
    <cellStyle name="40% - Accent4 6 2 2 3 4" xfId="20180" xr:uid="{00000000-0005-0000-0000-000022440000}"/>
    <cellStyle name="40% - Accent4 6 2 2 4" xfId="6020" xr:uid="{00000000-0005-0000-0000-000023440000}"/>
    <cellStyle name="40% - Accent4 6 2 2 4 2" xfId="14004" xr:uid="{00000000-0005-0000-0000-000024440000}"/>
    <cellStyle name="40% - Accent4 6 2 2 4 3" xfId="21952" xr:uid="{00000000-0005-0000-0000-000025440000}"/>
    <cellStyle name="40% - Accent4 6 2 2 5" xfId="9573" xr:uid="{00000000-0005-0000-0000-000026440000}"/>
    <cellStyle name="40% - Accent4 6 2 2 5 2" xfId="17531" xr:uid="{00000000-0005-0000-0000-000027440000}"/>
    <cellStyle name="40% - Accent4 6 2 2 5 3" xfId="25475" xr:uid="{00000000-0005-0000-0000-000028440000}"/>
    <cellStyle name="40% - Accent4 6 2 2 6" xfId="10469" xr:uid="{00000000-0005-0000-0000-000029440000}"/>
    <cellStyle name="40% - Accent4 6 2 2 7" xfId="18424" xr:uid="{00000000-0005-0000-0000-00002A440000}"/>
    <cellStyle name="40% - Accent4 6 2 2_Exh G" xfId="3143" xr:uid="{00000000-0005-0000-0000-00002B440000}"/>
    <cellStyle name="40% - Accent4 6 2 3" xfId="1548" xr:uid="{00000000-0005-0000-0000-00002C440000}"/>
    <cellStyle name="40% - Accent4 6 2 3 2" xfId="5078" xr:uid="{00000000-0005-0000-0000-00002D440000}"/>
    <cellStyle name="40% - Accent4 6 2 3 2 2" xfId="8669" xr:uid="{00000000-0005-0000-0000-00002E440000}"/>
    <cellStyle name="40% - Accent4 6 2 3 2 2 2" xfId="16640" xr:uid="{00000000-0005-0000-0000-00002F440000}"/>
    <cellStyle name="40% - Accent4 6 2 3 2 2 3" xfId="24586" xr:uid="{00000000-0005-0000-0000-000030440000}"/>
    <cellStyle name="40% - Accent4 6 2 3 2 3" xfId="13102" xr:uid="{00000000-0005-0000-0000-000031440000}"/>
    <cellStyle name="40% - Accent4 6 2 3 2 4" xfId="21057" xr:uid="{00000000-0005-0000-0000-000032440000}"/>
    <cellStyle name="40% - Accent4 6 2 3 3" xfId="6910" xr:uid="{00000000-0005-0000-0000-000033440000}"/>
    <cellStyle name="40% - Accent4 6 2 3 3 2" xfId="14882" xr:uid="{00000000-0005-0000-0000-000034440000}"/>
    <cellStyle name="40% - Accent4 6 2 3 3 3" xfId="22829" xr:uid="{00000000-0005-0000-0000-000035440000}"/>
    <cellStyle name="40% - Accent4 6 2 3 4" xfId="11346" xr:uid="{00000000-0005-0000-0000-000036440000}"/>
    <cellStyle name="40% - Accent4 6 2 3 5" xfId="19301" xr:uid="{00000000-0005-0000-0000-000037440000}"/>
    <cellStyle name="40% - Accent4 6 2 3_Exh G" xfId="3145" xr:uid="{00000000-0005-0000-0000-000038440000}"/>
    <cellStyle name="40% - Accent4 6 2 4" xfId="4199" xr:uid="{00000000-0005-0000-0000-000039440000}"/>
    <cellStyle name="40% - Accent4 6 2 4 2" xfId="7791" xr:uid="{00000000-0005-0000-0000-00003A440000}"/>
    <cellStyle name="40% - Accent4 6 2 4 2 2" xfId="15762" xr:uid="{00000000-0005-0000-0000-00003B440000}"/>
    <cellStyle name="40% - Accent4 6 2 4 2 3" xfId="23708" xr:uid="{00000000-0005-0000-0000-00003C440000}"/>
    <cellStyle name="40% - Accent4 6 2 4 3" xfId="12224" xr:uid="{00000000-0005-0000-0000-00003D440000}"/>
    <cellStyle name="40% - Accent4 6 2 4 4" xfId="20179" xr:uid="{00000000-0005-0000-0000-00003E440000}"/>
    <cellStyle name="40% - Accent4 6 2 5" xfId="6019" xr:uid="{00000000-0005-0000-0000-00003F440000}"/>
    <cellStyle name="40% - Accent4 6 2 5 2" xfId="14003" xr:uid="{00000000-0005-0000-0000-000040440000}"/>
    <cellStyle name="40% - Accent4 6 2 5 3" xfId="21951" xr:uid="{00000000-0005-0000-0000-000041440000}"/>
    <cellStyle name="40% - Accent4 6 2 6" xfId="9572" xr:uid="{00000000-0005-0000-0000-000042440000}"/>
    <cellStyle name="40% - Accent4 6 2 6 2" xfId="17530" xr:uid="{00000000-0005-0000-0000-000043440000}"/>
    <cellStyle name="40% - Accent4 6 2 6 3" xfId="25474" xr:uid="{00000000-0005-0000-0000-000044440000}"/>
    <cellStyle name="40% - Accent4 6 2 7" xfId="10468" xr:uid="{00000000-0005-0000-0000-000045440000}"/>
    <cellStyle name="40% - Accent4 6 2 8" xfId="18423" xr:uid="{00000000-0005-0000-0000-000046440000}"/>
    <cellStyle name="40% - Accent4 6 2_Exh G" xfId="3142" xr:uid="{00000000-0005-0000-0000-000047440000}"/>
    <cellStyle name="40% - Accent4 6 3" xfId="522" xr:uid="{00000000-0005-0000-0000-000048440000}"/>
    <cellStyle name="40% - Accent4 6 3 2" xfId="1550" xr:uid="{00000000-0005-0000-0000-000049440000}"/>
    <cellStyle name="40% - Accent4 6 3 2 2" xfId="5080" xr:uid="{00000000-0005-0000-0000-00004A440000}"/>
    <cellStyle name="40% - Accent4 6 3 2 2 2" xfId="8671" xr:uid="{00000000-0005-0000-0000-00004B440000}"/>
    <cellStyle name="40% - Accent4 6 3 2 2 2 2" xfId="16642" xr:uid="{00000000-0005-0000-0000-00004C440000}"/>
    <cellStyle name="40% - Accent4 6 3 2 2 2 3" xfId="24588" xr:uid="{00000000-0005-0000-0000-00004D440000}"/>
    <cellStyle name="40% - Accent4 6 3 2 2 3" xfId="13104" xr:uid="{00000000-0005-0000-0000-00004E440000}"/>
    <cellStyle name="40% - Accent4 6 3 2 2 4" xfId="21059" xr:uid="{00000000-0005-0000-0000-00004F440000}"/>
    <cellStyle name="40% - Accent4 6 3 2 3" xfId="6912" xr:uid="{00000000-0005-0000-0000-000050440000}"/>
    <cellStyle name="40% - Accent4 6 3 2 3 2" xfId="14884" xr:uid="{00000000-0005-0000-0000-000051440000}"/>
    <cellStyle name="40% - Accent4 6 3 2 3 3" xfId="22831" xr:uid="{00000000-0005-0000-0000-000052440000}"/>
    <cellStyle name="40% - Accent4 6 3 2 4" xfId="11348" xr:uid="{00000000-0005-0000-0000-000053440000}"/>
    <cellStyle name="40% - Accent4 6 3 2 5" xfId="19303" xr:uid="{00000000-0005-0000-0000-000054440000}"/>
    <cellStyle name="40% - Accent4 6 3 2_Exh G" xfId="3147" xr:uid="{00000000-0005-0000-0000-000055440000}"/>
    <cellStyle name="40% - Accent4 6 3 3" xfId="4201" xr:uid="{00000000-0005-0000-0000-000056440000}"/>
    <cellStyle name="40% - Accent4 6 3 3 2" xfId="7793" xr:uid="{00000000-0005-0000-0000-000057440000}"/>
    <cellStyle name="40% - Accent4 6 3 3 2 2" xfId="15764" xr:uid="{00000000-0005-0000-0000-000058440000}"/>
    <cellStyle name="40% - Accent4 6 3 3 2 3" xfId="23710" xr:uid="{00000000-0005-0000-0000-000059440000}"/>
    <cellStyle name="40% - Accent4 6 3 3 3" xfId="12226" xr:uid="{00000000-0005-0000-0000-00005A440000}"/>
    <cellStyle name="40% - Accent4 6 3 3 4" xfId="20181" xr:uid="{00000000-0005-0000-0000-00005B440000}"/>
    <cellStyle name="40% - Accent4 6 3 4" xfId="6021" xr:uid="{00000000-0005-0000-0000-00005C440000}"/>
    <cellStyle name="40% - Accent4 6 3 4 2" xfId="14005" xr:uid="{00000000-0005-0000-0000-00005D440000}"/>
    <cellStyle name="40% - Accent4 6 3 4 3" xfId="21953" xr:uid="{00000000-0005-0000-0000-00005E440000}"/>
    <cellStyle name="40% - Accent4 6 3 5" xfId="9574" xr:uid="{00000000-0005-0000-0000-00005F440000}"/>
    <cellStyle name="40% - Accent4 6 3 5 2" xfId="17532" xr:uid="{00000000-0005-0000-0000-000060440000}"/>
    <cellStyle name="40% - Accent4 6 3 5 3" xfId="25476" xr:uid="{00000000-0005-0000-0000-000061440000}"/>
    <cellStyle name="40% - Accent4 6 3 6" xfId="10470" xr:uid="{00000000-0005-0000-0000-000062440000}"/>
    <cellStyle name="40% - Accent4 6 3 7" xfId="18425" xr:uid="{00000000-0005-0000-0000-000063440000}"/>
    <cellStyle name="40% - Accent4 6 3_Exh G" xfId="3146" xr:uid="{00000000-0005-0000-0000-000064440000}"/>
    <cellStyle name="40% - Accent4 6 4" xfId="978" xr:uid="{00000000-0005-0000-0000-000065440000}"/>
    <cellStyle name="40% - Accent4 6 4 2" xfId="1895" xr:uid="{00000000-0005-0000-0000-000066440000}"/>
    <cellStyle name="40% - Accent4 6 4 2 2" xfId="5413" xr:uid="{00000000-0005-0000-0000-000067440000}"/>
    <cellStyle name="40% - Accent4 6 4 2 2 2" xfId="9004" xr:uid="{00000000-0005-0000-0000-000068440000}"/>
    <cellStyle name="40% - Accent4 6 4 2 2 2 2" xfId="16975" xr:uid="{00000000-0005-0000-0000-000069440000}"/>
    <cellStyle name="40% - Accent4 6 4 2 2 2 3" xfId="24921" xr:uid="{00000000-0005-0000-0000-00006A440000}"/>
    <cellStyle name="40% - Accent4 6 4 2 2 3" xfId="13437" xr:uid="{00000000-0005-0000-0000-00006B440000}"/>
    <cellStyle name="40% - Accent4 6 4 2 2 4" xfId="21392" xr:uid="{00000000-0005-0000-0000-00006C440000}"/>
    <cellStyle name="40% - Accent4 6 4 2 3" xfId="7245" xr:uid="{00000000-0005-0000-0000-00006D440000}"/>
    <cellStyle name="40% - Accent4 6 4 2 3 2" xfId="15217" xr:uid="{00000000-0005-0000-0000-00006E440000}"/>
    <cellStyle name="40% - Accent4 6 4 2 3 3" xfId="23164" xr:uid="{00000000-0005-0000-0000-00006F440000}"/>
    <cellStyle name="40% - Accent4 6 4 2 4" xfId="11681" xr:uid="{00000000-0005-0000-0000-000070440000}"/>
    <cellStyle name="40% - Accent4 6 4 2 5" xfId="19636" xr:uid="{00000000-0005-0000-0000-000071440000}"/>
    <cellStyle name="40% - Accent4 6 4 2_Exh G" xfId="3149" xr:uid="{00000000-0005-0000-0000-000072440000}"/>
    <cellStyle name="40% - Accent4 6 4 3" xfId="4534" xr:uid="{00000000-0005-0000-0000-000073440000}"/>
    <cellStyle name="40% - Accent4 6 4 3 2" xfId="8126" xr:uid="{00000000-0005-0000-0000-000074440000}"/>
    <cellStyle name="40% - Accent4 6 4 3 2 2" xfId="16097" xr:uid="{00000000-0005-0000-0000-000075440000}"/>
    <cellStyle name="40% - Accent4 6 4 3 2 3" xfId="24043" xr:uid="{00000000-0005-0000-0000-000076440000}"/>
    <cellStyle name="40% - Accent4 6 4 3 3" xfId="12559" xr:uid="{00000000-0005-0000-0000-000077440000}"/>
    <cellStyle name="40% - Accent4 6 4 3 4" xfId="20514" xr:uid="{00000000-0005-0000-0000-000078440000}"/>
    <cellStyle name="40% - Accent4 6 4 4" xfId="6364" xr:uid="{00000000-0005-0000-0000-000079440000}"/>
    <cellStyle name="40% - Accent4 6 4 4 2" xfId="14339" xr:uid="{00000000-0005-0000-0000-00007A440000}"/>
    <cellStyle name="40% - Accent4 6 4 4 3" xfId="22286" xr:uid="{00000000-0005-0000-0000-00007B440000}"/>
    <cellStyle name="40% - Accent4 6 4 5" xfId="9907" xr:uid="{00000000-0005-0000-0000-00007C440000}"/>
    <cellStyle name="40% - Accent4 6 4 5 2" xfId="17865" xr:uid="{00000000-0005-0000-0000-00007D440000}"/>
    <cellStyle name="40% - Accent4 6 4 5 3" xfId="25809" xr:uid="{00000000-0005-0000-0000-00007E440000}"/>
    <cellStyle name="40% - Accent4 6 4 6" xfId="10803" xr:uid="{00000000-0005-0000-0000-00007F440000}"/>
    <cellStyle name="40% - Accent4 6 4 7" xfId="18758" xr:uid="{00000000-0005-0000-0000-000080440000}"/>
    <cellStyle name="40% - Accent4 6 4_Exh G" xfId="3148" xr:uid="{00000000-0005-0000-0000-000081440000}"/>
    <cellStyle name="40% - Accent4 6 5" xfId="1547" xr:uid="{00000000-0005-0000-0000-000082440000}"/>
    <cellStyle name="40% - Accent4 6 5 2" xfId="5077" xr:uid="{00000000-0005-0000-0000-000083440000}"/>
    <cellStyle name="40% - Accent4 6 5 2 2" xfId="8668" xr:uid="{00000000-0005-0000-0000-000084440000}"/>
    <cellStyle name="40% - Accent4 6 5 2 2 2" xfId="16639" xr:uid="{00000000-0005-0000-0000-000085440000}"/>
    <cellStyle name="40% - Accent4 6 5 2 2 3" xfId="24585" xr:uid="{00000000-0005-0000-0000-000086440000}"/>
    <cellStyle name="40% - Accent4 6 5 2 3" xfId="13101" xr:uid="{00000000-0005-0000-0000-000087440000}"/>
    <cellStyle name="40% - Accent4 6 5 2 4" xfId="21056" xr:uid="{00000000-0005-0000-0000-000088440000}"/>
    <cellStyle name="40% - Accent4 6 5 3" xfId="6909" xr:uid="{00000000-0005-0000-0000-000089440000}"/>
    <cellStyle name="40% - Accent4 6 5 3 2" xfId="14881" xr:uid="{00000000-0005-0000-0000-00008A440000}"/>
    <cellStyle name="40% - Accent4 6 5 3 3" xfId="22828" xr:uid="{00000000-0005-0000-0000-00008B440000}"/>
    <cellStyle name="40% - Accent4 6 5 4" xfId="11345" xr:uid="{00000000-0005-0000-0000-00008C440000}"/>
    <cellStyle name="40% - Accent4 6 5 5" xfId="19300" xr:uid="{00000000-0005-0000-0000-00008D440000}"/>
    <cellStyle name="40% - Accent4 6 5_Exh G" xfId="3150" xr:uid="{00000000-0005-0000-0000-00008E440000}"/>
    <cellStyle name="40% - Accent4 6 6" xfId="4198" xr:uid="{00000000-0005-0000-0000-00008F440000}"/>
    <cellStyle name="40% - Accent4 6 6 2" xfId="7790" xr:uid="{00000000-0005-0000-0000-000090440000}"/>
    <cellStyle name="40% - Accent4 6 6 2 2" xfId="15761" xr:uid="{00000000-0005-0000-0000-000091440000}"/>
    <cellStyle name="40% - Accent4 6 6 2 3" xfId="23707" xr:uid="{00000000-0005-0000-0000-000092440000}"/>
    <cellStyle name="40% - Accent4 6 6 3" xfId="12223" xr:uid="{00000000-0005-0000-0000-000093440000}"/>
    <cellStyle name="40% - Accent4 6 6 4" xfId="20178" xr:uid="{00000000-0005-0000-0000-000094440000}"/>
    <cellStyle name="40% - Accent4 6 7" xfId="6018" xr:uid="{00000000-0005-0000-0000-000095440000}"/>
    <cellStyle name="40% - Accent4 6 7 2" xfId="14002" xr:uid="{00000000-0005-0000-0000-000096440000}"/>
    <cellStyle name="40% - Accent4 6 7 3" xfId="21950" xr:uid="{00000000-0005-0000-0000-000097440000}"/>
    <cellStyle name="40% - Accent4 6 8" xfId="9571" xr:uid="{00000000-0005-0000-0000-000098440000}"/>
    <cellStyle name="40% - Accent4 6 8 2" xfId="17529" xr:uid="{00000000-0005-0000-0000-000099440000}"/>
    <cellStyle name="40% - Accent4 6 8 3" xfId="25473" xr:uid="{00000000-0005-0000-0000-00009A440000}"/>
    <cellStyle name="40% - Accent4 6 9" xfId="10467" xr:uid="{00000000-0005-0000-0000-00009B440000}"/>
    <cellStyle name="40% - Accent4 6_Exh G" xfId="3141" xr:uid="{00000000-0005-0000-0000-00009C440000}"/>
    <cellStyle name="40% - Accent4 7" xfId="523" xr:uid="{00000000-0005-0000-0000-00009D440000}"/>
    <cellStyle name="40% - Accent4 7 10" xfId="18426" xr:uid="{00000000-0005-0000-0000-00009E440000}"/>
    <cellStyle name="40% - Accent4 7 2" xfId="524" xr:uid="{00000000-0005-0000-0000-00009F440000}"/>
    <cellStyle name="40% - Accent4 7 2 2" xfId="525" xr:uid="{00000000-0005-0000-0000-0000A0440000}"/>
    <cellStyle name="40% - Accent4 7 2 2 2" xfId="1553" xr:uid="{00000000-0005-0000-0000-0000A1440000}"/>
    <cellStyle name="40% - Accent4 7 2 2 2 2" xfId="5083" xr:uid="{00000000-0005-0000-0000-0000A2440000}"/>
    <cellStyle name="40% - Accent4 7 2 2 2 2 2" xfId="8674" xr:uid="{00000000-0005-0000-0000-0000A3440000}"/>
    <cellStyle name="40% - Accent4 7 2 2 2 2 2 2" xfId="16645" xr:uid="{00000000-0005-0000-0000-0000A4440000}"/>
    <cellStyle name="40% - Accent4 7 2 2 2 2 2 3" xfId="24591" xr:uid="{00000000-0005-0000-0000-0000A5440000}"/>
    <cellStyle name="40% - Accent4 7 2 2 2 2 3" xfId="13107" xr:uid="{00000000-0005-0000-0000-0000A6440000}"/>
    <cellStyle name="40% - Accent4 7 2 2 2 2 4" xfId="21062" xr:uid="{00000000-0005-0000-0000-0000A7440000}"/>
    <cellStyle name="40% - Accent4 7 2 2 2 3" xfId="6915" xr:uid="{00000000-0005-0000-0000-0000A8440000}"/>
    <cellStyle name="40% - Accent4 7 2 2 2 3 2" xfId="14887" xr:uid="{00000000-0005-0000-0000-0000A9440000}"/>
    <cellStyle name="40% - Accent4 7 2 2 2 3 3" xfId="22834" xr:uid="{00000000-0005-0000-0000-0000AA440000}"/>
    <cellStyle name="40% - Accent4 7 2 2 2 4" xfId="11351" xr:uid="{00000000-0005-0000-0000-0000AB440000}"/>
    <cellStyle name="40% - Accent4 7 2 2 2 5" xfId="19306" xr:uid="{00000000-0005-0000-0000-0000AC440000}"/>
    <cellStyle name="40% - Accent4 7 2 2 2_Exh G" xfId="3154" xr:uid="{00000000-0005-0000-0000-0000AD440000}"/>
    <cellStyle name="40% - Accent4 7 2 2 3" xfId="4204" xr:uid="{00000000-0005-0000-0000-0000AE440000}"/>
    <cellStyle name="40% - Accent4 7 2 2 3 2" xfId="7796" xr:uid="{00000000-0005-0000-0000-0000AF440000}"/>
    <cellStyle name="40% - Accent4 7 2 2 3 2 2" xfId="15767" xr:uid="{00000000-0005-0000-0000-0000B0440000}"/>
    <cellStyle name="40% - Accent4 7 2 2 3 2 3" xfId="23713" xr:uid="{00000000-0005-0000-0000-0000B1440000}"/>
    <cellStyle name="40% - Accent4 7 2 2 3 3" xfId="12229" xr:uid="{00000000-0005-0000-0000-0000B2440000}"/>
    <cellStyle name="40% - Accent4 7 2 2 3 4" xfId="20184" xr:uid="{00000000-0005-0000-0000-0000B3440000}"/>
    <cellStyle name="40% - Accent4 7 2 2 4" xfId="6024" xr:uid="{00000000-0005-0000-0000-0000B4440000}"/>
    <cellStyle name="40% - Accent4 7 2 2 4 2" xfId="14008" xr:uid="{00000000-0005-0000-0000-0000B5440000}"/>
    <cellStyle name="40% - Accent4 7 2 2 4 3" xfId="21956" xr:uid="{00000000-0005-0000-0000-0000B6440000}"/>
    <cellStyle name="40% - Accent4 7 2 2 5" xfId="9577" xr:uid="{00000000-0005-0000-0000-0000B7440000}"/>
    <cellStyle name="40% - Accent4 7 2 2 5 2" xfId="17535" xr:uid="{00000000-0005-0000-0000-0000B8440000}"/>
    <cellStyle name="40% - Accent4 7 2 2 5 3" xfId="25479" xr:uid="{00000000-0005-0000-0000-0000B9440000}"/>
    <cellStyle name="40% - Accent4 7 2 2 6" xfId="10473" xr:uid="{00000000-0005-0000-0000-0000BA440000}"/>
    <cellStyle name="40% - Accent4 7 2 2 7" xfId="18428" xr:uid="{00000000-0005-0000-0000-0000BB440000}"/>
    <cellStyle name="40% - Accent4 7 2 2_Exh G" xfId="3153" xr:uid="{00000000-0005-0000-0000-0000BC440000}"/>
    <cellStyle name="40% - Accent4 7 2 3" xfId="1552" xr:uid="{00000000-0005-0000-0000-0000BD440000}"/>
    <cellStyle name="40% - Accent4 7 2 3 2" xfId="5082" xr:uid="{00000000-0005-0000-0000-0000BE440000}"/>
    <cellStyle name="40% - Accent4 7 2 3 2 2" xfId="8673" xr:uid="{00000000-0005-0000-0000-0000BF440000}"/>
    <cellStyle name="40% - Accent4 7 2 3 2 2 2" xfId="16644" xr:uid="{00000000-0005-0000-0000-0000C0440000}"/>
    <cellStyle name="40% - Accent4 7 2 3 2 2 3" xfId="24590" xr:uid="{00000000-0005-0000-0000-0000C1440000}"/>
    <cellStyle name="40% - Accent4 7 2 3 2 3" xfId="13106" xr:uid="{00000000-0005-0000-0000-0000C2440000}"/>
    <cellStyle name="40% - Accent4 7 2 3 2 4" xfId="21061" xr:uid="{00000000-0005-0000-0000-0000C3440000}"/>
    <cellStyle name="40% - Accent4 7 2 3 3" xfId="6914" xr:uid="{00000000-0005-0000-0000-0000C4440000}"/>
    <cellStyle name="40% - Accent4 7 2 3 3 2" xfId="14886" xr:uid="{00000000-0005-0000-0000-0000C5440000}"/>
    <cellStyle name="40% - Accent4 7 2 3 3 3" xfId="22833" xr:uid="{00000000-0005-0000-0000-0000C6440000}"/>
    <cellStyle name="40% - Accent4 7 2 3 4" xfId="11350" xr:uid="{00000000-0005-0000-0000-0000C7440000}"/>
    <cellStyle name="40% - Accent4 7 2 3 5" xfId="19305" xr:uid="{00000000-0005-0000-0000-0000C8440000}"/>
    <cellStyle name="40% - Accent4 7 2 3_Exh G" xfId="3155" xr:uid="{00000000-0005-0000-0000-0000C9440000}"/>
    <cellStyle name="40% - Accent4 7 2 4" xfId="4203" xr:uid="{00000000-0005-0000-0000-0000CA440000}"/>
    <cellStyle name="40% - Accent4 7 2 4 2" xfId="7795" xr:uid="{00000000-0005-0000-0000-0000CB440000}"/>
    <cellStyle name="40% - Accent4 7 2 4 2 2" xfId="15766" xr:uid="{00000000-0005-0000-0000-0000CC440000}"/>
    <cellStyle name="40% - Accent4 7 2 4 2 3" xfId="23712" xr:uid="{00000000-0005-0000-0000-0000CD440000}"/>
    <cellStyle name="40% - Accent4 7 2 4 3" xfId="12228" xr:uid="{00000000-0005-0000-0000-0000CE440000}"/>
    <cellStyle name="40% - Accent4 7 2 4 4" xfId="20183" xr:uid="{00000000-0005-0000-0000-0000CF440000}"/>
    <cellStyle name="40% - Accent4 7 2 5" xfId="6023" xr:uid="{00000000-0005-0000-0000-0000D0440000}"/>
    <cellStyle name="40% - Accent4 7 2 5 2" xfId="14007" xr:uid="{00000000-0005-0000-0000-0000D1440000}"/>
    <cellStyle name="40% - Accent4 7 2 5 3" xfId="21955" xr:uid="{00000000-0005-0000-0000-0000D2440000}"/>
    <cellStyle name="40% - Accent4 7 2 6" xfId="9576" xr:uid="{00000000-0005-0000-0000-0000D3440000}"/>
    <cellStyle name="40% - Accent4 7 2 6 2" xfId="17534" xr:uid="{00000000-0005-0000-0000-0000D4440000}"/>
    <cellStyle name="40% - Accent4 7 2 6 3" xfId="25478" xr:uid="{00000000-0005-0000-0000-0000D5440000}"/>
    <cellStyle name="40% - Accent4 7 2 7" xfId="10472" xr:uid="{00000000-0005-0000-0000-0000D6440000}"/>
    <cellStyle name="40% - Accent4 7 2 8" xfId="18427" xr:uid="{00000000-0005-0000-0000-0000D7440000}"/>
    <cellStyle name="40% - Accent4 7 2_Exh G" xfId="3152" xr:uid="{00000000-0005-0000-0000-0000D8440000}"/>
    <cellStyle name="40% - Accent4 7 3" xfId="526" xr:uid="{00000000-0005-0000-0000-0000D9440000}"/>
    <cellStyle name="40% - Accent4 7 3 2" xfId="1554" xr:uid="{00000000-0005-0000-0000-0000DA440000}"/>
    <cellStyle name="40% - Accent4 7 3 2 2" xfId="5084" xr:uid="{00000000-0005-0000-0000-0000DB440000}"/>
    <cellStyle name="40% - Accent4 7 3 2 2 2" xfId="8675" xr:uid="{00000000-0005-0000-0000-0000DC440000}"/>
    <cellStyle name="40% - Accent4 7 3 2 2 2 2" xfId="16646" xr:uid="{00000000-0005-0000-0000-0000DD440000}"/>
    <cellStyle name="40% - Accent4 7 3 2 2 2 3" xfId="24592" xr:uid="{00000000-0005-0000-0000-0000DE440000}"/>
    <cellStyle name="40% - Accent4 7 3 2 2 3" xfId="13108" xr:uid="{00000000-0005-0000-0000-0000DF440000}"/>
    <cellStyle name="40% - Accent4 7 3 2 2 4" xfId="21063" xr:uid="{00000000-0005-0000-0000-0000E0440000}"/>
    <cellStyle name="40% - Accent4 7 3 2 3" xfId="6916" xr:uid="{00000000-0005-0000-0000-0000E1440000}"/>
    <cellStyle name="40% - Accent4 7 3 2 3 2" xfId="14888" xr:uid="{00000000-0005-0000-0000-0000E2440000}"/>
    <cellStyle name="40% - Accent4 7 3 2 3 3" xfId="22835" xr:uid="{00000000-0005-0000-0000-0000E3440000}"/>
    <cellStyle name="40% - Accent4 7 3 2 4" xfId="11352" xr:uid="{00000000-0005-0000-0000-0000E4440000}"/>
    <cellStyle name="40% - Accent4 7 3 2 5" xfId="19307" xr:uid="{00000000-0005-0000-0000-0000E5440000}"/>
    <cellStyle name="40% - Accent4 7 3 2_Exh G" xfId="3157" xr:uid="{00000000-0005-0000-0000-0000E6440000}"/>
    <cellStyle name="40% - Accent4 7 3 3" xfId="4205" xr:uid="{00000000-0005-0000-0000-0000E7440000}"/>
    <cellStyle name="40% - Accent4 7 3 3 2" xfId="7797" xr:uid="{00000000-0005-0000-0000-0000E8440000}"/>
    <cellStyle name="40% - Accent4 7 3 3 2 2" xfId="15768" xr:uid="{00000000-0005-0000-0000-0000E9440000}"/>
    <cellStyle name="40% - Accent4 7 3 3 2 3" xfId="23714" xr:uid="{00000000-0005-0000-0000-0000EA440000}"/>
    <cellStyle name="40% - Accent4 7 3 3 3" xfId="12230" xr:uid="{00000000-0005-0000-0000-0000EB440000}"/>
    <cellStyle name="40% - Accent4 7 3 3 4" xfId="20185" xr:uid="{00000000-0005-0000-0000-0000EC440000}"/>
    <cellStyle name="40% - Accent4 7 3 4" xfId="6025" xr:uid="{00000000-0005-0000-0000-0000ED440000}"/>
    <cellStyle name="40% - Accent4 7 3 4 2" xfId="14009" xr:uid="{00000000-0005-0000-0000-0000EE440000}"/>
    <cellStyle name="40% - Accent4 7 3 4 3" xfId="21957" xr:uid="{00000000-0005-0000-0000-0000EF440000}"/>
    <cellStyle name="40% - Accent4 7 3 5" xfId="9578" xr:uid="{00000000-0005-0000-0000-0000F0440000}"/>
    <cellStyle name="40% - Accent4 7 3 5 2" xfId="17536" xr:uid="{00000000-0005-0000-0000-0000F1440000}"/>
    <cellStyle name="40% - Accent4 7 3 5 3" xfId="25480" xr:uid="{00000000-0005-0000-0000-0000F2440000}"/>
    <cellStyle name="40% - Accent4 7 3 6" xfId="10474" xr:uid="{00000000-0005-0000-0000-0000F3440000}"/>
    <cellStyle name="40% - Accent4 7 3 7" xfId="18429" xr:uid="{00000000-0005-0000-0000-0000F4440000}"/>
    <cellStyle name="40% - Accent4 7 3_Exh G" xfId="3156" xr:uid="{00000000-0005-0000-0000-0000F5440000}"/>
    <cellStyle name="40% - Accent4 7 4" xfId="979" xr:uid="{00000000-0005-0000-0000-0000F6440000}"/>
    <cellStyle name="40% - Accent4 7 4 2" xfId="1896" xr:uid="{00000000-0005-0000-0000-0000F7440000}"/>
    <cellStyle name="40% - Accent4 7 4 2 2" xfId="5414" xr:uid="{00000000-0005-0000-0000-0000F8440000}"/>
    <cellStyle name="40% - Accent4 7 4 2 2 2" xfId="9005" xr:uid="{00000000-0005-0000-0000-0000F9440000}"/>
    <cellStyle name="40% - Accent4 7 4 2 2 2 2" xfId="16976" xr:uid="{00000000-0005-0000-0000-0000FA440000}"/>
    <cellStyle name="40% - Accent4 7 4 2 2 2 3" xfId="24922" xr:uid="{00000000-0005-0000-0000-0000FB440000}"/>
    <cellStyle name="40% - Accent4 7 4 2 2 3" xfId="13438" xr:uid="{00000000-0005-0000-0000-0000FC440000}"/>
    <cellStyle name="40% - Accent4 7 4 2 2 4" xfId="21393" xr:uid="{00000000-0005-0000-0000-0000FD440000}"/>
    <cellStyle name="40% - Accent4 7 4 2 3" xfId="7246" xr:uid="{00000000-0005-0000-0000-0000FE440000}"/>
    <cellStyle name="40% - Accent4 7 4 2 3 2" xfId="15218" xr:uid="{00000000-0005-0000-0000-0000FF440000}"/>
    <cellStyle name="40% - Accent4 7 4 2 3 3" xfId="23165" xr:uid="{00000000-0005-0000-0000-000000450000}"/>
    <cellStyle name="40% - Accent4 7 4 2 4" xfId="11682" xr:uid="{00000000-0005-0000-0000-000001450000}"/>
    <cellStyle name="40% - Accent4 7 4 2 5" xfId="19637" xr:uid="{00000000-0005-0000-0000-000002450000}"/>
    <cellStyle name="40% - Accent4 7 4 2_Exh G" xfId="3159" xr:uid="{00000000-0005-0000-0000-000003450000}"/>
    <cellStyle name="40% - Accent4 7 4 3" xfId="4535" xr:uid="{00000000-0005-0000-0000-000004450000}"/>
    <cellStyle name="40% - Accent4 7 4 3 2" xfId="8127" xr:uid="{00000000-0005-0000-0000-000005450000}"/>
    <cellStyle name="40% - Accent4 7 4 3 2 2" xfId="16098" xr:uid="{00000000-0005-0000-0000-000006450000}"/>
    <cellStyle name="40% - Accent4 7 4 3 2 3" xfId="24044" xr:uid="{00000000-0005-0000-0000-000007450000}"/>
    <cellStyle name="40% - Accent4 7 4 3 3" xfId="12560" xr:uid="{00000000-0005-0000-0000-000008450000}"/>
    <cellStyle name="40% - Accent4 7 4 3 4" xfId="20515" xr:uid="{00000000-0005-0000-0000-000009450000}"/>
    <cellStyle name="40% - Accent4 7 4 4" xfId="6365" xr:uid="{00000000-0005-0000-0000-00000A450000}"/>
    <cellStyle name="40% - Accent4 7 4 4 2" xfId="14340" xr:uid="{00000000-0005-0000-0000-00000B450000}"/>
    <cellStyle name="40% - Accent4 7 4 4 3" xfId="22287" xr:uid="{00000000-0005-0000-0000-00000C450000}"/>
    <cellStyle name="40% - Accent4 7 4 5" xfId="9908" xr:uid="{00000000-0005-0000-0000-00000D450000}"/>
    <cellStyle name="40% - Accent4 7 4 5 2" xfId="17866" xr:uid="{00000000-0005-0000-0000-00000E450000}"/>
    <cellStyle name="40% - Accent4 7 4 5 3" xfId="25810" xr:uid="{00000000-0005-0000-0000-00000F450000}"/>
    <cellStyle name="40% - Accent4 7 4 6" xfId="10804" xr:uid="{00000000-0005-0000-0000-000010450000}"/>
    <cellStyle name="40% - Accent4 7 4 7" xfId="18759" xr:uid="{00000000-0005-0000-0000-000011450000}"/>
    <cellStyle name="40% - Accent4 7 4_Exh G" xfId="3158" xr:uid="{00000000-0005-0000-0000-000012450000}"/>
    <cellStyle name="40% - Accent4 7 5" xfId="1551" xr:uid="{00000000-0005-0000-0000-000013450000}"/>
    <cellStyle name="40% - Accent4 7 5 2" xfId="5081" xr:uid="{00000000-0005-0000-0000-000014450000}"/>
    <cellStyle name="40% - Accent4 7 5 2 2" xfId="8672" xr:uid="{00000000-0005-0000-0000-000015450000}"/>
    <cellStyle name="40% - Accent4 7 5 2 2 2" xfId="16643" xr:uid="{00000000-0005-0000-0000-000016450000}"/>
    <cellStyle name="40% - Accent4 7 5 2 2 3" xfId="24589" xr:uid="{00000000-0005-0000-0000-000017450000}"/>
    <cellStyle name="40% - Accent4 7 5 2 3" xfId="13105" xr:uid="{00000000-0005-0000-0000-000018450000}"/>
    <cellStyle name="40% - Accent4 7 5 2 4" xfId="21060" xr:uid="{00000000-0005-0000-0000-000019450000}"/>
    <cellStyle name="40% - Accent4 7 5 3" xfId="6913" xr:uid="{00000000-0005-0000-0000-00001A450000}"/>
    <cellStyle name="40% - Accent4 7 5 3 2" xfId="14885" xr:uid="{00000000-0005-0000-0000-00001B450000}"/>
    <cellStyle name="40% - Accent4 7 5 3 3" xfId="22832" xr:uid="{00000000-0005-0000-0000-00001C450000}"/>
    <cellStyle name="40% - Accent4 7 5 4" xfId="11349" xr:uid="{00000000-0005-0000-0000-00001D450000}"/>
    <cellStyle name="40% - Accent4 7 5 5" xfId="19304" xr:uid="{00000000-0005-0000-0000-00001E450000}"/>
    <cellStyle name="40% - Accent4 7 5_Exh G" xfId="3160" xr:uid="{00000000-0005-0000-0000-00001F450000}"/>
    <cellStyle name="40% - Accent4 7 6" xfId="4202" xr:uid="{00000000-0005-0000-0000-000020450000}"/>
    <cellStyle name="40% - Accent4 7 6 2" xfId="7794" xr:uid="{00000000-0005-0000-0000-000021450000}"/>
    <cellStyle name="40% - Accent4 7 6 2 2" xfId="15765" xr:uid="{00000000-0005-0000-0000-000022450000}"/>
    <cellStyle name="40% - Accent4 7 6 2 3" xfId="23711" xr:uid="{00000000-0005-0000-0000-000023450000}"/>
    <cellStyle name="40% - Accent4 7 6 3" xfId="12227" xr:uid="{00000000-0005-0000-0000-000024450000}"/>
    <cellStyle name="40% - Accent4 7 6 4" xfId="20182" xr:uid="{00000000-0005-0000-0000-000025450000}"/>
    <cellStyle name="40% - Accent4 7 7" xfId="6022" xr:uid="{00000000-0005-0000-0000-000026450000}"/>
    <cellStyle name="40% - Accent4 7 7 2" xfId="14006" xr:uid="{00000000-0005-0000-0000-000027450000}"/>
    <cellStyle name="40% - Accent4 7 7 3" xfId="21954" xr:uid="{00000000-0005-0000-0000-000028450000}"/>
    <cellStyle name="40% - Accent4 7 8" xfId="9575" xr:uid="{00000000-0005-0000-0000-000029450000}"/>
    <cellStyle name="40% - Accent4 7 8 2" xfId="17533" xr:uid="{00000000-0005-0000-0000-00002A450000}"/>
    <cellStyle name="40% - Accent4 7 8 3" xfId="25477" xr:uid="{00000000-0005-0000-0000-00002B450000}"/>
    <cellStyle name="40% - Accent4 7 9" xfId="10471" xr:uid="{00000000-0005-0000-0000-00002C450000}"/>
    <cellStyle name="40% - Accent4 7_Exh G" xfId="3151" xr:uid="{00000000-0005-0000-0000-00002D450000}"/>
    <cellStyle name="40% - Accent4 8" xfId="527" xr:uid="{00000000-0005-0000-0000-00002E450000}"/>
    <cellStyle name="40% - Accent4 8 10" xfId="18430" xr:uid="{00000000-0005-0000-0000-00002F450000}"/>
    <cellStyle name="40% - Accent4 8 2" xfId="528" xr:uid="{00000000-0005-0000-0000-000030450000}"/>
    <cellStyle name="40% - Accent4 8 2 2" xfId="529" xr:uid="{00000000-0005-0000-0000-000031450000}"/>
    <cellStyle name="40% - Accent4 8 2 2 2" xfId="1557" xr:uid="{00000000-0005-0000-0000-000032450000}"/>
    <cellStyle name="40% - Accent4 8 2 2 2 2" xfId="5087" xr:uid="{00000000-0005-0000-0000-000033450000}"/>
    <cellStyle name="40% - Accent4 8 2 2 2 2 2" xfId="8678" xr:uid="{00000000-0005-0000-0000-000034450000}"/>
    <cellStyle name="40% - Accent4 8 2 2 2 2 2 2" xfId="16649" xr:uid="{00000000-0005-0000-0000-000035450000}"/>
    <cellStyle name="40% - Accent4 8 2 2 2 2 2 3" xfId="24595" xr:uid="{00000000-0005-0000-0000-000036450000}"/>
    <cellStyle name="40% - Accent4 8 2 2 2 2 3" xfId="13111" xr:uid="{00000000-0005-0000-0000-000037450000}"/>
    <cellStyle name="40% - Accent4 8 2 2 2 2 4" xfId="21066" xr:uid="{00000000-0005-0000-0000-000038450000}"/>
    <cellStyle name="40% - Accent4 8 2 2 2 3" xfId="6919" xr:uid="{00000000-0005-0000-0000-000039450000}"/>
    <cellStyle name="40% - Accent4 8 2 2 2 3 2" xfId="14891" xr:uid="{00000000-0005-0000-0000-00003A450000}"/>
    <cellStyle name="40% - Accent4 8 2 2 2 3 3" xfId="22838" xr:uid="{00000000-0005-0000-0000-00003B450000}"/>
    <cellStyle name="40% - Accent4 8 2 2 2 4" xfId="11355" xr:uid="{00000000-0005-0000-0000-00003C450000}"/>
    <cellStyle name="40% - Accent4 8 2 2 2 5" xfId="19310" xr:uid="{00000000-0005-0000-0000-00003D450000}"/>
    <cellStyle name="40% - Accent4 8 2 2 2_Exh G" xfId="3164" xr:uid="{00000000-0005-0000-0000-00003E450000}"/>
    <cellStyle name="40% - Accent4 8 2 2 3" xfId="4208" xr:uid="{00000000-0005-0000-0000-00003F450000}"/>
    <cellStyle name="40% - Accent4 8 2 2 3 2" xfId="7800" xr:uid="{00000000-0005-0000-0000-000040450000}"/>
    <cellStyle name="40% - Accent4 8 2 2 3 2 2" xfId="15771" xr:uid="{00000000-0005-0000-0000-000041450000}"/>
    <cellStyle name="40% - Accent4 8 2 2 3 2 3" xfId="23717" xr:uid="{00000000-0005-0000-0000-000042450000}"/>
    <cellStyle name="40% - Accent4 8 2 2 3 3" xfId="12233" xr:uid="{00000000-0005-0000-0000-000043450000}"/>
    <cellStyle name="40% - Accent4 8 2 2 3 4" xfId="20188" xr:uid="{00000000-0005-0000-0000-000044450000}"/>
    <cellStyle name="40% - Accent4 8 2 2 4" xfId="6028" xr:uid="{00000000-0005-0000-0000-000045450000}"/>
    <cellStyle name="40% - Accent4 8 2 2 4 2" xfId="14012" xr:uid="{00000000-0005-0000-0000-000046450000}"/>
    <cellStyle name="40% - Accent4 8 2 2 4 3" xfId="21960" xr:uid="{00000000-0005-0000-0000-000047450000}"/>
    <cellStyle name="40% - Accent4 8 2 2 5" xfId="9581" xr:uid="{00000000-0005-0000-0000-000048450000}"/>
    <cellStyle name="40% - Accent4 8 2 2 5 2" xfId="17539" xr:uid="{00000000-0005-0000-0000-000049450000}"/>
    <cellStyle name="40% - Accent4 8 2 2 5 3" xfId="25483" xr:uid="{00000000-0005-0000-0000-00004A450000}"/>
    <cellStyle name="40% - Accent4 8 2 2 6" xfId="10477" xr:uid="{00000000-0005-0000-0000-00004B450000}"/>
    <cellStyle name="40% - Accent4 8 2 2 7" xfId="18432" xr:uid="{00000000-0005-0000-0000-00004C450000}"/>
    <cellStyle name="40% - Accent4 8 2 2_Exh G" xfId="3163" xr:uid="{00000000-0005-0000-0000-00004D450000}"/>
    <cellStyle name="40% - Accent4 8 2 3" xfId="1556" xr:uid="{00000000-0005-0000-0000-00004E450000}"/>
    <cellStyle name="40% - Accent4 8 2 3 2" xfId="5086" xr:uid="{00000000-0005-0000-0000-00004F450000}"/>
    <cellStyle name="40% - Accent4 8 2 3 2 2" xfId="8677" xr:uid="{00000000-0005-0000-0000-000050450000}"/>
    <cellStyle name="40% - Accent4 8 2 3 2 2 2" xfId="16648" xr:uid="{00000000-0005-0000-0000-000051450000}"/>
    <cellStyle name="40% - Accent4 8 2 3 2 2 3" xfId="24594" xr:uid="{00000000-0005-0000-0000-000052450000}"/>
    <cellStyle name="40% - Accent4 8 2 3 2 3" xfId="13110" xr:uid="{00000000-0005-0000-0000-000053450000}"/>
    <cellStyle name="40% - Accent4 8 2 3 2 4" xfId="21065" xr:uid="{00000000-0005-0000-0000-000054450000}"/>
    <cellStyle name="40% - Accent4 8 2 3 3" xfId="6918" xr:uid="{00000000-0005-0000-0000-000055450000}"/>
    <cellStyle name="40% - Accent4 8 2 3 3 2" xfId="14890" xr:uid="{00000000-0005-0000-0000-000056450000}"/>
    <cellStyle name="40% - Accent4 8 2 3 3 3" xfId="22837" xr:uid="{00000000-0005-0000-0000-000057450000}"/>
    <cellStyle name="40% - Accent4 8 2 3 4" xfId="11354" xr:uid="{00000000-0005-0000-0000-000058450000}"/>
    <cellStyle name="40% - Accent4 8 2 3 5" xfId="19309" xr:uid="{00000000-0005-0000-0000-000059450000}"/>
    <cellStyle name="40% - Accent4 8 2 3_Exh G" xfId="3165" xr:uid="{00000000-0005-0000-0000-00005A450000}"/>
    <cellStyle name="40% - Accent4 8 2 4" xfId="4207" xr:uid="{00000000-0005-0000-0000-00005B450000}"/>
    <cellStyle name="40% - Accent4 8 2 4 2" xfId="7799" xr:uid="{00000000-0005-0000-0000-00005C450000}"/>
    <cellStyle name="40% - Accent4 8 2 4 2 2" xfId="15770" xr:uid="{00000000-0005-0000-0000-00005D450000}"/>
    <cellStyle name="40% - Accent4 8 2 4 2 3" xfId="23716" xr:uid="{00000000-0005-0000-0000-00005E450000}"/>
    <cellStyle name="40% - Accent4 8 2 4 3" xfId="12232" xr:uid="{00000000-0005-0000-0000-00005F450000}"/>
    <cellStyle name="40% - Accent4 8 2 4 4" xfId="20187" xr:uid="{00000000-0005-0000-0000-000060450000}"/>
    <cellStyle name="40% - Accent4 8 2 5" xfId="6027" xr:uid="{00000000-0005-0000-0000-000061450000}"/>
    <cellStyle name="40% - Accent4 8 2 5 2" xfId="14011" xr:uid="{00000000-0005-0000-0000-000062450000}"/>
    <cellStyle name="40% - Accent4 8 2 5 3" xfId="21959" xr:uid="{00000000-0005-0000-0000-000063450000}"/>
    <cellStyle name="40% - Accent4 8 2 6" xfId="9580" xr:uid="{00000000-0005-0000-0000-000064450000}"/>
    <cellStyle name="40% - Accent4 8 2 6 2" xfId="17538" xr:uid="{00000000-0005-0000-0000-000065450000}"/>
    <cellStyle name="40% - Accent4 8 2 6 3" xfId="25482" xr:uid="{00000000-0005-0000-0000-000066450000}"/>
    <cellStyle name="40% - Accent4 8 2 7" xfId="10476" xr:uid="{00000000-0005-0000-0000-000067450000}"/>
    <cellStyle name="40% - Accent4 8 2 8" xfId="18431" xr:uid="{00000000-0005-0000-0000-000068450000}"/>
    <cellStyle name="40% - Accent4 8 2_Exh G" xfId="3162" xr:uid="{00000000-0005-0000-0000-000069450000}"/>
    <cellStyle name="40% - Accent4 8 3" xfId="530" xr:uid="{00000000-0005-0000-0000-00006A450000}"/>
    <cellStyle name="40% - Accent4 8 3 2" xfId="1558" xr:uid="{00000000-0005-0000-0000-00006B450000}"/>
    <cellStyle name="40% - Accent4 8 3 2 2" xfId="5088" xr:uid="{00000000-0005-0000-0000-00006C450000}"/>
    <cellStyle name="40% - Accent4 8 3 2 2 2" xfId="8679" xr:uid="{00000000-0005-0000-0000-00006D450000}"/>
    <cellStyle name="40% - Accent4 8 3 2 2 2 2" xfId="16650" xr:uid="{00000000-0005-0000-0000-00006E450000}"/>
    <cellStyle name="40% - Accent4 8 3 2 2 2 3" xfId="24596" xr:uid="{00000000-0005-0000-0000-00006F450000}"/>
    <cellStyle name="40% - Accent4 8 3 2 2 3" xfId="13112" xr:uid="{00000000-0005-0000-0000-000070450000}"/>
    <cellStyle name="40% - Accent4 8 3 2 2 4" xfId="21067" xr:uid="{00000000-0005-0000-0000-000071450000}"/>
    <cellStyle name="40% - Accent4 8 3 2 3" xfId="6920" xr:uid="{00000000-0005-0000-0000-000072450000}"/>
    <cellStyle name="40% - Accent4 8 3 2 3 2" xfId="14892" xr:uid="{00000000-0005-0000-0000-000073450000}"/>
    <cellStyle name="40% - Accent4 8 3 2 3 3" xfId="22839" xr:uid="{00000000-0005-0000-0000-000074450000}"/>
    <cellStyle name="40% - Accent4 8 3 2 4" xfId="11356" xr:uid="{00000000-0005-0000-0000-000075450000}"/>
    <cellStyle name="40% - Accent4 8 3 2 5" xfId="19311" xr:uid="{00000000-0005-0000-0000-000076450000}"/>
    <cellStyle name="40% - Accent4 8 3 2_Exh G" xfId="3167" xr:uid="{00000000-0005-0000-0000-000077450000}"/>
    <cellStyle name="40% - Accent4 8 3 3" xfId="4209" xr:uid="{00000000-0005-0000-0000-000078450000}"/>
    <cellStyle name="40% - Accent4 8 3 3 2" xfId="7801" xr:uid="{00000000-0005-0000-0000-000079450000}"/>
    <cellStyle name="40% - Accent4 8 3 3 2 2" xfId="15772" xr:uid="{00000000-0005-0000-0000-00007A450000}"/>
    <cellStyle name="40% - Accent4 8 3 3 2 3" xfId="23718" xr:uid="{00000000-0005-0000-0000-00007B450000}"/>
    <cellStyle name="40% - Accent4 8 3 3 3" xfId="12234" xr:uid="{00000000-0005-0000-0000-00007C450000}"/>
    <cellStyle name="40% - Accent4 8 3 3 4" xfId="20189" xr:uid="{00000000-0005-0000-0000-00007D450000}"/>
    <cellStyle name="40% - Accent4 8 3 4" xfId="6029" xr:uid="{00000000-0005-0000-0000-00007E450000}"/>
    <cellStyle name="40% - Accent4 8 3 4 2" xfId="14013" xr:uid="{00000000-0005-0000-0000-00007F450000}"/>
    <cellStyle name="40% - Accent4 8 3 4 3" xfId="21961" xr:uid="{00000000-0005-0000-0000-000080450000}"/>
    <cellStyle name="40% - Accent4 8 3 5" xfId="9582" xr:uid="{00000000-0005-0000-0000-000081450000}"/>
    <cellStyle name="40% - Accent4 8 3 5 2" xfId="17540" xr:uid="{00000000-0005-0000-0000-000082450000}"/>
    <cellStyle name="40% - Accent4 8 3 5 3" xfId="25484" xr:uid="{00000000-0005-0000-0000-000083450000}"/>
    <cellStyle name="40% - Accent4 8 3 6" xfId="10478" xr:uid="{00000000-0005-0000-0000-000084450000}"/>
    <cellStyle name="40% - Accent4 8 3 7" xfId="18433" xr:uid="{00000000-0005-0000-0000-000085450000}"/>
    <cellStyle name="40% - Accent4 8 3_Exh G" xfId="3166" xr:uid="{00000000-0005-0000-0000-000086450000}"/>
    <cellStyle name="40% - Accent4 8 4" xfId="980" xr:uid="{00000000-0005-0000-0000-000087450000}"/>
    <cellStyle name="40% - Accent4 8 4 2" xfId="1897" xr:uid="{00000000-0005-0000-0000-000088450000}"/>
    <cellStyle name="40% - Accent4 8 4 2 2" xfId="5415" xr:uid="{00000000-0005-0000-0000-000089450000}"/>
    <cellStyle name="40% - Accent4 8 4 2 2 2" xfId="9006" xr:uid="{00000000-0005-0000-0000-00008A450000}"/>
    <cellStyle name="40% - Accent4 8 4 2 2 2 2" xfId="16977" xr:uid="{00000000-0005-0000-0000-00008B450000}"/>
    <cellStyle name="40% - Accent4 8 4 2 2 2 3" xfId="24923" xr:uid="{00000000-0005-0000-0000-00008C450000}"/>
    <cellStyle name="40% - Accent4 8 4 2 2 3" xfId="13439" xr:uid="{00000000-0005-0000-0000-00008D450000}"/>
    <cellStyle name="40% - Accent4 8 4 2 2 4" xfId="21394" xr:uid="{00000000-0005-0000-0000-00008E450000}"/>
    <cellStyle name="40% - Accent4 8 4 2 3" xfId="7247" xr:uid="{00000000-0005-0000-0000-00008F450000}"/>
    <cellStyle name="40% - Accent4 8 4 2 3 2" xfId="15219" xr:uid="{00000000-0005-0000-0000-000090450000}"/>
    <cellStyle name="40% - Accent4 8 4 2 3 3" xfId="23166" xr:uid="{00000000-0005-0000-0000-000091450000}"/>
    <cellStyle name="40% - Accent4 8 4 2 4" xfId="11683" xr:uid="{00000000-0005-0000-0000-000092450000}"/>
    <cellStyle name="40% - Accent4 8 4 2 5" xfId="19638" xr:uid="{00000000-0005-0000-0000-000093450000}"/>
    <cellStyle name="40% - Accent4 8 4 2_Exh G" xfId="3169" xr:uid="{00000000-0005-0000-0000-000094450000}"/>
    <cellStyle name="40% - Accent4 8 4 3" xfId="4536" xr:uid="{00000000-0005-0000-0000-000095450000}"/>
    <cellStyle name="40% - Accent4 8 4 3 2" xfId="8128" xr:uid="{00000000-0005-0000-0000-000096450000}"/>
    <cellStyle name="40% - Accent4 8 4 3 2 2" xfId="16099" xr:uid="{00000000-0005-0000-0000-000097450000}"/>
    <cellStyle name="40% - Accent4 8 4 3 2 3" xfId="24045" xr:uid="{00000000-0005-0000-0000-000098450000}"/>
    <cellStyle name="40% - Accent4 8 4 3 3" xfId="12561" xr:uid="{00000000-0005-0000-0000-000099450000}"/>
    <cellStyle name="40% - Accent4 8 4 3 4" xfId="20516" xr:uid="{00000000-0005-0000-0000-00009A450000}"/>
    <cellStyle name="40% - Accent4 8 4 4" xfId="6366" xr:uid="{00000000-0005-0000-0000-00009B450000}"/>
    <cellStyle name="40% - Accent4 8 4 4 2" xfId="14341" xr:uid="{00000000-0005-0000-0000-00009C450000}"/>
    <cellStyle name="40% - Accent4 8 4 4 3" xfId="22288" xr:uid="{00000000-0005-0000-0000-00009D450000}"/>
    <cellStyle name="40% - Accent4 8 4 5" xfId="9909" xr:uid="{00000000-0005-0000-0000-00009E450000}"/>
    <cellStyle name="40% - Accent4 8 4 5 2" xfId="17867" xr:uid="{00000000-0005-0000-0000-00009F450000}"/>
    <cellStyle name="40% - Accent4 8 4 5 3" xfId="25811" xr:uid="{00000000-0005-0000-0000-0000A0450000}"/>
    <cellStyle name="40% - Accent4 8 4 6" xfId="10805" xr:uid="{00000000-0005-0000-0000-0000A1450000}"/>
    <cellStyle name="40% - Accent4 8 4 7" xfId="18760" xr:uid="{00000000-0005-0000-0000-0000A2450000}"/>
    <cellStyle name="40% - Accent4 8 4_Exh G" xfId="3168" xr:uid="{00000000-0005-0000-0000-0000A3450000}"/>
    <cellStyle name="40% - Accent4 8 5" xfId="1555" xr:uid="{00000000-0005-0000-0000-0000A4450000}"/>
    <cellStyle name="40% - Accent4 8 5 2" xfId="5085" xr:uid="{00000000-0005-0000-0000-0000A5450000}"/>
    <cellStyle name="40% - Accent4 8 5 2 2" xfId="8676" xr:uid="{00000000-0005-0000-0000-0000A6450000}"/>
    <cellStyle name="40% - Accent4 8 5 2 2 2" xfId="16647" xr:uid="{00000000-0005-0000-0000-0000A7450000}"/>
    <cellStyle name="40% - Accent4 8 5 2 2 3" xfId="24593" xr:uid="{00000000-0005-0000-0000-0000A8450000}"/>
    <cellStyle name="40% - Accent4 8 5 2 3" xfId="13109" xr:uid="{00000000-0005-0000-0000-0000A9450000}"/>
    <cellStyle name="40% - Accent4 8 5 2 4" xfId="21064" xr:uid="{00000000-0005-0000-0000-0000AA450000}"/>
    <cellStyle name="40% - Accent4 8 5 3" xfId="6917" xr:uid="{00000000-0005-0000-0000-0000AB450000}"/>
    <cellStyle name="40% - Accent4 8 5 3 2" xfId="14889" xr:uid="{00000000-0005-0000-0000-0000AC450000}"/>
    <cellStyle name="40% - Accent4 8 5 3 3" xfId="22836" xr:uid="{00000000-0005-0000-0000-0000AD450000}"/>
    <cellStyle name="40% - Accent4 8 5 4" xfId="11353" xr:uid="{00000000-0005-0000-0000-0000AE450000}"/>
    <cellStyle name="40% - Accent4 8 5 5" xfId="19308" xr:uid="{00000000-0005-0000-0000-0000AF450000}"/>
    <cellStyle name="40% - Accent4 8 5_Exh G" xfId="3170" xr:uid="{00000000-0005-0000-0000-0000B0450000}"/>
    <cellStyle name="40% - Accent4 8 6" xfId="4206" xr:uid="{00000000-0005-0000-0000-0000B1450000}"/>
    <cellStyle name="40% - Accent4 8 6 2" xfId="7798" xr:uid="{00000000-0005-0000-0000-0000B2450000}"/>
    <cellStyle name="40% - Accent4 8 6 2 2" xfId="15769" xr:uid="{00000000-0005-0000-0000-0000B3450000}"/>
    <cellStyle name="40% - Accent4 8 6 2 3" xfId="23715" xr:uid="{00000000-0005-0000-0000-0000B4450000}"/>
    <cellStyle name="40% - Accent4 8 6 3" xfId="12231" xr:uid="{00000000-0005-0000-0000-0000B5450000}"/>
    <cellStyle name="40% - Accent4 8 6 4" xfId="20186" xr:uid="{00000000-0005-0000-0000-0000B6450000}"/>
    <cellStyle name="40% - Accent4 8 7" xfId="6026" xr:uid="{00000000-0005-0000-0000-0000B7450000}"/>
    <cellStyle name="40% - Accent4 8 7 2" xfId="14010" xr:uid="{00000000-0005-0000-0000-0000B8450000}"/>
    <cellStyle name="40% - Accent4 8 7 3" xfId="21958" xr:uid="{00000000-0005-0000-0000-0000B9450000}"/>
    <cellStyle name="40% - Accent4 8 8" xfId="9579" xr:uid="{00000000-0005-0000-0000-0000BA450000}"/>
    <cellStyle name="40% - Accent4 8 8 2" xfId="17537" xr:uid="{00000000-0005-0000-0000-0000BB450000}"/>
    <cellStyle name="40% - Accent4 8 8 3" xfId="25481" xr:uid="{00000000-0005-0000-0000-0000BC450000}"/>
    <cellStyle name="40% - Accent4 8 9" xfId="10475" xr:uid="{00000000-0005-0000-0000-0000BD450000}"/>
    <cellStyle name="40% - Accent4 8_Exh G" xfId="3161" xr:uid="{00000000-0005-0000-0000-0000BE450000}"/>
    <cellStyle name="40% - Accent4 9" xfId="531" xr:uid="{00000000-0005-0000-0000-0000BF450000}"/>
    <cellStyle name="40% - Accent4 9 10" xfId="18434" xr:uid="{00000000-0005-0000-0000-0000C0450000}"/>
    <cellStyle name="40% - Accent4 9 2" xfId="532" xr:uid="{00000000-0005-0000-0000-0000C1450000}"/>
    <cellStyle name="40% - Accent4 9 2 2" xfId="533" xr:uid="{00000000-0005-0000-0000-0000C2450000}"/>
    <cellStyle name="40% - Accent4 9 2 2 2" xfId="1561" xr:uid="{00000000-0005-0000-0000-0000C3450000}"/>
    <cellStyle name="40% - Accent4 9 2 2 2 2" xfId="5091" xr:uid="{00000000-0005-0000-0000-0000C4450000}"/>
    <cellStyle name="40% - Accent4 9 2 2 2 2 2" xfId="8682" xr:uid="{00000000-0005-0000-0000-0000C5450000}"/>
    <cellStyle name="40% - Accent4 9 2 2 2 2 2 2" xfId="16653" xr:uid="{00000000-0005-0000-0000-0000C6450000}"/>
    <cellStyle name="40% - Accent4 9 2 2 2 2 2 3" xfId="24599" xr:uid="{00000000-0005-0000-0000-0000C7450000}"/>
    <cellStyle name="40% - Accent4 9 2 2 2 2 3" xfId="13115" xr:uid="{00000000-0005-0000-0000-0000C8450000}"/>
    <cellStyle name="40% - Accent4 9 2 2 2 2 4" xfId="21070" xr:uid="{00000000-0005-0000-0000-0000C9450000}"/>
    <cellStyle name="40% - Accent4 9 2 2 2 3" xfId="6923" xr:uid="{00000000-0005-0000-0000-0000CA450000}"/>
    <cellStyle name="40% - Accent4 9 2 2 2 3 2" xfId="14895" xr:uid="{00000000-0005-0000-0000-0000CB450000}"/>
    <cellStyle name="40% - Accent4 9 2 2 2 3 3" xfId="22842" xr:uid="{00000000-0005-0000-0000-0000CC450000}"/>
    <cellStyle name="40% - Accent4 9 2 2 2 4" xfId="11359" xr:uid="{00000000-0005-0000-0000-0000CD450000}"/>
    <cellStyle name="40% - Accent4 9 2 2 2 5" xfId="19314" xr:uid="{00000000-0005-0000-0000-0000CE450000}"/>
    <cellStyle name="40% - Accent4 9 2 2 2_Exh G" xfId="3174" xr:uid="{00000000-0005-0000-0000-0000CF450000}"/>
    <cellStyle name="40% - Accent4 9 2 2 3" xfId="4212" xr:uid="{00000000-0005-0000-0000-0000D0450000}"/>
    <cellStyle name="40% - Accent4 9 2 2 3 2" xfId="7804" xr:uid="{00000000-0005-0000-0000-0000D1450000}"/>
    <cellStyle name="40% - Accent4 9 2 2 3 2 2" xfId="15775" xr:uid="{00000000-0005-0000-0000-0000D2450000}"/>
    <cellStyle name="40% - Accent4 9 2 2 3 2 3" xfId="23721" xr:uid="{00000000-0005-0000-0000-0000D3450000}"/>
    <cellStyle name="40% - Accent4 9 2 2 3 3" xfId="12237" xr:uid="{00000000-0005-0000-0000-0000D4450000}"/>
    <cellStyle name="40% - Accent4 9 2 2 3 4" xfId="20192" xr:uid="{00000000-0005-0000-0000-0000D5450000}"/>
    <cellStyle name="40% - Accent4 9 2 2 4" xfId="6032" xr:uid="{00000000-0005-0000-0000-0000D6450000}"/>
    <cellStyle name="40% - Accent4 9 2 2 4 2" xfId="14016" xr:uid="{00000000-0005-0000-0000-0000D7450000}"/>
    <cellStyle name="40% - Accent4 9 2 2 4 3" xfId="21964" xr:uid="{00000000-0005-0000-0000-0000D8450000}"/>
    <cellStyle name="40% - Accent4 9 2 2 5" xfId="9585" xr:uid="{00000000-0005-0000-0000-0000D9450000}"/>
    <cellStyle name="40% - Accent4 9 2 2 5 2" xfId="17543" xr:uid="{00000000-0005-0000-0000-0000DA450000}"/>
    <cellStyle name="40% - Accent4 9 2 2 5 3" xfId="25487" xr:uid="{00000000-0005-0000-0000-0000DB450000}"/>
    <cellStyle name="40% - Accent4 9 2 2 6" xfId="10481" xr:uid="{00000000-0005-0000-0000-0000DC450000}"/>
    <cellStyle name="40% - Accent4 9 2 2 7" xfId="18436" xr:uid="{00000000-0005-0000-0000-0000DD450000}"/>
    <cellStyle name="40% - Accent4 9 2 2_Exh G" xfId="3173" xr:uid="{00000000-0005-0000-0000-0000DE450000}"/>
    <cellStyle name="40% - Accent4 9 2 3" xfId="1560" xr:uid="{00000000-0005-0000-0000-0000DF450000}"/>
    <cellStyle name="40% - Accent4 9 2 3 2" xfId="5090" xr:uid="{00000000-0005-0000-0000-0000E0450000}"/>
    <cellStyle name="40% - Accent4 9 2 3 2 2" xfId="8681" xr:uid="{00000000-0005-0000-0000-0000E1450000}"/>
    <cellStyle name="40% - Accent4 9 2 3 2 2 2" xfId="16652" xr:uid="{00000000-0005-0000-0000-0000E2450000}"/>
    <cellStyle name="40% - Accent4 9 2 3 2 2 3" xfId="24598" xr:uid="{00000000-0005-0000-0000-0000E3450000}"/>
    <cellStyle name="40% - Accent4 9 2 3 2 3" xfId="13114" xr:uid="{00000000-0005-0000-0000-0000E4450000}"/>
    <cellStyle name="40% - Accent4 9 2 3 2 4" xfId="21069" xr:uid="{00000000-0005-0000-0000-0000E5450000}"/>
    <cellStyle name="40% - Accent4 9 2 3 3" xfId="6922" xr:uid="{00000000-0005-0000-0000-0000E6450000}"/>
    <cellStyle name="40% - Accent4 9 2 3 3 2" xfId="14894" xr:uid="{00000000-0005-0000-0000-0000E7450000}"/>
    <cellStyle name="40% - Accent4 9 2 3 3 3" xfId="22841" xr:uid="{00000000-0005-0000-0000-0000E8450000}"/>
    <cellStyle name="40% - Accent4 9 2 3 4" xfId="11358" xr:uid="{00000000-0005-0000-0000-0000E9450000}"/>
    <cellStyle name="40% - Accent4 9 2 3 5" xfId="19313" xr:uid="{00000000-0005-0000-0000-0000EA450000}"/>
    <cellStyle name="40% - Accent4 9 2 3_Exh G" xfId="3175" xr:uid="{00000000-0005-0000-0000-0000EB450000}"/>
    <cellStyle name="40% - Accent4 9 2 4" xfId="4211" xr:uid="{00000000-0005-0000-0000-0000EC450000}"/>
    <cellStyle name="40% - Accent4 9 2 4 2" xfId="7803" xr:uid="{00000000-0005-0000-0000-0000ED450000}"/>
    <cellStyle name="40% - Accent4 9 2 4 2 2" xfId="15774" xr:uid="{00000000-0005-0000-0000-0000EE450000}"/>
    <cellStyle name="40% - Accent4 9 2 4 2 3" xfId="23720" xr:uid="{00000000-0005-0000-0000-0000EF450000}"/>
    <cellStyle name="40% - Accent4 9 2 4 3" xfId="12236" xr:uid="{00000000-0005-0000-0000-0000F0450000}"/>
    <cellStyle name="40% - Accent4 9 2 4 4" xfId="20191" xr:uid="{00000000-0005-0000-0000-0000F1450000}"/>
    <cellStyle name="40% - Accent4 9 2 5" xfId="6031" xr:uid="{00000000-0005-0000-0000-0000F2450000}"/>
    <cellStyle name="40% - Accent4 9 2 5 2" xfId="14015" xr:uid="{00000000-0005-0000-0000-0000F3450000}"/>
    <cellStyle name="40% - Accent4 9 2 5 3" xfId="21963" xr:uid="{00000000-0005-0000-0000-0000F4450000}"/>
    <cellStyle name="40% - Accent4 9 2 6" xfId="9584" xr:uid="{00000000-0005-0000-0000-0000F5450000}"/>
    <cellStyle name="40% - Accent4 9 2 6 2" xfId="17542" xr:uid="{00000000-0005-0000-0000-0000F6450000}"/>
    <cellStyle name="40% - Accent4 9 2 6 3" xfId="25486" xr:uid="{00000000-0005-0000-0000-0000F7450000}"/>
    <cellStyle name="40% - Accent4 9 2 7" xfId="10480" xr:uid="{00000000-0005-0000-0000-0000F8450000}"/>
    <cellStyle name="40% - Accent4 9 2 8" xfId="18435" xr:uid="{00000000-0005-0000-0000-0000F9450000}"/>
    <cellStyle name="40% - Accent4 9 2_Exh G" xfId="3172" xr:uid="{00000000-0005-0000-0000-0000FA450000}"/>
    <cellStyle name="40% - Accent4 9 3" xfId="534" xr:uid="{00000000-0005-0000-0000-0000FB450000}"/>
    <cellStyle name="40% - Accent4 9 3 2" xfId="1562" xr:uid="{00000000-0005-0000-0000-0000FC450000}"/>
    <cellStyle name="40% - Accent4 9 3 2 2" xfId="5092" xr:uid="{00000000-0005-0000-0000-0000FD450000}"/>
    <cellStyle name="40% - Accent4 9 3 2 2 2" xfId="8683" xr:uid="{00000000-0005-0000-0000-0000FE450000}"/>
    <cellStyle name="40% - Accent4 9 3 2 2 2 2" xfId="16654" xr:uid="{00000000-0005-0000-0000-0000FF450000}"/>
    <cellStyle name="40% - Accent4 9 3 2 2 2 3" xfId="24600" xr:uid="{00000000-0005-0000-0000-000000460000}"/>
    <cellStyle name="40% - Accent4 9 3 2 2 3" xfId="13116" xr:uid="{00000000-0005-0000-0000-000001460000}"/>
    <cellStyle name="40% - Accent4 9 3 2 2 4" xfId="21071" xr:uid="{00000000-0005-0000-0000-000002460000}"/>
    <cellStyle name="40% - Accent4 9 3 2 3" xfId="6924" xr:uid="{00000000-0005-0000-0000-000003460000}"/>
    <cellStyle name="40% - Accent4 9 3 2 3 2" xfId="14896" xr:uid="{00000000-0005-0000-0000-000004460000}"/>
    <cellStyle name="40% - Accent4 9 3 2 3 3" xfId="22843" xr:uid="{00000000-0005-0000-0000-000005460000}"/>
    <cellStyle name="40% - Accent4 9 3 2 4" xfId="11360" xr:uid="{00000000-0005-0000-0000-000006460000}"/>
    <cellStyle name="40% - Accent4 9 3 2 5" xfId="19315" xr:uid="{00000000-0005-0000-0000-000007460000}"/>
    <cellStyle name="40% - Accent4 9 3 2_Exh G" xfId="3177" xr:uid="{00000000-0005-0000-0000-000008460000}"/>
    <cellStyle name="40% - Accent4 9 3 3" xfId="4213" xr:uid="{00000000-0005-0000-0000-000009460000}"/>
    <cellStyle name="40% - Accent4 9 3 3 2" xfId="7805" xr:uid="{00000000-0005-0000-0000-00000A460000}"/>
    <cellStyle name="40% - Accent4 9 3 3 2 2" xfId="15776" xr:uid="{00000000-0005-0000-0000-00000B460000}"/>
    <cellStyle name="40% - Accent4 9 3 3 2 3" xfId="23722" xr:uid="{00000000-0005-0000-0000-00000C460000}"/>
    <cellStyle name="40% - Accent4 9 3 3 3" xfId="12238" xr:uid="{00000000-0005-0000-0000-00000D460000}"/>
    <cellStyle name="40% - Accent4 9 3 3 4" xfId="20193" xr:uid="{00000000-0005-0000-0000-00000E460000}"/>
    <cellStyle name="40% - Accent4 9 3 4" xfId="6033" xr:uid="{00000000-0005-0000-0000-00000F460000}"/>
    <cellStyle name="40% - Accent4 9 3 4 2" xfId="14017" xr:uid="{00000000-0005-0000-0000-000010460000}"/>
    <cellStyle name="40% - Accent4 9 3 4 3" xfId="21965" xr:uid="{00000000-0005-0000-0000-000011460000}"/>
    <cellStyle name="40% - Accent4 9 3 5" xfId="9586" xr:uid="{00000000-0005-0000-0000-000012460000}"/>
    <cellStyle name="40% - Accent4 9 3 5 2" xfId="17544" xr:uid="{00000000-0005-0000-0000-000013460000}"/>
    <cellStyle name="40% - Accent4 9 3 5 3" xfId="25488" xr:uid="{00000000-0005-0000-0000-000014460000}"/>
    <cellStyle name="40% - Accent4 9 3 6" xfId="10482" xr:uid="{00000000-0005-0000-0000-000015460000}"/>
    <cellStyle name="40% - Accent4 9 3 7" xfId="18437" xr:uid="{00000000-0005-0000-0000-000016460000}"/>
    <cellStyle name="40% - Accent4 9 3_Exh G" xfId="3176" xr:uid="{00000000-0005-0000-0000-000017460000}"/>
    <cellStyle name="40% - Accent4 9 4" xfId="981" xr:uid="{00000000-0005-0000-0000-000018460000}"/>
    <cellStyle name="40% - Accent4 9 4 2" xfId="1898" xr:uid="{00000000-0005-0000-0000-000019460000}"/>
    <cellStyle name="40% - Accent4 9 4 2 2" xfId="5416" xr:uid="{00000000-0005-0000-0000-00001A460000}"/>
    <cellStyle name="40% - Accent4 9 4 2 2 2" xfId="9007" xr:uid="{00000000-0005-0000-0000-00001B460000}"/>
    <cellStyle name="40% - Accent4 9 4 2 2 2 2" xfId="16978" xr:uid="{00000000-0005-0000-0000-00001C460000}"/>
    <cellStyle name="40% - Accent4 9 4 2 2 2 3" xfId="24924" xr:uid="{00000000-0005-0000-0000-00001D460000}"/>
    <cellStyle name="40% - Accent4 9 4 2 2 3" xfId="13440" xr:uid="{00000000-0005-0000-0000-00001E460000}"/>
    <cellStyle name="40% - Accent4 9 4 2 2 4" xfId="21395" xr:uid="{00000000-0005-0000-0000-00001F460000}"/>
    <cellStyle name="40% - Accent4 9 4 2 3" xfId="7248" xr:uid="{00000000-0005-0000-0000-000020460000}"/>
    <cellStyle name="40% - Accent4 9 4 2 3 2" xfId="15220" xr:uid="{00000000-0005-0000-0000-000021460000}"/>
    <cellStyle name="40% - Accent4 9 4 2 3 3" xfId="23167" xr:uid="{00000000-0005-0000-0000-000022460000}"/>
    <cellStyle name="40% - Accent4 9 4 2 4" xfId="11684" xr:uid="{00000000-0005-0000-0000-000023460000}"/>
    <cellStyle name="40% - Accent4 9 4 2 5" xfId="19639" xr:uid="{00000000-0005-0000-0000-000024460000}"/>
    <cellStyle name="40% - Accent4 9 4 2_Exh G" xfId="3179" xr:uid="{00000000-0005-0000-0000-000025460000}"/>
    <cellStyle name="40% - Accent4 9 4 3" xfId="4537" xr:uid="{00000000-0005-0000-0000-000026460000}"/>
    <cellStyle name="40% - Accent4 9 4 3 2" xfId="8129" xr:uid="{00000000-0005-0000-0000-000027460000}"/>
    <cellStyle name="40% - Accent4 9 4 3 2 2" xfId="16100" xr:uid="{00000000-0005-0000-0000-000028460000}"/>
    <cellStyle name="40% - Accent4 9 4 3 2 3" xfId="24046" xr:uid="{00000000-0005-0000-0000-000029460000}"/>
    <cellStyle name="40% - Accent4 9 4 3 3" xfId="12562" xr:uid="{00000000-0005-0000-0000-00002A460000}"/>
    <cellStyle name="40% - Accent4 9 4 3 4" xfId="20517" xr:uid="{00000000-0005-0000-0000-00002B460000}"/>
    <cellStyle name="40% - Accent4 9 4 4" xfId="6367" xr:uid="{00000000-0005-0000-0000-00002C460000}"/>
    <cellStyle name="40% - Accent4 9 4 4 2" xfId="14342" xr:uid="{00000000-0005-0000-0000-00002D460000}"/>
    <cellStyle name="40% - Accent4 9 4 4 3" xfId="22289" xr:uid="{00000000-0005-0000-0000-00002E460000}"/>
    <cellStyle name="40% - Accent4 9 4 5" xfId="9910" xr:uid="{00000000-0005-0000-0000-00002F460000}"/>
    <cellStyle name="40% - Accent4 9 4 5 2" xfId="17868" xr:uid="{00000000-0005-0000-0000-000030460000}"/>
    <cellStyle name="40% - Accent4 9 4 5 3" xfId="25812" xr:uid="{00000000-0005-0000-0000-000031460000}"/>
    <cellStyle name="40% - Accent4 9 4 6" xfId="10806" xr:uid="{00000000-0005-0000-0000-000032460000}"/>
    <cellStyle name="40% - Accent4 9 4 7" xfId="18761" xr:uid="{00000000-0005-0000-0000-000033460000}"/>
    <cellStyle name="40% - Accent4 9 4_Exh G" xfId="3178" xr:uid="{00000000-0005-0000-0000-000034460000}"/>
    <cellStyle name="40% - Accent4 9 5" xfId="1559" xr:uid="{00000000-0005-0000-0000-000035460000}"/>
    <cellStyle name="40% - Accent4 9 5 2" xfId="5089" xr:uid="{00000000-0005-0000-0000-000036460000}"/>
    <cellStyle name="40% - Accent4 9 5 2 2" xfId="8680" xr:uid="{00000000-0005-0000-0000-000037460000}"/>
    <cellStyle name="40% - Accent4 9 5 2 2 2" xfId="16651" xr:uid="{00000000-0005-0000-0000-000038460000}"/>
    <cellStyle name="40% - Accent4 9 5 2 2 3" xfId="24597" xr:uid="{00000000-0005-0000-0000-000039460000}"/>
    <cellStyle name="40% - Accent4 9 5 2 3" xfId="13113" xr:uid="{00000000-0005-0000-0000-00003A460000}"/>
    <cellStyle name="40% - Accent4 9 5 2 4" xfId="21068" xr:uid="{00000000-0005-0000-0000-00003B460000}"/>
    <cellStyle name="40% - Accent4 9 5 3" xfId="6921" xr:uid="{00000000-0005-0000-0000-00003C460000}"/>
    <cellStyle name="40% - Accent4 9 5 3 2" xfId="14893" xr:uid="{00000000-0005-0000-0000-00003D460000}"/>
    <cellStyle name="40% - Accent4 9 5 3 3" xfId="22840" xr:uid="{00000000-0005-0000-0000-00003E460000}"/>
    <cellStyle name="40% - Accent4 9 5 4" xfId="11357" xr:uid="{00000000-0005-0000-0000-00003F460000}"/>
    <cellStyle name="40% - Accent4 9 5 5" xfId="19312" xr:uid="{00000000-0005-0000-0000-000040460000}"/>
    <cellStyle name="40% - Accent4 9 5_Exh G" xfId="3180" xr:uid="{00000000-0005-0000-0000-000041460000}"/>
    <cellStyle name="40% - Accent4 9 6" xfId="4210" xr:uid="{00000000-0005-0000-0000-000042460000}"/>
    <cellStyle name="40% - Accent4 9 6 2" xfId="7802" xr:uid="{00000000-0005-0000-0000-000043460000}"/>
    <cellStyle name="40% - Accent4 9 6 2 2" xfId="15773" xr:uid="{00000000-0005-0000-0000-000044460000}"/>
    <cellStyle name="40% - Accent4 9 6 2 3" xfId="23719" xr:uid="{00000000-0005-0000-0000-000045460000}"/>
    <cellStyle name="40% - Accent4 9 6 3" xfId="12235" xr:uid="{00000000-0005-0000-0000-000046460000}"/>
    <cellStyle name="40% - Accent4 9 6 4" xfId="20190" xr:uid="{00000000-0005-0000-0000-000047460000}"/>
    <cellStyle name="40% - Accent4 9 7" xfId="6030" xr:uid="{00000000-0005-0000-0000-000048460000}"/>
    <cellStyle name="40% - Accent4 9 7 2" xfId="14014" xr:uid="{00000000-0005-0000-0000-000049460000}"/>
    <cellStyle name="40% - Accent4 9 7 3" xfId="21962" xr:uid="{00000000-0005-0000-0000-00004A460000}"/>
    <cellStyle name="40% - Accent4 9 8" xfId="9583" xr:uid="{00000000-0005-0000-0000-00004B460000}"/>
    <cellStyle name="40% - Accent4 9 8 2" xfId="17541" xr:uid="{00000000-0005-0000-0000-00004C460000}"/>
    <cellStyle name="40% - Accent4 9 8 3" xfId="25485" xr:uid="{00000000-0005-0000-0000-00004D460000}"/>
    <cellStyle name="40% - Accent4 9 9" xfId="10479" xr:uid="{00000000-0005-0000-0000-00004E460000}"/>
    <cellStyle name="40% - Accent4 9_Exh G" xfId="3171" xr:uid="{00000000-0005-0000-0000-00004F460000}"/>
    <cellStyle name="40% - Accent5 10" xfId="535" xr:uid="{00000000-0005-0000-0000-000050460000}"/>
    <cellStyle name="40% - Accent5 10 10" xfId="18438" xr:uid="{00000000-0005-0000-0000-000051460000}"/>
    <cellStyle name="40% - Accent5 10 2" xfId="536" xr:uid="{00000000-0005-0000-0000-000052460000}"/>
    <cellStyle name="40% - Accent5 10 2 2" xfId="537" xr:uid="{00000000-0005-0000-0000-000053460000}"/>
    <cellStyle name="40% - Accent5 10 2 2 2" xfId="1565" xr:uid="{00000000-0005-0000-0000-000054460000}"/>
    <cellStyle name="40% - Accent5 10 2 2 2 2" xfId="5095" xr:uid="{00000000-0005-0000-0000-000055460000}"/>
    <cellStyle name="40% - Accent5 10 2 2 2 2 2" xfId="8686" xr:uid="{00000000-0005-0000-0000-000056460000}"/>
    <cellStyle name="40% - Accent5 10 2 2 2 2 2 2" xfId="16657" xr:uid="{00000000-0005-0000-0000-000057460000}"/>
    <cellStyle name="40% - Accent5 10 2 2 2 2 2 3" xfId="24603" xr:uid="{00000000-0005-0000-0000-000058460000}"/>
    <cellStyle name="40% - Accent5 10 2 2 2 2 3" xfId="13119" xr:uid="{00000000-0005-0000-0000-000059460000}"/>
    <cellStyle name="40% - Accent5 10 2 2 2 2 4" xfId="21074" xr:uid="{00000000-0005-0000-0000-00005A460000}"/>
    <cellStyle name="40% - Accent5 10 2 2 2 3" xfId="6927" xr:uid="{00000000-0005-0000-0000-00005B460000}"/>
    <cellStyle name="40% - Accent5 10 2 2 2 3 2" xfId="14899" xr:uid="{00000000-0005-0000-0000-00005C460000}"/>
    <cellStyle name="40% - Accent5 10 2 2 2 3 3" xfId="22846" xr:uid="{00000000-0005-0000-0000-00005D460000}"/>
    <cellStyle name="40% - Accent5 10 2 2 2 4" xfId="11363" xr:uid="{00000000-0005-0000-0000-00005E460000}"/>
    <cellStyle name="40% - Accent5 10 2 2 2 5" xfId="19318" xr:uid="{00000000-0005-0000-0000-00005F460000}"/>
    <cellStyle name="40% - Accent5 10 2 2 2_Exh G" xfId="3184" xr:uid="{00000000-0005-0000-0000-000060460000}"/>
    <cellStyle name="40% - Accent5 10 2 2 3" xfId="4216" xr:uid="{00000000-0005-0000-0000-000061460000}"/>
    <cellStyle name="40% - Accent5 10 2 2 3 2" xfId="7808" xr:uid="{00000000-0005-0000-0000-000062460000}"/>
    <cellStyle name="40% - Accent5 10 2 2 3 2 2" xfId="15779" xr:uid="{00000000-0005-0000-0000-000063460000}"/>
    <cellStyle name="40% - Accent5 10 2 2 3 2 3" xfId="23725" xr:uid="{00000000-0005-0000-0000-000064460000}"/>
    <cellStyle name="40% - Accent5 10 2 2 3 3" xfId="12241" xr:uid="{00000000-0005-0000-0000-000065460000}"/>
    <cellStyle name="40% - Accent5 10 2 2 3 4" xfId="20196" xr:uid="{00000000-0005-0000-0000-000066460000}"/>
    <cellStyle name="40% - Accent5 10 2 2 4" xfId="6036" xr:uid="{00000000-0005-0000-0000-000067460000}"/>
    <cellStyle name="40% - Accent5 10 2 2 4 2" xfId="14020" xr:uid="{00000000-0005-0000-0000-000068460000}"/>
    <cellStyle name="40% - Accent5 10 2 2 4 3" xfId="21968" xr:uid="{00000000-0005-0000-0000-000069460000}"/>
    <cellStyle name="40% - Accent5 10 2 2 5" xfId="9589" xr:uid="{00000000-0005-0000-0000-00006A460000}"/>
    <cellStyle name="40% - Accent5 10 2 2 5 2" xfId="17547" xr:uid="{00000000-0005-0000-0000-00006B460000}"/>
    <cellStyle name="40% - Accent5 10 2 2 5 3" xfId="25491" xr:uid="{00000000-0005-0000-0000-00006C460000}"/>
    <cellStyle name="40% - Accent5 10 2 2 6" xfId="10485" xr:uid="{00000000-0005-0000-0000-00006D460000}"/>
    <cellStyle name="40% - Accent5 10 2 2 7" xfId="18440" xr:uid="{00000000-0005-0000-0000-00006E460000}"/>
    <cellStyle name="40% - Accent5 10 2 2_Exh G" xfId="3183" xr:uid="{00000000-0005-0000-0000-00006F460000}"/>
    <cellStyle name="40% - Accent5 10 2 3" xfId="1564" xr:uid="{00000000-0005-0000-0000-000070460000}"/>
    <cellStyle name="40% - Accent5 10 2 3 2" xfId="5094" xr:uid="{00000000-0005-0000-0000-000071460000}"/>
    <cellStyle name="40% - Accent5 10 2 3 2 2" xfId="8685" xr:uid="{00000000-0005-0000-0000-000072460000}"/>
    <cellStyle name="40% - Accent5 10 2 3 2 2 2" xfId="16656" xr:uid="{00000000-0005-0000-0000-000073460000}"/>
    <cellStyle name="40% - Accent5 10 2 3 2 2 3" xfId="24602" xr:uid="{00000000-0005-0000-0000-000074460000}"/>
    <cellStyle name="40% - Accent5 10 2 3 2 3" xfId="13118" xr:uid="{00000000-0005-0000-0000-000075460000}"/>
    <cellStyle name="40% - Accent5 10 2 3 2 4" xfId="21073" xr:uid="{00000000-0005-0000-0000-000076460000}"/>
    <cellStyle name="40% - Accent5 10 2 3 3" xfId="6926" xr:uid="{00000000-0005-0000-0000-000077460000}"/>
    <cellStyle name="40% - Accent5 10 2 3 3 2" xfId="14898" xr:uid="{00000000-0005-0000-0000-000078460000}"/>
    <cellStyle name="40% - Accent5 10 2 3 3 3" xfId="22845" xr:uid="{00000000-0005-0000-0000-000079460000}"/>
    <cellStyle name="40% - Accent5 10 2 3 4" xfId="11362" xr:uid="{00000000-0005-0000-0000-00007A460000}"/>
    <cellStyle name="40% - Accent5 10 2 3 5" xfId="19317" xr:uid="{00000000-0005-0000-0000-00007B460000}"/>
    <cellStyle name="40% - Accent5 10 2 3_Exh G" xfId="3185" xr:uid="{00000000-0005-0000-0000-00007C460000}"/>
    <cellStyle name="40% - Accent5 10 2 4" xfId="4215" xr:uid="{00000000-0005-0000-0000-00007D460000}"/>
    <cellStyle name="40% - Accent5 10 2 4 2" xfId="7807" xr:uid="{00000000-0005-0000-0000-00007E460000}"/>
    <cellStyle name="40% - Accent5 10 2 4 2 2" xfId="15778" xr:uid="{00000000-0005-0000-0000-00007F460000}"/>
    <cellStyle name="40% - Accent5 10 2 4 2 3" xfId="23724" xr:uid="{00000000-0005-0000-0000-000080460000}"/>
    <cellStyle name="40% - Accent5 10 2 4 3" xfId="12240" xr:uid="{00000000-0005-0000-0000-000081460000}"/>
    <cellStyle name="40% - Accent5 10 2 4 4" xfId="20195" xr:uid="{00000000-0005-0000-0000-000082460000}"/>
    <cellStyle name="40% - Accent5 10 2 5" xfId="6035" xr:uid="{00000000-0005-0000-0000-000083460000}"/>
    <cellStyle name="40% - Accent5 10 2 5 2" xfId="14019" xr:uid="{00000000-0005-0000-0000-000084460000}"/>
    <cellStyle name="40% - Accent5 10 2 5 3" xfId="21967" xr:uid="{00000000-0005-0000-0000-000085460000}"/>
    <cellStyle name="40% - Accent5 10 2 6" xfId="9588" xr:uid="{00000000-0005-0000-0000-000086460000}"/>
    <cellStyle name="40% - Accent5 10 2 6 2" xfId="17546" xr:uid="{00000000-0005-0000-0000-000087460000}"/>
    <cellStyle name="40% - Accent5 10 2 6 3" xfId="25490" xr:uid="{00000000-0005-0000-0000-000088460000}"/>
    <cellStyle name="40% - Accent5 10 2 7" xfId="10484" xr:uid="{00000000-0005-0000-0000-000089460000}"/>
    <cellStyle name="40% - Accent5 10 2 8" xfId="18439" xr:uid="{00000000-0005-0000-0000-00008A460000}"/>
    <cellStyle name="40% - Accent5 10 2_Exh G" xfId="3182" xr:uid="{00000000-0005-0000-0000-00008B460000}"/>
    <cellStyle name="40% - Accent5 10 3" xfId="538" xr:uid="{00000000-0005-0000-0000-00008C460000}"/>
    <cellStyle name="40% - Accent5 10 3 2" xfId="1566" xr:uid="{00000000-0005-0000-0000-00008D460000}"/>
    <cellStyle name="40% - Accent5 10 3 2 2" xfId="5096" xr:uid="{00000000-0005-0000-0000-00008E460000}"/>
    <cellStyle name="40% - Accent5 10 3 2 2 2" xfId="8687" xr:uid="{00000000-0005-0000-0000-00008F460000}"/>
    <cellStyle name="40% - Accent5 10 3 2 2 2 2" xfId="16658" xr:uid="{00000000-0005-0000-0000-000090460000}"/>
    <cellStyle name="40% - Accent5 10 3 2 2 2 3" xfId="24604" xr:uid="{00000000-0005-0000-0000-000091460000}"/>
    <cellStyle name="40% - Accent5 10 3 2 2 3" xfId="13120" xr:uid="{00000000-0005-0000-0000-000092460000}"/>
    <cellStyle name="40% - Accent5 10 3 2 2 4" xfId="21075" xr:uid="{00000000-0005-0000-0000-000093460000}"/>
    <cellStyle name="40% - Accent5 10 3 2 3" xfId="6928" xr:uid="{00000000-0005-0000-0000-000094460000}"/>
    <cellStyle name="40% - Accent5 10 3 2 3 2" xfId="14900" xr:uid="{00000000-0005-0000-0000-000095460000}"/>
    <cellStyle name="40% - Accent5 10 3 2 3 3" xfId="22847" xr:uid="{00000000-0005-0000-0000-000096460000}"/>
    <cellStyle name="40% - Accent5 10 3 2 4" xfId="11364" xr:uid="{00000000-0005-0000-0000-000097460000}"/>
    <cellStyle name="40% - Accent5 10 3 2 5" xfId="19319" xr:uid="{00000000-0005-0000-0000-000098460000}"/>
    <cellStyle name="40% - Accent5 10 3 2_Exh G" xfId="3187" xr:uid="{00000000-0005-0000-0000-000099460000}"/>
    <cellStyle name="40% - Accent5 10 3 3" xfId="4217" xr:uid="{00000000-0005-0000-0000-00009A460000}"/>
    <cellStyle name="40% - Accent5 10 3 3 2" xfId="7809" xr:uid="{00000000-0005-0000-0000-00009B460000}"/>
    <cellStyle name="40% - Accent5 10 3 3 2 2" xfId="15780" xr:uid="{00000000-0005-0000-0000-00009C460000}"/>
    <cellStyle name="40% - Accent5 10 3 3 2 3" xfId="23726" xr:uid="{00000000-0005-0000-0000-00009D460000}"/>
    <cellStyle name="40% - Accent5 10 3 3 3" xfId="12242" xr:uid="{00000000-0005-0000-0000-00009E460000}"/>
    <cellStyle name="40% - Accent5 10 3 3 4" xfId="20197" xr:uid="{00000000-0005-0000-0000-00009F460000}"/>
    <cellStyle name="40% - Accent5 10 3 4" xfId="6037" xr:uid="{00000000-0005-0000-0000-0000A0460000}"/>
    <cellStyle name="40% - Accent5 10 3 4 2" xfId="14021" xr:uid="{00000000-0005-0000-0000-0000A1460000}"/>
    <cellStyle name="40% - Accent5 10 3 4 3" xfId="21969" xr:uid="{00000000-0005-0000-0000-0000A2460000}"/>
    <cellStyle name="40% - Accent5 10 3 5" xfId="9590" xr:uid="{00000000-0005-0000-0000-0000A3460000}"/>
    <cellStyle name="40% - Accent5 10 3 5 2" xfId="17548" xr:uid="{00000000-0005-0000-0000-0000A4460000}"/>
    <cellStyle name="40% - Accent5 10 3 5 3" xfId="25492" xr:uid="{00000000-0005-0000-0000-0000A5460000}"/>
    <cellStyle name="40% - Accent5 10 3 6" xfId="10486" xr:uid="{00000000-0005-0000-0000-0000A6460000}"/>
    <cellStyle name="40% - Accent5 10 3 7" xfId="18441" xr:uid="{00000000-0005-0000-0000-0000A7460000}"/>
    <cellStyle name="40% - Accent5 10 3_Exh G" xfId="3186" xr:uid="{00000000-0005-0000-0000-0000A8460000}"/>
    <cellStyle name="40% - Accent5 10 4" xfId="982" xr:uid="{00000000-0005-0000-0000-0000A9460000}"/>
    <cellStyle name="40% - Accent5 10 5" xfId="1563" xr:uid="{00000000-0005-0000-0000-0000AA460000}"/>
    <cellStyle name="40% - Accent5 10 5 2" xfId="5093" xr:uid="{00000000-0005-0000-0000-0000AB460000}"/>
    <cellStyle name="40% - Accent5 10 5 2 2" xfId="8684" xr:uid="{00000000-0005-0000-0000-0000AC460000}"/>
    <cellStyle name="40% - Accent5 10 5 2 2 2" xfId="16655" xr:uid="{00000000-0005-0000-0000-0000AD460000}"/>
    <cellStyle name="40% - Accent5 10 5 2 2 3" xfId="24601" xr:uid="{00000000-0005-0000-0000-0000AE460000}"/>
    <cellStyle name="40% - Accent5 10 5 2 3" xfId="13117" xr:uid="{00000000-0005-0000-0000-0000AF460000}"/>
    <cellStyle name="40% - Accent5 10 5 2 4" xfId="21072" xr:uid="{00000000-0005-0000-0000-0000B0460000}"/>
    <cellStyle name="40% - Accent5 10 5 3" xfId="6925" xr:uid="{00000000-0005-0000-0000-0000B1460000}"/>
    <cellStyle name="40% - Accent5 10 5 3 2" xfId="14897" xr:uid="{00000000-0005-0000-0000-0000B2460000}"/>
    <cellStyle name="40% - Accent5 10 5 3 3" xfId="22844" xr:uid="{00000000-0005-0000-0000-0000B3460000}"/>
    <cellStyle name="40% - Accent5 10 5 4" xfId="11361" xr:uid="{00000000-0005-0000-0000-0000B4460000}"/>
    <cellStyle name="40% - Accent5 10 5 5" xfId="19316" xr:uid="{00000000-0005-0000-0000-0000B5460000}"/>
    <cellStyle name="40% - Accent5 10 5_Exh G" xfId="3188" xr:uid="{00000000-0005-0000-0000-0000B6460000}"/>
    <cellStyle name="40% - Accent5 10 6" xfId="4214" xr:uid="{00000000-0005-0000-0000-0000B7460000}"/>
    <cellStyle name="40% - Accent5 10 6 2" xfId="7806" xr:uid="{00000000-0005-0000-0000-0000B8460000}"/>
    <cellStyle name="40% - Accent5 10 6 2 2" xfId="15777" xr:uid="{00000000-0005-0000-0000-0000B9460000}"/>
    <cellStyle name="40% - Accent5 10 6 2 3" xfId="23723" xr:uid="{00000000-0005-0000-0000-0000BA460000}"/>
    <cellStyle name="40% - Accent5 10 6 3" xfId="12239" xr:uid="{00000000-0005-0000-0000-0000BB460000}"/>
    <cellStyle name="40% - Accent5 10 6 4" xfId="20194" xr:uid="{00000000-0005-0000-0000-0000BC460000}"/>
    <cellStyle name="40% - Accent5 10 7" xfId="6034" xr:uid="{00000000-0005-0000-0000-0000BD460000}"/>
    <cellStyle name="40% - Accent5 10 7 2" xfId="14018" xr:uid="{00000000-0005-0000-0000-0000BE460000}"/>
    <cellStyle name="40% - Accent5 10 7 3" xfId="21966" xr:uid="{00000000-0005-0000-0000-0000BF460000}"/>
    <cellStyle name="40% - Accent5 10 8" xfId="9587" xr:uid="{00000000-0005-0000-0000-0000C0460000}"/>
    <cellStyle name="40% - Accent5 10 8 2" xfId="17545" xr:uid="{00000000-0005-0000-0000-0000C1460000}"/>
    <cellStyle name="40% - Accent5 10 8 3" xfId="25489" xr:uid="{00000000-0005-0000-0000-0000C2460000}"/>
    <cellStyle name="40% - Accent5 10 9" xfId="10483" xr:uid="{00000000-0005-0000-0000-0000C3460000}"/>
    <cellStyle name="40% - Accent5 10_Exh G" xfId="3181" xr:uid="{00000000-0005-0000-0000-0000C4460000}"/>
    <cellStyle name="40% - Accent5 11" xfId="539" xr:uid="{00000000-0005-0000-0000-0000C5460000}"/>
    <cellStyle name="40% - Accent5 11 2" xfId="540" xr:uid="{00000000-0005-0000-0000-0000C6460000}"/>
    <cellStyle name="40% - Accent5 11 2 2" xfId="541" xr:uid="{00000000-0005-0000-0000-0000C7460000}"/>
    <cellStyle name="40% - Accent5 11 2 2 2" xfId="1569" xr:uid="{00000000-0005-0000-0000-0000C8460000}"/>
    <cellStyle name="40% - Accent5 11 2 2 2 2" xfId="5099" xr:uid="{00000000-0005-0000-0000-0000C9460000}"/>
    <cellStyle name="40% - Accent5 11 2 2 2 2 2" xfId="8690" xr:uid="{00000000-0005-0000-0000-0000CA460000}"/>
    <cellStyle name="40% - Accent5 11 2 2 2 2 2 2" xfId="16661" xr:uid="{00000000-0005-0000-0000-0000CB460000}"/>
    <cellStyle name="40% - Accent5 11 2 2 2 2 2 3" xfId="24607" xr:uid="{00000000-0005-0000-0000-0000CC460000}"/>
    <cellStyle name="40% - Accent5 11 2 2 2 2 3" xfId="13123" xr:uid="{00000000-0005-0000-0000-0000CD460000}"/>
    <cellStyle name="40% - Accent5 11 2 2 2 2 4" xfId="21078" xr:uid="{00000000-0005-0000-0000-0000CE460000}"/>
    <cellStyle name="40% - Accent5 11 2 2 2 3" xfId="6931" xr:uid="{00000000-0005-0000-0000-0000CF460000}"/>
    <cellStyle name="40% - Accent5 11 2 2 2 3 2" xfId="14903" xr:uid="{00000000-0005-0000-0000-0000D0460000}"/>
    <cellStyle name="40% - Accent5 11 2 2 2 3 3" xfId="22850" xr:uid="{00000000-0005-0000-0000-0000D1460000}"/>
    <cellStyle name="40% - Accent5 11 2 2 2 4" xfId="11367" xr:uid="{00000000-0005-0000-0000-0000D2460000}"/>
    <cellStyle name="40% - Accent5 11 2 2 2 5" xfId="19322" xr:uid="{00000000-0005-0000-0000-0000D3460000}"/>
    <cellStyle name="40% - Accent5 11 2 2 2_Exh G" xfId="3192" xr:uid="{00000000-0005-0000-0000-0000D4460000}"/>
    <cellStyle name="40% - Accent5 11 2 2 3" xfId="4220" xr:uid="{00000000-0005-0000-0000-0000D5460000}"/>
    <cellStyle name="40% - Accent5 11 2 2 3 2" xfId="7812" xr:uid="{00000000-0005-0000-0000-0000D6460000}"/>
    <cellStyle name="40% - Accent5 11 2 2 3 2 2" xfId="15783" xr:uid="{00000000-0005-0000-0000-0000D7460000}"/>
    <cellStyle name="40% - Accent5 11 2 2 3 2 3" xfId="23729" xr:uid="{00000000-0005-0000-0000-0000D8460000}"/>
    <cellStyle name="40% - Accent5 11 2 2 3 3" xfId="12245" xr:uid="{00000000-0005-0000-0000-0000D9460000}"/>
    <cellStyle name="40% - Accent5 11 2 2 3 4" xfId="20200" xr:uid="{00000000-0005-0000-0000-0000DA460000}"/>
    <cellStyle name="40% - Accent5 11 2 2 4" xfId="6040" xr:uid="{00000000-0005-0000-0000-0000DB460000}"/>
    <cellStyle name="40% - Accent5 11 2 2 4 2" xfId="14024" xr:uid="{00000000-0005-0000-0000-0000DC460000}"/>
    <cellStyle name="40% - Accent5 11 2 2 4 3" xfId="21972" xr:uid="{00000000-0005-0000-0000-0000DD460000}"/>
    <cellStyle name="40% - Accent5 11 2 2 5" xfId="9593" xr:uid="{00000000-0005-0000-0000-0000DE460000}"/>
    <cellStyle name="40% - Accent5 11 2 2 5 2" xfId="17551" xr:uid="{00000000-0005-0000-0000-0000DF460000}"/>
    <cellStyle name="40% - Accent5 11 2 2 5 3" xfId="25495" xr:uid="{00000000-0005-0000-0000-0000E0460000}"/>
    <cellStyle name="40% - Accent5 11 2 2 6" xfId="10489" xr:uid="{00000000-0005-0000-0000-0000E1460000}"/>
    <cellStyle name="40% - Accent5 11 2 2 7" xfId="18444" xr:uid="{00000000-0005-0000-0000-0000E2460000}"/>
    <cellStyle name="40% - Accent5 11 2 2_Exh G" xfId="3191" xr:uid="{00000000-0005-0000-0000-0000E3460000}"/>
    <cellStyle name="40% - Accent5 11 2 3" xfId="1568" xr:uid="{00000000-0005-0000-0000-0000E4460000}"/>
    <cellStyle name="40% - Accent5 11 2 3 2" xfId="5098" xr:uid="{00000000-0005-0000-0000-0000E5460000}"/>
    <cellStyle name="40% - Accent5 11 2 3 2 2" xfId="8689" xr:uid="{00000000-0005-0000-0000-0000E6460000}"/>
    <cellStyle name="40% - Accent5 11 2 3 2 2 2" xfId="16660" xr:uid="{00000000-0005-0000-0000-0000E7460000}"/>
    <cellStyle name="40% - Accent5 11 2 3 2 2 3" xfId="24606" xr:uid="{00000000-0005-0000-0000-0000E8460000}"/>
    <cellStyle name="40% - Accent5 11 2 3 2 3" xfId="13122" xr:uid="{00000000-0005-0000-0000-0000E9460000}"/>
    <cellStyle name="40% - Accent5 11 2 3 2 4" xfId="21077" xr:uid="{00000000-0005-0000-0000-0000EA460000}"/>
    <cellStyle name="40% - Accent5 11 2 3 3" xfId="6930" xr:uid="{00000000-0005-0000-0000-0000EB460000}"/>
    <cellStyle name="40% - Accent5 11 2 3 3 2" xfId="14902" xr:uid="{00000000-0005-0000-0000-0000EC460000}"/>
    <cellStyle name="40% - Accent5 11 2 3 3 3" xfId="22849" xr:uid="{00000000-0005-0000-0000-0000ED460000}"/>
    <cellStyle name="40% - Accent5 11 2 3 4" xfId="11366" xr:uid="{00000000-0005-0000-0000-0000EE460000}"/>
    <cellStyle name="40% - Accent5 11 2 3 5" xfId="19321" xr:uid="{00000000-0005-0000-0000-0000EF460000}"/>
    <cellStyle name="40% - Accent5 11 2 3_Exh G" xfId="3193" xr:uid="{00000000-0005-0000-0000-0000F0460000}"/>
    <cellStyle name="40% - Accent5 11 2 4" xfId="4219" xr:uid="{00000000-0005-0000-0000-0000F1460000}"/>
    <cellStyle name="40% - Accent5 11 2 4 2" xfId="7811" xr:uid="{00000000-0005-0000-0000-0000F2460000}"/>
    <cellStyle name="40% - Accent5 11 2 4 2 2" xfId="15782" xr:uid="{00000000-0005-0000-0000-0000F3460000}"/>
    <cellStyle name="40% - Accent5 11 2 4 2 3" xfId="23728" xr:uid="{00000000-0005-0000-0000-0000F4460000}"/>
    <cellStyle name="40% - Accent5 11 2 4 3" xfId="12244" xr:uid="{00000000-0005-0000-0000-0000F5460000}"/>
    <cellStyle name="40% - Accent5 11 2 4 4" xfId="20199" xr:uid="{00000000-0005-0000-0000-0000F6460000}"/>
    <cellStyle name="40% - Accent5 11 2 5" xfId="6039" xr:uid="{00000000-0005-0000-0000-0000F7460000}"/>
    <cellStyle name="40% - Accent5 11 2 5 2" xfId="14023" xr:uid="{00000000-0005-0000-0000-0000F8460000}"/>
    <cellStyle name="40% - Accent5 11 2 5 3" xfId="21971" xr:uid="{00000000-0005-0000-0000-0000F9460000}"/>
    <cellStyle name="40% - Accent5 11 2 6" xfId="9592" xr:uid="{00000000-0005-0000-0000-0000FA460000}"/>
    <cellStyle name="40% - Accent5 11 2 6 2" xfId="17550" xr:uid="{00000000-0005-0000-0000-0000FB460000}"/>
    <cellStyle name="40% - Accent5 11 2 6 3" xfId="25494" xr:uid="{00000000-0005-0000-0000-0000FC460000}"/>
    <cellStyle name="40% - Accent5 11 2 7" xfId="10488" xr:uid="{00000000-0005-0000-0000-0000FD460000}"/>
    <cellStyle name="40% - Accent5 11 2 8" xfId="18443" xr:uid="{00000000-0005-0000-0000-0000FE460000}"/>
    <cellStyle name="40% - Accent5 11 2_Exh G" xfId="3190" xr:uid="{00000000-0005-0000-0000-0000FF460000}"/>
    <cellStyle name="40% - Accent5 11 3" xfId="542" xr:uid="{00000000-0005-0000-0000-000000470000}"/>
    <cellStyle name="40% - Accent5 11 3 2" xfId="1570" xr:uid="{00000000-0005-0000-0000-000001470000}"/>
    <cellStyle name="40% - Accent5 11 3 2 2" xfId="5100" xr:uid="{00000000-0005-0000-0000-000002470000}"/>
    <cellStyle name="40% - Accent5 11 3 2 2 2" xfId="8691" xr:uid="{00000000-0005-0000-0000-000003470000}"/>
    <cellStyle name="40% - Accent5 11 3 2 2 2 2" xfId="16662" xr:uid="{00000000-0005-0000-0000-000004470000}"/>
    <cellStyle name="40% - Accent5 11 3 2 2 2 3" xfId="24608" xr:uid="{00000000-0005-0000-0000-000005470000}"/>
    <cellStyle name="40% - Accent5 11 3 2 2 3" xfId="13124" xr:uid="{00000000-0005-0000-0000-000006470000}"/>
    <cellStyle name="40% - Accent5 11 3 2 2 4" xfId="21079" xr:uid="{00000000-0005-0000-0000-000007470000}"/>
    <cellStyle name="40% - Accent5 11 3 2 3" xfId="6932" xr:uid="{00000000-0005-0000-0000-000008470000}"/>
    <cellStyle name="40% - Accent5 11 3 2 3 2" xfId="14904" xr:uid="{00000000-0005-0000-0000-000009470000}"/>
    <cellStyle name="40% - Accent5 11 3 2 3 3" xfId="22851" xr:uid="{00000000-0005-0000-0000-00000A470000}"/>
    <cellStyle name="40% - Accent5 11 3 2 4" xfId="11368" xr:uid="{00000000-0005-0000-0000-00000B470000}"/>
    <cellStyle name="40% - Accent5 11 3 2 5" xfId="19323" xr:uid="{00000000-0005-0000-0000-00000C470000}"/>
    <cellStyle name="40% - Accent5 11 3 2_Exh G" xfId="3195" xr:uid="{00000000-0005-0000-0000-00000D470000}"/>
    <cellStyle name="40% - Accent5 11 3 3" xfId="4221" xr:uid="{00000000-0005-0000-0000-00000E470000}"/>
    <cellStyle name="40% - Accent5 11 3 3 2" xfId="7813" xr:uid="{00000000-0005-0000-0000-00000F470000}"/>
    <cellStyle name="40% - Accent5 11 3 3 2 2" xfId="15784" xr:uid="{00000000-0005-0000-0000-000010470000}"/>
    <cellStyle name="40% - Accent5 11 3 3 2 3" xfId="23730" xr:uid="{00000000-0005-0000-0000-000011470000}"/>
    <cellStyle name="40% - Accent5 11 3 3 3" xfId="12246" xr:uid="{00000000-0005-0000-0000-000012470000}"/>
    <cellStyle name="40% - Accent5 11 3 3 4" xfId="20201" xr:uid="{00000000-0005-0000-0000-000013470000}"/>
    <cellStyle name="40% - Accent5 11 3 4" xfId="6041" xr:uid="{00000000-0005-0000-0000-000014470000}"/>
    <cellStyle name="40% - Accent5 11 3 4 2" xfId="14025" xr:uid="{00000000-0005-0000-0000-000015470000}"/>
    <cellStyle name="40% - Accent5 11 3 4 3" xfId="21973" xr:uid="{00000000-0005-0000-0000-000016470000}"/>
    <cellStyle name="40% - Accent5 11 3 5" xfId="9594" xr:uid="{00000000-0005-0000-0000-000017470000}"/>
    <cellStyle name="40% - Accent5 11 3 5 2" xfId="17552" xr:uid="{00000000-0005-0000-0000-000018470000}"/>
    <cellStyle name="40% - Accent5 11 3 5 3" xfId="25496" xr:uid="{00000000-0005-0000-0000-000019470000}"/>
    <cellStyle name="40% - Accent5 11 3 6" xfId="10490" xr:uid="{00000000-0005-0000-0000-00001A470000}"/>
    <cellStyle name="40% - Accent5 11 3 7" xfId="18445" xr:uid="{00000000-0005-0000-0000-00001B470000}"/>
    <cellStyle name="40% - Accent5 11 3_Exh G" xfId="3194" xr:uid="{00000000-0005-0000-0000-00001C470000}"/>
    <cellStyle name="40% - Accent5 11 4" xfId="1567" xr:uid="{00000000-0005-0000-0000-00001D470000}"/>
    <cellStyle name="40% - Accent5 11 4 2" xfId="5097" xr:uid="{00000000-0005-0000-0000-00001E470000}"/>
    <cellStyle name="40% - Accent5 11 4 2 2" xfId="8688" xr:uid="{00000000-0005-0000-0000-00001F470000}"/>
    <cellStyle name="40% - Accent5 11 4 2 2 2" xfId="16659" xr:uid="{00000000-0005-0000-0000-000020470000}"/>
    <cellStyle name="40% - Accent5 11 4 2 2 3" xfId="24605" xr:uid="{00000000-0005-0000-0000-000021470000}"/>
    <cellStyle name="40% - Accent5 11 4 2 3" xfId="13121" xr:uid="{00000000-0005-0000-0000-000022470000}"/>
    <cellStyle name="40% - Accent5 11 4 2 4" xfId="21076" xr:uid="{00000000-0005-0000-0000-000023470000}"/>
    <cellStyle name="40% - Accent5 11 4 3" xfId="6929" xr:uid="{00000000-0005-0000-0000-000024470000}"/>
    <cellStyle name="40% - Accent5 11 4 3 2" xfId="14901" xr:uid="{00000000-0005-0000-0000-000025470000}"/>
    <cellStyle name="40% - Accent5 11 4 3 3" xfId="22848" xr:uid="{00000000-0005-0000-0000-000026470000}"/>
    <cellStyle name="40% - Accent5 11 4 4" xfId="11365" xr:uid="{00000000-0005-0000-0000-000027470000}"/>
    <cellStyle name="40% - Accent5 11 4 5" xfId="19320" xr:uid="{00000000-0005-0000-0000-000028470000}"/>
    <cellStyle name="40% - Accent5 11 4_Exh G" xfId="3196" xr:uid="{00000000-0005-0000-0000-000029470000}"/>
    <cellStyle name="40% - Accent5 11 5" xfId="4218" xr:uid="{00000000-0005-0000-0000-00002A470000}"/>
    <cellStyle name="40% - Accent5 11 5 2" xfId="7810" xr:uid="{00000000-0005-0000-0000-00002B470000}"/>
    <cellStyle name="40% - Accent5 11 5 2 2" xfId="15781" xr:uid="{00000000-0005-0000-0000-00002C470000}"/>
    <cellStyle name="40% - Accent5 11 5 2 3" xfId="23727" xr:uid="{00000000-0005-0000-0000-00002D470000}"/>
    <cellStyle name="40% - Accent5 11 5 3" xfId="12243" xr:uid="{00000000-0005-0000-0000-00002E470000}"/>
    <cellStyle name="40% - Accent5 11 5 4" xfId="20198" xr:uid="{00000000-0005-0000-0000-00002F470000}"/>
    <cellStyle name="40% - Accent5 11 6" xfId="6038" xr:uid="{00000000-0005-0000-0000-000030470000}"/>
    <cellStyle name="40% - Accent5 11 6 2" xfId="14022" xr:uid="{00000000-0005-0000-0000-000031470000}"/>
    <cellStyle name="40% - Accent5 11 6 3" xfId="21970" xr:uid="{00000000-0005-0000-0000-000032470000}"/>
    <cellStyle name="40% - Accent5 11 7" xfId="9591" xr:uid="{00000000-0005-0000-0000-000033470000}"/>
    <cellStyle name="40% - Accent5 11 7 2" xfId="17549" xr:uid="{00000000-0005-0000-0000-000034470000}"/>
    <cellStyle name="40% - Accent5 11 7 3" xfId="25493" xr:uid="{00000000-0005-0000-0000-000035470000}"/>
    <cellStyle name="40% - Accent5 11 8" xfId="10487" xr:uid="{00000000-0005-0000-0000-000036470000}"/>
    <cellStyle name="40% - Accent5 11 9" xfId="18442" xr:uid="{00000000-0005-0000-0000-000037470000}"/>
    <cellStyle name="40% - Accent5 11_Exh G" xfId="3189" xr:uid="{00000000-0005-0000-0000-000038470000}"/>
    <cellStyle name="40% - Accent5 12" xfId="543" xr:uid="{00000000-0005-0000-0000-000039470000}"/>
    <cellStyle name="40% - Accent5 12 2" xfId="544" xr:uid="{00000000-0005-0000-0000-00003A470000}"/>
    <cellStyle name="40% - Accent5 12 2 2" xfId="545" xr:uid="{00000000-0005-0000-0000-00003B470000}"/>
    <cellStyle name="40% - Accent5 12 2 2 2" xfId="1573" xr:uid="{00000000-0005-0000-0000-00003C470000}"/>
    <cellStyle name="40% - Accent5 12 2 2 2 2" xfId="5103" xr:uid="{00000000-0005-0000-0000-00003D470000}"/>
    <cellStyle name="40% - Accent5 12 2 2 2 2 2" xfId="8694" xr:uid="{00000000-0005-0000-0000-00003E470000}"/>
    <cellStyle name="40% - Accent5 12 2 2 2 2 2 2" xfId="16665" xr:uid="{00000000-0005-0000-0000-00003F470000}"/>
    <cellStyle name="40% - Accent5 12 2 2 2 2 2 3" xfId="24611" xr:uid="{00000000-0005-0000-0000-000040470000}"/>
    <cellStyle name="40% - Accent5 12 2 2 2 2 3" xfId="13127" xr:uid="{00000000-0005-0000-0000-000041470000}"/>
    <cellStyle name="40% - Accent5 12 2 2 2 2 4" xfId="21082" xr:uid="{00000000-0005-0000-0000-000042470000}"/>
    <cellStyle name="40% - Accent5 12 2 2 2 3" xfId="6935" xr:uid="{00000000-0005-0000-0000-000043470000}"/>
    <cellStyle name="40% - Accent5 12 2 2 2 3 2" xfId="14907" xr:uid="{00000000-0005-0000-0000-000044470000}"/>
    <cellStyle name="40% - Accent5 12 2 2 2 3 3" xfId="22854" xr:uid="{00000000-0005-0000-0000-000045470000}"/>
    <cellStyle name="40% - Accent5 12 2 2 2 4" xfId="11371" xr:uid="{00000000-0005-0000-0000-000046470000}"/>
    <cellStyle name="40% - Accent5 12 2 2 2 5" xfId="19326" xr:uid="{00000000-0005-0000-0000-000047470000}"/>
    <cellStyle name="40% - Accent5 12 2 2 2_Exh G" xfId="3200" xr:uid="{00000000-0005-0000-0000-000048470000}"/>
    <cellStyle name="40% - Accent5 12 2 2 3" xfId="4224" xr:uid="{00000000-0005-0000-0000-000049470000}"/>
    <cellStyle name="40% - Accent5 12 2 2 3 2" xfId="7816" xr:uid="{00000000-0005-0000-0000-00004A470000}"/>
    <cellStyle name="40% - Accent5 12 2 2 3 2 2" xfId="15787" xr:uid="{00000000-0005-0000-0000-00004B470000}"/>
    <cellStyle name="40% - Accent5 12 2 2 3 2 3" xfId="23733" xr:uid="{00000000-0005-0000-0000-00004C470000}"/>
    <cellStyle name="40% - Accent5 12 2 2 3 3" xfId="12249" xr:uid="{00000000-0005-0000-0000-00004D470000}"/>
    <cellStyle name="40% - Accent5 12 2 2 3 4" xfId="20204" xr:uid="{00000000-0005-0000-0000-00004E470000}"/>
    <cellStyle name="40% - Accent5 12 2 2 4" xfId="6044" xr:uid="{00000000-0005-0000-0000-00004F470000}"/>
    <cellStyle name="40% - Accent5 12 2 2 4 2" xfId="14028" xr:uid="{00000000-0005-0000-0000-000050470000}"/>
    <cellStyle name="40% - Accent5 12 2 2 4 3" xfId="21976" xr:uid="{00000000-0005-0000-0000-000051470000}"/>
    <cellStyle name="40% - Accent5 12 2 2 5" xfId="9597" xr:uid="{00000000-0005-0000-0000-000052470000}"/>
    <cellStyle name="40% - Accent5 12 2 2 5 2" xfId="17555" xr:uid="{00000000-0005-0000-0000-000053470000}"/>
    <cellStyle name="40% - Accent5 12 2 2 5 3" xfId="25499" xr:uid="{00000000-0005-0000-0000-000054470000}"/>
    <cellStyle name="40% - Accent5 12 2 2 6" xfId="10493" xr:uid="{00000000-0005-0000-0000-000055470000}"/>
    <cellStyle name="40% - Accent5 12 2 2 7" xfId="18448" xr:uid="{00000000-0005-0000-0000-000056470000}"/>
    <cellStyle name="40% - Accent5 12 2 2_Exh G" xfId="3199" xr:uid="{00000000-0005-0000-0000-000057470000}"/>
    <cellStyle name="40% - Accent5 12 2 3" xfId="1572" xr:uid="{00000000-0005-0000-0000-000058470000}"/>
    <cellStyle name="40% - Accent5 12 2 3 2" xfId="5102" xr:uid="{00000000-0005-0000-0000-000059470000}"/>
    <cellStyle name="40% - Accent5 12 2 3 2 2" xfId="8693" xr:uid="{00000000-0005-0000-0000-00005A470000}"/>
    <cellStyle name="40% - Accent5 12 2 3 2 2 2" xfId="16664" xr:uid="{00000000-0005-0000-0000-00005B470000}"/>
    <cellStyle name="40% - Accent5 12 2 3 2 2 3" xfId="24610" xr:uid="{00000000-0005-0000-0000-00005C470000}"/>
    <cellStyle name="40% - Accent5 12 2 3 2 3" xfId="13126" xr:uid="{00000000-0005-0000-0000-00005D470000}"/>
    <cellStyle name="40% - Accent5 12 2 3 2 4" xfId="21081" xr:uid="{00000000-0005-0000-0000-00005E470000}"/>
    <cellStyle name="40% - Accent5 12 2 3 3" xfId="6934" xr:uid="{00000000-0005-0000-0000-00005F470000}"/>
    <cellStyle name="40% - Accent5 12 2 3 3 2" xfId="14906" xr:uid="{00000000-0005-0000-0000-000060470000}"/>
    <cellStyle name="40% - Accent5 12 2 3 3 3" xfId="22853" xr:uid="{00000000-0005-0000-0000-000061470000}"/>
    <cellStyle name="40% - Accent5 12 2 3 4" xfId="11370" xr:uid="{00000000-0005-0000-0000-000062470000}"/>
    <cellStyle name="40% - Accent5 12 2 3 5" xfId="19325" xr:uid="{00000000-0005-0000-0000-000063470000}"/>
    <cellStyle name="40% - Accent5 12 2 3_Exh G" xfId="3201" xr:uid="{00000000-0005-0000-0000-000064470000}"/>
    <cellStyle name="40% - Accent5 12 2 4" xfId="4223" xr:uid="{00000000-0005-0000-0000-000065470000}"/>
    <cellStyle name="40% - Accent5 12 2 4 2" xfId="7815" xr:uid="{00000000-0005-0000-0000-000066470000}"/>
    <cellStyle name="40% - Accent5 12 2 4 2 2" xfId="15786" xr:uid="{00000000-0005-0000-0000-000067470000}"/>
    <cellStyle name="40% - Accent5 12 2 4 2 3" xfId="23732" xr:uid="{00000000-0005-0000-0000-000068470000}"/>
    <cellStyle name="40% - Accent5 12 2 4 3" xfId="12248" xr:uid="{00000000-0005-0000-0000-000069470000}"/>
    <cellStyle name="40% - Accent5 12 2 4 4" xfId="20203" xr:uid="{00000000-0005-0000-0000-00006A470000}"/>
    <cellStyle name="40% - Accent5 12 2 5" xfId="6043" xr:uid="{00000000-0005-0000-0000-00006B470000}"/>
    <cellStyle name="40% - Accent5 12 2 5 2" xfId="14027" xr:uid="{00000000-0005-0000-0000-00006C470000}"/>
    <cellStyle name="40% - Accent5 12 2 5 3" xfId="21975" xr:uid="{00000000-0005-0000-0000-00006D470000}"/>
    <cellStyle name="40% - Accent5 12 2 6" xfId="9596" xr:uid="{00000000-0005-0000-0000-00006E470000}"/>
    <cellStyle name="40% - Accent5 12 2 6 2" xfId="17554" xr:uid="{00000000-0005-0000-0000-00006F470000}"/>
    <cellStyle name="40% - Accent5 12 2 6 3" xfId="25498" xr:uid="{00000000-0005-0000-0000-000070470000}"/>
    <cellStyle name="40% - Accent5 12 2 7" xfId="10492" xr:uid="{00000000-0005-0000-0000-000071470000}"/>
    <cellStyle name="40% - Accent5 12 2 8" xfId="18447" xr:uid="{00000000-0005-0000-0000-000072470000}"/>
    <cellStyle name="40% - Accent5 12 2_Exh G" xfId="3198" xr:uid="{00000000-0005-0000-0000-000073470000}"/>
    <cellStyle name="40% - Accent5 12 3" xfId="546" xr:uid="{00000000-0005-0000-0000-000074470000}"/>
    <cellStyle name="40% - Accent5 12 3 2" xfId="1574" xr:uid="{00000000-0005-0000-0000-000075470000}"/>
    <cellStyle name="40% - Accent5 12 3 2 2" xfId="5104" xr:uid="{00000000-0005-0000-0000-000076470000}"/>
    <cellStyle name="40% - Accent5 12 3 2 2 2" xfId="8695" xr:uid="{00000000-0005-0000-0000-000077470000}"/>
    <cellStyle name="40% - Accent5 12 3 2 2 2 2" xfId="16666" xr:uid="{00000000-0005-0000-0000-000078470000}"/>
    <cellStyle name="40% - Accent5 12 3 2 2 2 3" xfId="24612" xr:uid="{00000000-0005-0000-0000-000079470000}"/>
    <cellStyle name="40% - Accent5 12 3 2 2 3" xfId="13128" xr:uid="{00000000-0005-0000-0000-00007A470000}"/>
    <cellStyle name="40% - Accent5 12 3 2 2 4" xfId="21083" xr:uid="{00000000-0005-0000-0000-00007B470000}"/>
    <cellStyle name="40% - Accent5 12 3 2 3" xfId="6936" xr:uid="{00000000-0005-0000-0000-00007C470000}"/>
    <cellStyle name="40% - Accent5 12 3 2 3 2" xfId="14908" xr:uid="{00000000-0005-0000-0000-00007D470000}"/>
    <cellStyle name="40% - Accent5 12 3 2 3 3" xfId="22855" xr:uid="{00000000-0005-0000-0000-00007E470000}"/>
    <cellStyle name="40% - Accent5 12 3 2 4" xfId="11372" xr:uid="{00000000-0005-0000-0000-00007F470000}"/>
    <cellStyle name="40% - Accent5 12 3 2 5" xfId="19327" xr:uid="{00000000-0005-0000-0000-000080470000}"/>
    <cellStyle name="40% - Accent5 12 3 2_Exh G" xfId="3203" xr:uid="{00000000-0005-0000-0000-000081470000}"/>
    <cellStyle name="40% - Accent5 12 3 3" xfId="4225" xr:uid="{00000000-0005-0000-0000-000082470000}"/>
    <cellStyle name="40% - Accent5 12 3 3 2" xfId="7817" xr:uid="{00000000-0005-0000-0000-000083470000}"/>
    <cellStyle name="40% - Accent5 12 3 3 2 2" xfId="15788" xr:uid="{00000000-0005-0000-0000-000084470000}"/>
    <cellStyle name="40% - Accent5 12 3 3 2 3" xfId="23734" xr:uid="{00000000-0005-0000-0000-000085470000}"/>
    <cellStyle name="40% - Accent5 12 3 3 3" xfId="12250" xr:uid="{00000000-0005-0000-0000-000086470000}"/>
    <cellStyle name="40% - Accent5 12 3 3 4" xfId="20205" xr:uid="{00000000-0005-0000-0000-000087470000}"/>
    <cellStyle name="40% - Accent5 12 3 4" xfId="6045" xr:uid="{00000000-0005-0000-0000-000088470000}"/>
    <cellStyle name="40% - Accent5 12 3 4 2" xfId="14029" xr:uid="{00000000-0005-0000-0000-000089470000}"/>
    <cellStyle name="40% - Accent5 12 3 4 3" xfId="21977" xr:uid="{00000000-0005-0000-0000-00008A470000}"/>
    <cellStyle name="40% - Accent5 12 3 5" xfId="9598" xr:uid="{00000000-0005-0000-0000-00008B470000}"/>
    <cellStyle name="40% - Accent5 12 3 5 2" xfId="17556" xr:uid="{00000000-0005-0000-0000-00008C470000}"/>
    <cellStyle name="40% - Accent5 12 3 5 3" xfId="25500" xr:uid="{00000000-0005-0000-0000-00008D470000}"/>
    <cellStyle name="40% - Accent5 12 3 6" xfId="10494" xr:uid="{00000000-0005-0000-0000-00008E470000}"/>
    <cellStyle name="40% - Accent5 12 3 7" xfId="18449" xr:uid="{00000000-0005-0000-0000-00008F470000}"/>
    <cellStyle name="40% - Accent5 12 3_Exh G" xfId="3202" xr:uid="{00000000-0005-0000-0000-000090470000}"/>
    <cellStyle name="40% - Accent5 12 4" xfId="1571" xr:uid="{00000000-0005-0000-0000-000091470000}"/>
    <cellStyle name="40% - Accent5 12 4 2" xfId="5101" xr:uid="{00000000-0005-0000-0000-000092470000}"/>
    <cellStyle name="40% - Accent5 12 4 2 2" xfId="8692" xr:uid="{00000000-0005-0000-0000-000093470000}"/>
    <cellStyle name="40% - Accent5 12 4 2 2 2" xfId="16663" xr:uid="{00000000-0005-0000-0000-000094470000}"/>
    <cellStyle name="40% - Accent5 12 4 2 2 3" xfId="24609" xr:uid="{00000000-0005-0000-0000-000095470000}"/>
    <cellStyle name="40% - Accent5 12 4 2 3" xfId="13125" xr:uid="{00000000-0005-0000-0000-000096470000}"/>
    <cellStyle name="40% - Accent5 12 4 2 4" xfId="21080" xr:uid="{00000000-0005-0000-0000-000097470000}"/>
    <cellStyle name="40% - Accent5 12 4 3" xfId="6933" xr:uid="{00000000-0005-0000-0000-000098470000}"/>
    <cellStyle name="40% - Accent5 12 4 3 2" xfId="14905" xr:uid="{00000000-0005-0000-0000-000099470000}"/>
    <cellStyle name="40% - Accent5 12 4 3 3" xfId="22852" xr:uid="{00000000-0005-0000-0000-00009A470000}"/>
    <cellStyle name="40% - Accent5 12 4 4" xfId="11369" xr:uid="{00000000-0005-0000-0000-00009B470000}"/>
    <cellStyle name="40% - Accent5 12 4 5" xfId="19324" xr:uid="{00000000-0005-0000-0000-00009C470000}"/>
    <cellStyle name="40% - Accent5 12 4_Exh G" xfId="3204" xr:uid="{00000000-0005-0000-0000-00009D470000}"/>
    <cellStyle name="40% - Accent5 12 5" xfId="4222" xr:uid="{00000000-0005-0000-0000-00009E470000}"/>
    <cellStyle name="40% - Accent5 12 5 2" xfId="7814" xr:uid="{00000000-0005-0000-0000-00009F470000}"/>
    <cellStyle name="40% - Accent5 12 5 2 2" xfId="15785" xr:uid="{00000000-0005-0000-0000-0000A0470000}"/>
    <cellStyle name="40% - Accent5 12 5 2 3" xfId="23731" xr:uid="{00000000-0005-0000-0000-0000A1470000}"/>
    <cellStyle name="40% - Accent5 12 5 3" xfId="12247" xr:uid="{00000000-0005-0000-0000-0000A2470000}"/>
    <cellStyle name="40% - Accent5 12 5 4" xfId="20202" xr:uid="{00000000-0005-0000-0000-0000A3470000}"/>
    <cellStyle name="40% - Accent5 12 6" xfId="6042" xr:uid="{00000000-0005-0000-0000-0000A4470000}"/>
    <cellStyle name="40% - Accent5 12 6 2" xfId="14026" xr:uid="{00000000-0005-0000-0000-0000A5470000}"/>
    <cellStyle name="40% - Accent5 12 6 3" xfId="21974" xr:uid="{00000000-0005-0000-0000-0000A6470000}"/>
    <cellStyle name="40% - Accent5 12 7" xfId="9595" xr:uid="{00000000-0005-0000-0000-0000A7470000}"/>
    <cellStyle name="40% - Accent5 12 7 2" xfId="17553" xr:uid="{00000000-0005-0000-0000-0000A8470000}"/>
    <cellStyle name="40% - Accent5 12 7 3" xfId="25497" xr:uid="{00000000-0005-0000-0000-0000A9470000}"/>
    <cellStyle name="40% - Accent5 12 8" xfId="10491" xr:uid="{00000000-0005-0000-0000-0000AA470000}"/>
    <cellStyle name="40% - Accent5 12 9" xfId="18446" xr:uid="{00000000-0005-0000-0000-0000AB470000}"/>
    <cellStyle name="40% - Accent5 12_Exh G" xfId="3197" xr:uid="{00000000-0005-0000-0000-0000AC470000}"/>
    <cellStyle name="40% - Accent5 13" xfId="547" xr:uid="{00000000-0005-0000-0000-0000AD470000}"/>
    <cellStyle name="40% - Accent5 13 2" xfId="548" xr:uid="{00000000-0005-0000-0000-0000AE470000}"/>
    <cellStyle name="40% - Accent5 13 2 2" xfId="549" xr:uid="{00000000-0005-0000-0000-0000AF470000}"/>
    <cellStyle name="40% - Accent5 13 2 2 2" xfId="1577" xr:uid="{00000000-0005-0000-0000-0000B0470000}"/>
    <cellStyle name="40% - Accent5 13 2 2 2 2" xfId="5107" xr:uid="{00000000-0005-0000-0000-0000B1470000}"/>
    <cellStyle name="40% - Accent5 13 2 2 2 2 2" xfId="8698" xr:uid="{00000000-0005-0000-0000-0000B2470000}"/>
    <cellStyle name="40% - Accent5 13 2 2 2 2 2 2" xfId="16669" xr:uid="{00000000-0005-0000-0000-0000B3470000}"/>
    <cellStyle name="40% - Accent5 13 2 2 2 2 2 3" xfId="24615" xr:uid="{00000000-0005-0000-0000-0000B4470000}"/>
    <cellStyle name="40% - Accent5 13 2 2 2 2 3" xfId="13131" xr:uid="{00000000-0005-0000-0000-0000B5470000}"/>
    <cellStyle name="40% - Accent5 13 2 2 2 2 4" xfId="21086" xr:uid="{00000000-0005-0000-0000-0000B6470000}"/>
    <cellStyle name="40% - Accent5 13 2 2 2 3" xfId="6939" xr:uid="{00000000-0005-0000-0000-0000B7470000}"/>
    <cellStyle name="40% - Accent5 13 2 2 2 3 2" xfId="14911" xr:uid="{00000000-0005-0000-0000-0000B8470000}"/>
    <cellStyle name="40% - Accent5 13 2 2 2 3 3" xfId="22858" xr:uid="{00000000-0005-0000-0000-0000B9470000}"/>
    <cellStyle name="40% - Accent5 13 2 2 2 4" xfId="11375" xr:uid="{00000000-0005-0000-0000-0000BA470000}"/>
    <cellStyle name="40% - Accent5 13 2 2 2 5" xfId="19330" xr:uid="{00000000-0005-0000-0000-0000BB470000}"/>
    <cellStyle name="40% - Accent5 13 2 2 2_Exh G" xfId="3208" xr:uid="{00000000-0005-0000-0000-0000BC470000}"/>
    <cellStyle name="40% - Accent5 13 2 2 3" xfId="4228" xr:uid="{00000000-0005-0000-0000-0000BD470000}"/>
    <cellStyle name="40% - Accent5 13 2 2 3 2" xfId="7820" xr:uid="{00000000-0005-0000-0000-0000BE470000}"/>
    <cellStyle name="40% - Accent5 13 2 2 3 2 2" xfId="15791" xr:uid="{00000000-0005-0000-0000-0000BF470000}"/>
    <cellStyle name="40% - Accent5 13 2 2 3 2 3" xfId="23737" xr:uid="{00000000-0005-0000-0000-0000C0470000}"/>
    <cellStyle name="40% - Accent5 13 2 2 3 3" xfId="12253" xr:uid="{00000000-0005-0000-0000-0000C1470000}"/>
    <cellStyle name="40% - Accent5 13 2 2 3 4" xfId="20208" xr:uid="{00000000-0005-0000-0000-0000C2470000}"/>
    <cellStyle name="40% - Accent5 13 2 2 4" xfId="6048" xr:uid="{00000000-0005-0000-0000-0000C3470000}"/>
    <cellStyle name="40% - Accent5 13 2 2 4 2" xfId="14032" xr:uid="{00000000-0005-0000-0000-0000C4470000}"/>
    <cellStyle name="40% - Accent5 13 2 2 4 3" xfId="21980" xr:uid="{00000000-0005-0000-0000-0000C5470000}"/>
    <cellStyle name="40% - Accent5 13 2 2 5" xfId="9601" xr:uid="{00000000-0005-0000-0000-0000C6470000}"/>
    <cellStyle name="40% - Accent5 13 2 2 5 2" xfId="17559" xr:uid="{00000000-0005-0000-0000-0000C7470000}"/>
    <cellStyle name="40% - Accent5 13 2 2 5 3" xfId="25503" xr:uid="{00000000-0005-0000-0000-0000C8470000}"/>
    <cellStyle name="40% - Accent5 13 2 2 6" xfId="10497" xr:uid="{00000000-0005-0000-0000-0000C9470000}"/>
    <cellStyle name="40% - Accent5 13 2 2 7" xfId="18452" xr:uid="{00000000-0005-0000-0000-0000CA470000}"/>
    <cellStyle name="40% - Accent5 13 2 2_Exh G" xfId="3207" xr:uid="{00000000-0005-0000-0000-0000CB470000}"/>
    <cellStyle name="40% - Accent5 13 2 3" xfId="1576" xr:uid="{00000000-0005-0000-0000-0000CC470000}"/>
    <cellStyle name="40% - Accent5 13 2 3 2" xfId="5106" xr:uid="{00000000-0005-0000-0000-0000CD470000}"/>
    <cellStyle name="40% - Accent5 13 2 3 2 2" xfId="8697" xr:uid="{00000000-0005-0000-0000-0000CE470000}"/>
    <cellStyle name="40% - Accent5 13 2 3 2 2 2" xfId="16668" xr:uid="{00000000-0005-0000-0000-0000CF470000}"/>
    <cellStyle name="40% - Accent5 13 2 3 2 2 3" xfId="24614" xr:uid="{00000000-0005-0000-0000-0000D0470000}"/>
    <cellStyle name="40% - Accent5 13 2 3 2 3" xfId="13130" xr:uid="{00000000-0005-0000-0000-0000D1470000}"/>
    <cellStyle name="40% - Accent5 13 2 3 2 4" xfId="21085" xr:uid="{00000000-0005-0000-0000-0000D2470000}"/>
    <cellStyle name="40% - Accent5 13 2 3 3" xfId="6938" xr:uid="{00000000-0005-0000-0000-0000D3470000}"/>
    <cellStyle name="40% - Accent5 13 2 3 3 2" xfId="14910" xr:uid="{00000000-0005-0000-0000-0000D4470000}"/>
    <cellStyle name="40% - Accent5 13 2 3 3 3" xfId="22857" xr:uid="{00000000-0005-0000-0000-0000D5470000}"/>
    <cellStyle name="40% - Accent5 13 2 3 4" xfId="11374" xr:uid="{00000000-0005-0000-0000-0000D6470000}"/>
    <cellStyle name="40% - Accent5 13 2 3 5" xfId="19329" xr:uid="{00000000-0005-0000-0000-0000D7470000}"/>
    <cellStyle name="40% - Accent5 13 2 3_Exh G" xfId="3209" xr:uid="{00000000-0005-0000-0000-0000D8470000}"/>
    <cellStyle name="40% - Accent5 13 2 4" xfId="4227" xr:uid="{00000000-0005-0000-0000-0000D9470000}"/>
    <cellStyle name="40% - Accent5 13 2 4 2" xfId="7819" xr:uid="{00000000-0005-0000-0000-0000DA470000}"/>
    <cellStyle name="40% - Accent5 13 2 4 2 2" xfId="15790" xr:uid="{00000000-0005-0000-0000-0000DB470000}"/>
    <cellStyle name="40% - Accent5 13 2 4 2 3" xfId="23736" xr:uid="{00000000-0005-0000-0000-0000DC470000}"/>
    <cellStyle name="40% - Accent5 13 2 4 3" xfId="12252" xr:uid="{00000000-0005-0000-0000-0000DD470000}"/>
    <cellStyle name="40% - Accent5 13 2 4 4" xfId="20207" xr:uid="{00000000-0005-0000-0000-0000DE470000}"/>
    <cellStyle name="40% - Accent5 13 2 5" xfId="6047" xr:uid="{00000000-0005-0000-0000-0000DF470000}"/>
    <cellStyle name="40% - Accent5 13 2 5 2" xfId="14031" xr:uid="{00000000-0005-0000-0000-0000E0470000}"/>
    <cellStyle name="40% - Accent5 13 2 5 3" xfId="21979" xr:uid="{00000000-0005-0000-0000-0000E1470000}"/>
    <cellStyle name="40% - Accent5 13 2 6" xfId="9600" xr:uid="{00000000-0005-0000-0000-0000E2470000}"/>
    <cellStyle name="40% - Accent5 13 2 6 2" xfId="17558" xr:uid="{00000000-0005-0000-0000-0000E3470000}"/>
    <cellStyle name="40% - Accent5 13 2 6 3" xfId="25502" xr:uid="{00000000-0005-0000-0000-0000E4470000}"/>
    <cellStyle name="40% - Accent5 13 2 7" xfId="10496" xr:uid="{00000000-0005-0000-0000-0000E5470000}"/>
    <cellStyle name="40% - Accent5 13 2 8" xfId="18451" xr:uid="{00000000-0005-0000-0000-0000E6470000}"/>
    <cellStyle name="40% - Accent5 13 2_Exh G" xfId="3206" xr:uid="{00000000-0005-0000-0000-0000E7470000}"/>
    <cellStyle name="40% - Accent5 13 3" xfId="550" xr:uid="{00000000-0005-0000-0000-0000E8470000}"/>
    <cellStyle name="40% - Accent5 13 3 2" xfId="1578" xr:uid="{00000000-0005-0000-0000-0000E9470000}"/>
    <cellStyle name="40% - Accent5 13 3 2 2" xfId="5108" xr:uid="{00000000-0005-0000-0000-0000EA470000}"/>
    <cellStyle name="40% - Accent5 13 3 2 2 2" xfId="8699" xr:uid="{00000000-0005-0000-0000-0000EB470000}"/>
    <cellStyle name="40% - Accent5 13 3 2 2 2 2" xfId="16670" xr:uid="{00000000-0005-0000-0000-0000EC470000}"/>
    <cellStyle name="40% - Accent5 13 3 2 2 2 3" xfId="24616" xr:uid="{00000000-0005-0000-0000-0000ED470000}"/>
    <cellStyle name="40% - Accent5 13 3 2 2 3" xfId="13132" xr:uid="{00000000-0005-0000-0000-0000EE470000}"/>
    <cellStyle name="40% - Accent5 13 3 2 2 4" xfId="21087" xr:uid="{00000000-0005-0000-0000-0000EF470000}"/>
    <cellStyle name="40% - Accent5 13 3 2 3" xfId="6940" xr:uid="{00000000-0005-0000-0000-0000F0470000}"/>
    <cellStyle name="40% - Accent5 13 3 2 3 2" xfId="14912" xr:uid="{00000000-0005-0000-0000-0000F1470000}"/>
    <cellStyle name="40% - Accent5 13 3 2 3 3" xfId="22859" xr:uid="{00000000-0005-0000-0000-0000F2470000}"/>
    <cellStyle name="40% - Accent5 13 3 2 4" xfId="11376" xr:uid="{00000000-0005-0000-0000-0000F3470000}"/>
    <cellStyle name="40% - Accent5 13 3 2 5" xfId="19331" xr:uid="{00000000-0005-0000-0000-0000F4470000}"/>
    <cellStyle name="40% - Accent5 13 3 2_Exh G" xfId="3211" xr:uid="{00000000-0005-0000-0000-0000F5470000}"/>
    <cellStyle name="40% - Accent5 13 3 3" xfId="4229" xr:uid="{00000000-0005-0000-0000-0000F6470000}"/>
    <cellStyle name="40% - Accent5 13 3 3 2" xfId="7821" xr:uid="{00000000-0005-0000-0000-0000F7470000}"/>
    <cellStyle name="40% - Accent5 13 3 3 2 2" xfId="15792" xr:uid="{00000000-0005-0000-0000-0000F8470000}"/>
    <cellStyle name="40% - Accent5 13 3 3 2 3" xfId="23738" xr:uid="{00000000-0005-0000-0000-0000F9470000}"/>
    <cellStyle name="40% - Accent5 13 3 3 3" xfId="12254" xr:uid="{00000000-0005-0000-0000-0000FA470000}"/>
    <cellStyle name="40% - Accent5 13 3 3 4" xfId="20209" xr:uid="{00000000-0005-0000-0000-0000FB470000}"/>
    <cellStyle name="40% - Accent5 13 3 4" xfId="6049" xr:uid="{00000000-0005-0000-0000-0000FC470000}"/>
    <cellStyle name="40% - Accent5 13 3 4 2" xfId="14033" xr:uid="{00000000-0005-0000-0000-0000FD470000}"/>
    <cellStyle name="40% - Accent5 13 3 4 3" xfId="21981" xr:uid="{00000000-0005-0000-0000-0000FE470000}"/>
    <cellStyle name="40% - Accent5 13 3 5" xfId="9602" xr:uid="{00000000-0005-0000-0000-0000FF470000}"/>
    <cellStyle name="40% - Accent5 13 3 5 2" xfId="17560" xr:uid="{00000000-0005-0000-0000-000000480000}"/>
    <cellStyle name="40% - Accent5 13 3 5 3" xfId="25504" xr:uid="{00000000-0005-0000-0000-000001480000}"/>
    <cellStyle name="40% - Accent5 13 3 6" xfId="10498" xr:uid="{00000000-0005-0000-0000-000002480000}"/>
    <cellStyle name="40% - Accent5 13 3 7" xfId="18453" xr:uid="{00000000-0005-0000-0000-000003480000}"/>
    <cellStyle name="40% - Accent5 13 3_Exh G" xfId="3210" xr:uid="{00000000-0005-0000-0000-000004480000}"/>
    <cellStyle name="40% - Accent5 13 4" xfId="1575" xr:uid="{00000000-0005-0000-0000-000005480000}"/>
    <cellStyle name="40% - Accent5 13 4 2" xfId="5105" xr:uid="{00000000-0005-0000-0000-000006480000}"/>
    <cellStyle name="40% - Accent5 13 4 2 2" xfId="8696" xr:uid="{00000000-0005-0000-0000-000007480000}"/>
    <cellStyle name="40% - Accent5 13 4 2 2 2" xfId="16667" xr:uid="{00000000-0005-0000-0000-000008480000}"/>
    <cellStyle name="40% - Accent5 13 4 2 2 3" xfId="24613" xr:uid="{00000000-0005-0000-0000-000009480000}"/>
    <cellStyle name="40% - Accent5 13 4 2 3" xfId="13129" xr:uid="{00000000-0005-0000-0000-00000A480000}"/>
    <cellStyle name="40% - Accent5 13 4 2 4" xfId="21084" xr:uid="{00000000-0005-0000-0000-00000B480000}"/>
    <cellStyle name="40% - Accent5 13 4 3" xfId="6937" xr:uid="{00000000-0005-0000-0000-00000C480000}"/>
    <cellStyle name="40% - Accent5 13 4 3 2" xfId="14909" xr:uid="{00000000-0005-0000-0000-00000D480000}"/>
    <cellStyle name="40% - Accent5 13 4 3 3" xfId="22856" xr:uid="{00000000-0005-0000-0000-00000E480000}"/>
    <cellStyle name="40% - Accent5 13 4 4" xfId="11373" xr:uid="{00000000-0005-0000-0000-00000F480000}"/>
    <cellStyle name="40% - Accent5 13 4 5" xfId="19328" xr:uid="{00000000-0005-0000-0000-000010480000}"/>
    <cellStyle name="40% - Accent5 13 4_Exh G" xfId="3212" xr:uid="{00000000-0005-0000-0000-000011480000}"/>
    <cellStyle name="40% - Accent5 13 5" xfId="4226" xr:uid="{00000000-0005-0000-0000-000012480000}"/>
    <cellStyle name="40% - Accent5 13 5 2" xfId="7818" xr:uid="{00000000-0005-0000-0000-000013480000}"/>
    <cellStyle name="40% - Accent5 13 5 2 2" xfId="15789" xr:uid="{00000000-0005-0000-0000-000014480000}"/>
    <cellStyle name="40% - Accent5 13 5 2 3" xfId="23735" xr:uid="{00000000-0005-0000-0000-000015480000}"/>
    <cellStyle name="40% - Accent5 13 5 3" xfId="12251" xr:uid="{00000000-0005-0000-0000-000016480000}"/>
    <cellStyle name="40% - Accent5 13 5 4" xfId="20206" xr:uid="{00000000-0005-0000-0000-000017480000}"/>
    <cellStyle name="40% - Accent5 13 6" xfId="6046" xr:uid="{00000000-0005-0000-0000-000018480000}"/>
    <cellStyle name="40% - Accent5 13 6 2" xfId="14030" xr:uid="{00000000-0005-0000-0000-000019480000}"/>
    <cellStyle name="40% - Accent5 13 6 3" xfId="21978" xr:uid="{00000000-0005-0000-0000-00001A480000}"/>
    <cellStyle name="40% - Accent5 13 7" xfId="9599" xr:uid="{00000000-0005-0000-0000-00001B480000}"/>
    <cellStyle name="40% - Accent5 13 7 2" xfId="17557" xr:uid="{00000000-0005-0000-0000-00001C480000}"/>
    <cellStyle name="40% - Accent5 13 7 3" xfId="25501" xr:uid="{00000000-0005-0000-0000-00001D480000}"/>
    <cellStyle name="40% - Accent5 13 8" xfId="10495" xr:uid="{00000000-0005-0000-0000-00001E480000}"/>
    <cellStyle name="40% - Accent5 13 9" xfId="18450" xr:uid="{00000000-0005-0000-0000-00001F480000}"/>
    <cellStyle name="40% - Accent5 13_Exh G" xfId="3205" xr:uid="{00000000-0005-0000-0000-000020480000}"/>
    <cellStyle name="40% - Accent5 14" xfId="551" xr:uid="{00000000-0005-0000-0000-000021480000}"/>
    <cellStyle name="40% - Accent5 14 2" xfId="552" xr:uid="{00000000-0005-0000-0000-000022480000}"/>
    <cellStyle name="40% - Accent5 14 2 2" xfId="1580" xr:uid="{00000000-0005-0000-0000-000023480000}"/>
    <cellStyle name="40% - Accent5 14 2 2 2" xfId="5110" xr:uid="{00000000-0005-0000-0000-000024480000}"/>
    <cellStyle name="40% - Accent5 14 2 2 2 2" xfId="8701" xr:uid="{00000000-0005-0000-0000-000025480000}"/>
    <cellStyle name="40% - Accent5 14 2 2 2 2 2" xfId="16672" xr:uid="{00000000-0005-0000-0000-000026480000}"/>
    <cellStyle name="40% - Accent5 14 2 2 2 2 3" xfId="24618" xr:uid="{00000000-0005-0000-0000-000027480000}"/>
    <cellStyle name="40% - Accent5 14 2 2 2 3" xfId="13134" xr:uid="{00000000-0005-0000-0000-000028480000}"/>
    <cellStyle name="40% - Accent5 14 2 2 2 4" xfId="21089" xr:uid="{00000000-0005-0000-0000-000029480000}"/>
    <cellStyle name="40% - Accent5 14 2 2 3" xfId="6942" xr:uid="{00000000-0005-0000-0000-00002A480000}"/>
    <cellStyle name="40% - Accent5 14 2 2 3 2" xfId="14914" xr:uid="{00000000-0005-0000-0000-00002B480000}"/>
    <cellStyle name="40% - Accent5 14 2 2 3 3" xfId="22861" xr:uid="{00000000-0005-0000-0000-00002C480000}"/>
    <cellStyle name="40% - Accent5 14 2 2 4" xfId="11378" xr:uid="{00000000-0005-0000-0000-00002D480000}"/>
    <cellStyle name="40% - Accent5 14 2 2 5" xfId="19333" xr:uid="{00000000-0005-0000-0000-00002E480000}"/>
    <cellStyle name="40% - Accent5 14 2 2_Exh G" xfId="3215" xr:uid="{00000000-0005-0000-0000-00002F480000}"/>
    <cellStyle name="40% - Accent5 14 2 3" xfId="4231" xr:uid="{00000000-0005-0000-0000-000030480000}"/>
    <cellStyle name="40% - Accent5 14 2 3 2" xfId="7823" xr:uid="{00000000-0005-0000-0000-000031480000}"/>
    <cellStyle name="40% - Accent5 14 2 3 2 2" xfId="15794" xr:uid="{00000000-0005-0000-0000-000032480000}"/>
    <cellStyle name="40% - Accent5 14 2 3 2 3" xfId="23740" xr:uid="{00000000-0005-0000-0000-000033480000}"/>
    <cellStyle name="40% - Accent5 14 2 3 3" xfId="12256" xr:uid="{00000000-0005-0000-0000-000034480000}"/>
    <cellStyle name="40% - Accent5 14 2 3 4" xfId="20211" xr:uid="{00000000-0005-0000-0000-000035480000}"/>
    <cellStyle name="40% - Accent5 14 2 4" xfId="6051" xr:uid="{00000000-0005-0000-0000-000036480000}"/>
    <cellStyle name="40% - Accent5 14 2 4 2" xfId="14035" xr:uid="{00000000-0005-0000-0000-000037480000}"/>
    <cellStyle name="40% - Accent5 14 2 4 3" xfId="21983" xr:uid="{00000000-0005-0000-0000-000038480000}"/>
    <cellStyle name="40% - Accent5 14 2 5" xfId="9604" xr:uid="{00000000-0005-0000-0000-000039480000}"/>
    <cellStyle name="40% - Accent5 14 2 5 2" xfId="17562" xr:uid="{00000000-0005-0000-0000-00003A480000}"/>
    <cellStyle name="40% - Accent5 14 2 5 3" xfId="25506" xr:uid="{00000000-0005-0000-0000-00003B480000}"/>
    <cellStyle name="40% - Accent5 14 2 6" xfId="10500" xr:uid="{00000000-0005-0000-0000-00003C480000}"/>
    <cellStyle name="40% - Accent5 14 2 7" xfId="18455" xr:uid="{00000000-0005-0000-0000-00003D480000}"/>
    <cellStyle name="40% - Accent5 14 2_Exh G" xfId="3214" xr:uid="{00000000-0005-0000-0000-00003E480000}"/>
    <cellStyle name="40% - Accent5 14 3" xfId="1579" xr:uid="{00000000-0005-0000-0000-00003F480000}"/>
    <cellStyle name="40% - Accent5 14 3 2" xfId="5109" xr:uid="{00000000-0005-0000-0000-000040480000}"/>
    <cellStyle name="40% - Accent5 14 3 2 2" xfId="8700" xr:uid="{00000000-0005-0000-0000-000041480000}"/>
    <cellStyle name="40% - Accent5 14 3 2 2 2" xfId="16671" xr:uid="{00000000-0005-0000-0000-000042480000}"/>
    <cellStyle name="40% - Accent5 14 3 2 2 3" xfId="24617" xr:uid="{00000000-0005-0000-0000-000043480000}"/>
    <cellStyle name="40% - Accent5 14 3 2 3" xfId="13133" xr:uid="{00000000-0005-0000-0000-000044480000}"/>
    <cellStyle name="40% - Accent5 14 3 2 4" xfId="21088" xr:uid="{00000000-0005-0000-0000-000045480000}"/>
    <cellStyle name="40% - Accent5 14 3 3" xfId="6941" xr:uid="{00000000-0005-0000-0000-000046480000}"/>
    <cellStyle name="40% - Accent5 14 3 3 2" xfId="14913" xr:uid="{00000000-0005-0000-0000-000047480000}"/>
    <cellStyle name="40% - Accent5 14 3 3 3" xfId="22860" xr:uid="{00000000-0005-0000-0000-000048480000}"/>
    <cellStyle name="40% - Accent5 14 3 4" xfId="11377" xr:uid="{00000000-0005-0000-0000-000049480000}"/>
    <cellStyle name="40% - Accent5 14 3 5" xfId="19332" xr:uid="{00000000-0005-0000-0000-00004A480000}"/>
    <cellStyle name="40% - Accent5 14 3_Exh G" xfId="3216" xr:uid="{00000000-0005-0000-0000-00004B480000}"/>
    <cellStyle name="40% - Accent5 14 4" xfId="4230" xr:uid="{00000000-0005-0000-0000-00004C480000}"/>
    <cellStyle name="40% - Accent5 14 4 2" xfId="7822" xr:uid="{00000000-0005-0000-0000-00004D480000}"/>
    <cellStyle name="40% - Accent5 14 4 2 2" xfId="15793" xr:uid="{00000000-0005-0000-0000-00004E480000}"/>
    <cellStyle name="40% - Accent5 14 4 2 3" xfId="23739" xr:uid="{00000000-0005-0000-0000-00004F480000}"/>
    <cellStyle name="40% - Accent5 14 4 3" xfId="12255" xr:uid="{00000000-0005-0000-0000-000050480000}"/>
    <cellStyle name="40% - Accent5 14 4 4" xfId="20210" xr:uid="{00000000-0005-0000-0000-000051480000}"/>
    <cellStyle name="40% - Accent5 14 5" xfId="6050" xr:uid="{00000000-0005-0000-0000-000052480000}"/>
    <cellStyle name="40% - Accent5 14 5 2" xfId="14034" xr:uid="{00000000-0005-0000-0000-000053480000}"/>
    <cellStyle name="40% - Accent5 14 5 3" xfId="21982" xr:uid="{00000000-0005-0000-0000-000054480000}"/>
    <cellStyle name="40% - Accent5 14 6" xfId="9603" xr:uid="{00000000-0005-0000-0000-000055480000}"/>
    <cellStyle name="40% - Accent5 14 6 2" xfId="17561" xr:uid="{00000000-0005-0000-0000-000056480000}"/>
    <cellStyle name="40% - Accent5 14 6 3" xfId="25505" xr:uid="{00000000-0005-0000-0000-000057480000}"/>
    <cellStyle name="40% - Accent5 14 7" xfId="10499" xr:uid="{00000000-0005-0000-0000-000058480000}"/>
    <cellStyle name="40% - Accent5 14 8" xfId="18454" xr:uid="{00000000-0005-0000-0000-000059480000}"/>
    <cellStyle name="40% - Accent5 14_Exh G" xfId="3213" xr:uid="{00000000-0005-0000-0000-00005A480000}"/>
    <cellStyle name="40% - Accent5 15" xfId="553" xr:uid="{00000000-0005-0000-0000-00005B480000}"/>
    <cellStyle name="40% - Accent5 15 2" xfId="1581" xr:uid="{00000000-0005-0000-0000-00005C480000}"/>
    <cellStyle name="40% - Accent5 15 2 2" xfId="5111" xr:uid="{00000000-0005-0000-0000-00005D480000}"/>
    <cellStyle name="40% - Accent5 15 2 2 2" xfId="8702" xr:uid="{00000000-0005-0000-0000-00005E480000}"/>
    <cellStyle name="40% - Accent5 15 2 2 2 2" xfId="16673" xr:uid="{00000000-0005-0000-0000-00005F480000}"/>
    <cellStyle name="40% - Accent5 15 2 2 2 3" xfId="24619" xr:uid="{00000000-0005-0000-0000-000060480000}"/>
    <cellStyle name="40% - Accent5 15 2 2 3" xfId="13135" xr:uid="{00000000-0005-0000-0000-000061480000}"/>
    <cellStyle name="40% - Accent5 15 2 2 4" xfId="21090" xr:uid="{00000000-0005-0000-0000-000062480000}"/>
    <cellStyle name="40% - Accent5 15 2 3" xfId="6943" xr:uid="{00000000-0005-0000-0000-000063480000}"/>
    <cellStyle name="40% - Accent5 15 2 3 2" xfId="14915" xr:uid="{00000000-0005-0000-0000-000064480000}"/>
    <cellStyle name="40% - Accent5 15 2 3 3" xfId="22862" xr:uid="{00000000-0005-0000-0000-000065480000}"/>
    <cellStyle name="40% - Accent5 15 2 4" xfId="11379" xr:uid="{00000000-0005-0000-0000-000066480000}"/>
    <cellStyle name="40% - Accent5 15 2 5" xfId="19334" xr:uid="{00000000-0005-0000-0000-000067480000}"/>
    <cellStyle name="40% - Accent5 15 2_Exh G" xfId="3218" xr:uid="{00000000-0005-0000-0000-000068480000}"/>
    <cellStyle name="40% - Accent5 15 3" xfId="4232" xr:uid="{00000000-0005-0000-0000-000069480000}"/>
    <cellStyle name="40% - Accent5 15 3 2" xfId="7824" xr:uid="{00000000-0005-0000-0000-00006A480000}"/>
    <cellStyle name="40% - Accent5 15 3 2 2" xfId="15795" xr:uid="{00000000-0005-0000-0000-00006B480000}"/>
    <cellStyle name="40% - Accent5 15 3 2 3" xfId="23741" xr:uid="{00000000-0005-0000-0000-00006C480000}"/>
    <cellStyle name="40% - Accent5 15 3 3" xfId="12257" xr:uid="{00000000-0005-0000-0000-00006D480000}"/>
    <cellStyle name="40% - Accent5 15 3 4" xfId="20212" xr:uid="{00000000-0005-0000-0000-00006E480000}"/>
    <cellStyle name="40% - Accent5 15 4" xfId="6052" xr:uid="{00000000-0005-0000-0000-00006F480000}"/>
    <cellStyle name="40% - Accent5 15 4 2" xfId="14036" xr:uid="{00000000-0005-0000-0000-000070480000}"/>
    <cellStyle name="40% - Accent5 15 4 3" xfId="21984" xr:uid="{00000000-0005-0000-0000-000071480000}"/>
    <cellStyle name="40% - Accent5 15 5" xfId="9605" xr:uid="{00000000-0005-0000-0000-000072480000}"/>
    <cellStyle name="40% - Accent5 15 5 2" xfId="17563" xr:uid="{00000000-0005-0000-0000-000073480000}"/>
    <cellStyle name="40% - Accent5 15 5 3" xfId="25507" xr:uid="{00000000-0005-0000-0000-000074480000}"/>
    <cellStyle name="40% - Accent5 15 6" xfId="10501" xr:uid="{00000000-0005-0000-0000-000075480000}"/>
    <cellStyle name="40% - Accent5 15 7" xfId="18456" xr:uid="{00000000-0005-0000-0000-000076480000}"/>
    <cellStyle name="40% - Accent5 15_Exh G" xfId="3217" xr:uid="{00000000-0005-0000-0000-000077480000}"/>
    <cellStyle name="40% - Accent5 16" xfId="853" xr:uid="{00000000-0005-0000-0000-000078480000}"/>
    <cellStyle name="40% - Accent5 16 2" xfId="1792" xr:uid="{00000000-0005-0000-0000-000079480000}"/>
    <cellStyle name="40% - Accent5 16 2 2" xfId="5313" xr:uid="{00000000-0005-0000-0000-00007A480000}"/>
    <cellStyle name="40% - Accent5 16 2 2 2" xfId="8904" xr:uid="{00000000-0005-0000-0000-00007B480000}"/>
    <cellStyle name="40% - Accent5 16 2 2 2 2" xfId="16875" xr:uid="{00000000-0005-0000-0000-00007C480000}"/>
    <cellStyle name="40% - Accent5 16 2 2 2 3" xfId="24821" xr:uid="{00000000-0005-0000-0000-00007D480000}"/>
    <cellStyle name="40% - Accent5 16 2 2 3" xfId="13337" xr:uid="{00000000-0005-0000-0000-00007E480000}"/>
    <cellStyle name="40% - Accent5 16 2 2 4" xfId="21292" xr:uid="{00000000-0005-0000-0000-00007F480000}"/>
    <cellStyle name="40% - Accent5 16 2 3" xfId="7145" xr:uid="{00000000-0005-0000-0000-000080480000}"/>
    <cellStyle name="40% - Accent5 16 2 3 2" xfId="15117" xr:uid="{00000000-0005-0000-0000-000081480000}"/>
    <cellStyle name="40% - Accent5 16 2 3 3" xfId="23064" xr:uid="{00000000-0005-0000-0000-000082480000}"/>
    <cellStyle name="40% - Accent5 16 2 4" xfId="11581" xr:uid="{00000000-0005-0000-0000-000083480000}"/>
    <cellStyle name="40% - Accent5 16 2 5" xfId="19536" xr:uid="{00000000-0005-0000-0000-000084480000}"/>
    <cellStyle name="40% - Accent5 16 2_Exh G" xfId="3220" xr:uid="{00000000-0005-0000-0000-000085480000}"/>
    <cellStyle name="40% - Accent5 16 3" xfId="4434" xr:uid="{00000000-0005-0000-0000-000086480000}"/>
    <cellStyle name="40% - Accent5 16 3 2" xfId="8026" xr:uid="{00000000-0005-0000-0000-000087480000}"/>
    <cellStyle name="40% - Accent5 16 3 2 2" xfId="15997" xr:uid="{00000000-0005-0000-0000-000088480000}"/>
    <cellStyle name="40% - Accent5 16 3 2 3" xfId="23943" xr:uid="{00000000-0005-0000-0000-000089480000}"/>
    <cellStyle name="40% - Accent5 16 3 3" xfId="12459" xr:uid="{00000000-0005-0000-0000-00008A480000}"/>
    <cellStyle name="40% - Accent5 16 3 4" xfId="20414" xr:uid="{00000000-0005-0000-0000-00008B480000}"/>
    <cellStyle name="40% - Accent5 16 4" xfId="6264" xr:uid="{00000000-0005-0000-0000-00008C480000}"/>
    <cellStyle name="40% - Accent5 16 4 2" xfId="14239" xr:uid="{00000000-0005-0000-0000-00008D480000}"/>
    <cellStyle name="40% - Accent5 16 4 3" xfId="22186" xr:uid="{00000000-0005-0000-0000-00008E480000}"/>
    <cellStyle name="40% - Accent5 16 5" xfId="9807" xr:uid="{00000000-0005-0000-0000-00008F480000}"/>
    <cellStyle name="40% - Accent5 16 5 2" xfId="17765" xr:uid="{00000000-0005-0000-0000-000090480000}"/>
    <cellStyle name="40% - Accent5 16 5 3" xfId="25709" xr:uid="{00000000-0005-0000-0000-000091480000}"/>
    <cellStyle name="40% - Accent5 16 6" xfId="10703" xr:uid="{00000000-0005-0000-0000-000092480000}"/>
    <cellStyle name="40% - Accent5 16 7" xfId="18658" xr:uid="{00000000-0005-0000-0000-000093480000}"/>
    <cellStyle name="40% - Accent5 16_Exh G" xfId="3219" xr:uid="{00000000-0005-0000-0000-000094480000}"/>
    <cellStyle name="40% - Accent5 2" xfId="554" xr:uid="{00000000-0005-0000-0000-000095480000}"/>
    <cellStyle name="40% - Accent5 2 10" xfId="18457" xr:uid="{00000000-0005-0000-0000-000096480000}"/>
    <cellStyle name="40% - Accent5 2 2" xfId="555" xr:uid="{00000000-0005-0000-0000-000097480000}"/>
    <cellStyle name="40% - Accent5 2 2 2" xfId="556" xr:uid="{00000000-0005-0000-0000-000098480000}"/>
    <cellStyle name="40% - Accent5 2 2 2 2" xfId="1584" xr:uid="{00000000-0005-0000-0000-000099480000}"/>
    <cellStyle name="40% - Accent5 2 2 2 2 2" xfId="5114" xr:uid="{00000000-0005-0000-0000-00009A480000}"/>
    <cellStyle name="40% - Accent5 2 2 2 2 2 2" xfId="8705" xr:uid="{00000000-0005-0000-0000-00009B480000}"/>
    <cellStyle name="40% - Accent5 2 2 2 2 2 2 2" xfId="16676" xr:uid="{00000000-0005-0000-0000-00009C480000}"/>
    <cellStyle name="40% - Accent5 2 2 2 2 2 2 3" xfId="24622" xr:uid="{00000000-0005-0000-0000-00009D480000}"/>
    <cellStyle name="40% - Accent5 2 2 2 2 2 3" xfId="13138" xr:uid="{00000000-0005-0000-0000-00009E480000}"/>
    <cellStyle name="40% - Accent5 2 2 2 2 2 4" xfId="21093" xr:uid="{00000000-0005-0000-0000-00009F480000}"/>
    <cellStyle name="40% - Accent5 2 2 2 2 3" xfId="6946" xr:uid="{00000000-0005-0000-0000-0000A0480000}"/>
    <cellStyle name="40% - Accent5 2 2 2 2 3 2" xfId="14918" xr:uid="{00000000-0005-0000-0000-0000A1480000}"/>
    <cellStyle name="40% - Accent5 2 2 2 2 3 3" xfId="22865" xr:uid="{00000000-0005-0000-0000-0000A2480000}"/>
    <cellStyle name="40% - Accent5 2 2 2 2 4" xfId="11382" xr:uid="{00000000-0005-0000-0000-0000A3480000}"/>
    <cellStyle name="40% - Accent5 2 2 2 2 5" xfId="19337" xr:uid="{00000000-0005-0000-0000-0000A4480000}"/>
    <cellStyle name="40% - Accent5 2 2 2 2_Exh G" xfId="3224" xr:uid="{00000000-0005-0000-0000-0000A5480000}"/>
    <cellStyle name="40% - Accent5 2 2 2 3" xfId="4235" xr:uid="{00000000-0005-0000-0000-0000A6480000}"/>
    <cellStyle name="40% - Accent5 2 2 2 3 2" xfId="7827" xr:uid="{00000000-0005-0000-0000-0000A7480000}"/>
    <cellStyle name="40% - Accent5 2 2 2 3 2 2" xfId="15798" xr:uid="{00000000-0005-0000-0000-0000A8480000}"/>
    <cellStyle name="40% - Accent5 2 2 2 3 2 3" xfId="23744" xr:uid="{00000000-0005-0000-0000-0000A9480000}"/>
    <cellStyle name="40% - Accent5 2 2 2 3 3" xfId="12260" xr:uid="{00000000-0005-0000-0000-0000AA480000}"/>
    <cellStyle name="40% - Accent5 2 2 2 3 4" xfId="20215" xr:uid="{00000000-0005-0000-0000-0000AB480000}"/>
    <cellStyle name="40% - Accent5 2 2 2 4" xfId="6055" xr:uid="{00000000-0005-0000-0000-0000AC480000}"/>
    <cellStyle name="40% - Accent5 2 2 2 4 2" xfId="14039" xr:uid="{00000000-0005-0000-0000-0000AD480000}"/>
    <cellStyle name="40% - Accent5 2 2 2 4 3" xfId="21987" xr:uid="{00000000-0005-0000-0000-0000AE480000}"/>
    <cellStyle name="40% - Accent5 2 2 2 5" xfId="9608" xr:uid="{00000000-0005-0000-0000-0000AF480000}"/>
    <cellStyle name="40% - Accent5 2 2 2 5 2" xfId="17566" xr:uid="{00000000-0005-0000-0000-0000B0480000}"/>
    <cellStyle name="40% - Accent5 2 2 2 5 3" xfId="25510" xr:uid="{00000000-0005-0000-0000-0000B1480000}"/>
    <cellStyle name="40% - Accent5 2 2 2 6" xfId="10504" xr:uid="{00000000-0005-0000-0000-0000B2480000}"/>
    <cellStyle name="40% - Accent5 2 2 2 7" xfId="18459" xr:uid="{00000000-0005-0000-0000-0000B3480000}"/>
    <cellStyle name="40% - Accent5 2 2 2_Exh G" xfId="3223" xr:uid="{00000000-0005-0000-0000-0000B4480000}"/>
    <cellStyle name="40% - Accent5 2 2 3" xfId="984" xr:uid="{00000000-0005-0000-0000-0000B5480000}"/>
    <cellStyle name="40% - Accent5 2 2 3 2" xfId="1900" xr:uid="{00000000-0005-0000-0000-0000B6480000}"/>
    <cellStyle name="40% - Accent5 2 2 3 2 2" xfId="5418" xr:uid="{00000000-0005-0000-0000-0000B7480000}"/>
    <cellStyle name="40% - Accent5 2 2 3 2 2 2" xfId="9009" xr:uid="{00000000-0005-0000-0000-0000B8480000}"/>
    <cellStyle name="40% - Accent5 2 2 3 2 2 2 2" xfId="16980" xr:uid="{00000000-0005-0000-0000-0000B9480000}"/>
    <cellStyle name="40% - Accent5 2 2 3 2 2 2 3" xfId="24926" xr:uid="{00000000-0005-0000-0000-0000BA480000}"/>
    <cellStyle name="40% - Accent5 2 2 3 2 2 3" xfId="13442" xr:uid="{00000000-0005-0000-0000-0000BB480000}"/>
    <cellStyle name="40% - Accent5 2 2 3 2 2 4" xfId="21397" xr:uid="{00000000-0005-0000-0000-0000BC480000}"/>
    <cellStyle name="40% - Accent5 2 2 3 2 3" xfId="7250" xr:uid="{00000000-0005-0000-0000-0000BD480000}"/>
    <cellStyle name="40% - Accent5 2 2 3 2 3 2" xfId="15222" xr:uid="{00000000-0005-0000-0000-0000BE480000}"/>
    <cellStyle name="40% - Accent5 2 2 3 2 3 3" xfId="23169" xr:uid="{00000000-0005-0000-0000-0000BF480000}"/>
    <cellStyle name="40% - Accent5 2 2 3 2 4" xfId="11686" xr:uid="{00000000-0005-0000-0000-0000C0480000}"/>
    <cellStyle name="40% - Accent5 2 2 3 2 5" xfId="19641" xr:uid="{00000000-0005-0000-0000-0000C1480000}"/>
    <cellStyle name="40% - Accent5 2 2 3 2_Exh G" xfId="3226" xr:uid="{00000000-0005-0000-0000-0000C2480000}"/>
    <cellStyle name="40% - Accent5 2 2 3 3" xfId="4539" xr:uid="{00000000-0005-0000-0000-0000C3480000}"/>
    <cellStyle name="40% - Accent5 2 2 3 3 2" xfId="8131" xr:uid="{00000000-0005-0000-0000-0000C4480000}"/>
    <cellStyle name="40% - Accent5 2 2 3 3 2 2" xfId="16102" xr:uid="{00000000-0005-0000-0000-0000C5480000}"/>
    <cellStyle name="40% - Accent5 2 2 3 3 2 3" xfId="24048" xr:uid="{00000000-0005-0000-0000-0000C6480000}"/>
    <cellStyle name="40% - Accent5 2 2 3 3 3" xfId="12564" xr:uid="{00000000-0005-0000-0000-0000C7480000}"/>
    <cellStyle name="40% - Accent5 2 2 3 3 4" xfId="20519" xr:uid="{00000000-0005-0000-0000-0000C8480000}"/>
    <cellStyle name="40% - Accent5 2 2 3 4" xfId="6369" xr:uid="{00000000-0005-0000-0000-0000C9480000}"/>
    <cellStyle name="40% - Accent5 2 2 3 4 2" xfId="14344" xr:uid="{00000000-0005-0000-0000-0000CA480000}"/>
    <cellStyle name="40% - Accent5 2 2 3 4 3" xfId="22291" xr:uid="{00000000-0005-0000-0000-0000CB480000}"/>
    <cellStyle name="40% - Accent5 2 2 3 5" xfId="9912" xr:uid="{00000000-0005-0000-0000-0000CC480000}"/>
    <cellStyle name="40% - Accent5 2 2 3 5 2" xfId="17870" xr:uid="{00000000-0005-0000-0000-0000CD480000}"/>
    <cellStyle name="40% - Accent5 2 2 3 5 3" xfId="25814" xr:uid="{00000000-0005-0000-0000-0000CE480000}"/>
    <cellStyle name="40% - Accent5 2 2 3 6" xfId="10808" xr:uid="{00000000-0005-0000-0000-0000CF480000}"/>
    <cellStyle name="40% - Accent5 2 2 3 7" xfId="18763" xr:uid="{00000000-0005-0000-0000-0000D0480000}"/>
    <cellStyle name="40% - Accent5 2 2 3_Exh G" xfId="3225" xr:uid="{00000000-0005-0000-0000-0000D1480000}"/>
    <cellStyle name="40% - Accent5 2 2 4" xfId="1583" xr:uid="{00000000-0005-0000-0000-0000D2480000}"/>
    <cellStyle name="40% - Accent5 2 2 4 2" xfId="5113" xr:uid="{00000000-0005-0000-0000-0000D3480000}"/>
    <cellStyle name="40% - Accent5 2 2 4 2 2" xfId="8704" xr:uid="{00000000-0005-0000-0000-0000D4480000}"/>
    <cellStyle name="40% - Accent5 2 2 4 2 2 2" xfId="16675" xr:uid="{00000000-0005-0000-0000-0000D5480000}"/>
    <cellStyle name="40% - Accent5 2 2 4 2 2 3" xfId="24621" xr:uid="{00000000-0005-0000-0000-0000D6480000}"/>
    <cellStyle name="40% - Accent5 2 2 4 2 3" xfId="13137" xr:uid="{00000000-0005-0000-0000-0000D7480000}"/>
    <cellStyle name="40% - Accent5 2 2 4 2 4" xfId="21092" xr:uid="{00000000-0005-0000-0000-0000D8480000}"/>
    <cellStyle name="40% - Accent5 2 2 4 3" xfId="6945" xr:uid="{00000000-0005-0000-0000-0000D9480000}"/>
    <cellStyle name="40% - Accent5 2 2 4 3 2" xfId="14917" xr:uid="{00000000-0005-0000-0000-0000DA480000}"/>
    <cellStyle name="40% - Accent5 2 2 4 3 3" xfId="22864" xr:uid="{00000000-0005-0000-0000-0000DB480000}"/>
    <cellStyle name="40% - Accent5 2 2 4 4" xfId="11381" xr:uid="{00000000-0005-0000-0000-0000DC480000}"/>
    <cellStyle name="40% - Accent5 2 2 4 5" xfId="19336" xr:uid="{00000000-0005-0000-0000-0000DD480000}"/>
    <cellStyle name="40% - Accent5 2 2 4_Exh G" xfId="3227" xr:uid="{00000000-0005-0000-0000-0000DE480000}"/>
    <cellStyle name="40% - Accent5 2 2 5" xfId="4234" xr:uid="{00000000-0005-0000-0000-0000DF480000}"/>
    <cellStyle name="40% - Accent5 2 2 5 2" xfId="7826" xr:uid="{00000000-0005-0000-0000-0000E0480000}"/>
    <cellStyle name="40% - Accent5 2 2 5 2 2" xfId="15797" xr:uid="{00000000-0005-0000-0000-0000E1480000}"/>
    <cellStyle name="40% - Accent5 2 2 5 2 3" xfId="23743" xr:uid="{00000000-0005-0000-0000-0000E2480000}"/>
    <cellStyle name="40% - Accent5 2 2 5 3" xfId="12259" xr:uid="{00000000-0005-0000-0000-0000E3480000}"/>
    <cellStyle name="40% - Accent5 2 2 5 4" xfId="20214" xr:uid="{00000000-0005-0000-0000-0000E4480000}"/>
    <cellStyle name="40% - Accent5 2 2 6" xfId="6054" xr:uid="{00000000-0005-0000-0000-0000E5480000}"/>
    <cellStyle name="40% - Accent5 2 2 6 2" xfId="14038" xr:uid="{00000000-0005-0000-0000-0000E6480000}"/>
    <cellStyle name="40% - Accent5 2 2 6 3" xfId="21986" xr:uid="{00000000-0005-0000-0000-0000E7480000}"/>
    <cellStyle name="40% - Accent5 2 2 7" xfId="9607" xr:uid="{00000000-0005-0000-0000-0000E8480000}"/>
    <cellStyle name="40% - Accent5 2 2 7 2" xfId="17565" xr:uid="{00000000-0005-0000-0000-0000E9480000}"/>
    <cellStyle name="40% - Accent5 2 2 7 3" xfId="25509" xr:uid="{00000000-0005-0000-0000-0000EA480000}"/>
    <cellStyle name="40% - Accent5 2 2 8" xfId="10503" xr:uid="{00000000-0005-0000-0000-0000EB480000}"/>
    <cellStyle name="40% - Accent5 2 2 9" xfId="18458" xr:uid="{00000000-0005-0000-0000-0000EC480000}"/>
    <cellStyle name="40% - Accent5 2 2_Exh G" xfId="3222" xr:uid="{00000000-0005-0000-0000-0000ED480000}"/>
    <cellStyle name="40% - Accent5 2 3" xfId="557" xr:uid="{00000000-0005-0000-0000-0000EE480000}"/>
    <cellStyle name="40% - Accent5 2 3 2" xfId="1585" xr:uid="{00000000-0005-0000-0000-0000EF480000}"/>
    <cellStyle name="40% - Accent5 2 3 2 2" xfId="5115" xr:uid="{00000000-0005-0000-0000-0000F0480000}"/>
    <cellStyle name="40% - Accent5 2 3 2 2 2" xfId="8706" xr:uid="{00000000-0005-0000-0000-0000F1480000}"/>
    <cellStyle name="40% - Accent5 2 3 2 2 2 2" xfId="16677" xr:uid="{00000000-0005-0000-0000-0000F2480000}"/>
    <cellStyle name="40% - Accent5 2 3 2 2 2 3" xfId="24623" xr:uid="{00000000-0005-0000-0000-0000F3480000}"/>
    <cellStyle name="40% - Accent5 2 3 2 2 3" xfId="13139" xr:uid="{00000000-0005-0000-0000-0000F4480000}"/>
    <cellStyle name="40% - Accent5 2 3 2 2 4" xfId="21094" xr:uid="{00000000-0005-0000-0000-0000F5480000}"/>
    <cellStyle name="40% - Accent5 2 3 2 3" xfId="6947" xr:uid="{00000000-0005-0000-0000-0000F6480000}"/>
    <cellStyle name="40% - Accent5 2 3 2 3 2" xfId="14919" xr:uid="{00000000-0005-0000-0000-0000F7480000}"/>
    <cellStyle name="40% - Accent5 2 3 2 3 3" xfId="22866" xr:uid="{00000000-0005-0000-0000-0000F8480000}"/>
    <cellStyle name="40% - Accent5 2 3 2 4" xfId="11383" xr:uid="{00000000-0005-0000-0000-0000F9480000}"/>
    <cellStyle name="40% - Accent5 2 3 2 5" xfId="19338" xr:uid="{00000000-0005-0000-0000-0000FA480000}"/>
    <cellStyle name="40% - Accent5 2 3 2_Exh G" xfId="3229" xr:uid="{00000000-0005-0000-0000-0000FB480000}"/>
    <cellStyle name="40% - Accent5 2 3 3" xfId="4236" xr:uid="{00000000-0005-0000-0000-0000FC480000}"/>
    <cellStyle name="40% - Accent5 2 3 3 2" xfId="7828" xr:uid="{00000000-0005-0000-0000-0000FD480000}"/>
    <cellStyle name="40% - Accent5 2 3 3 2 2" xfId="15799" xr:uid="{00000000-0005-0000-0000-0000FE480000}"/>
    <cellStyle name="40% - Accent5 2 3 3 2 3" xfId="23745" xr:uid="{00000000-0005-0000-0000-0000FF480000}"/>
    <cellStyle name="40% - Accent5 2 3 3 3" xfId="12261" xr:uid="{00000000-0005-0000-0000-000000490000}"/>
    <cellStyle name="40% - Accent5 2 3 3 4" xfId="20216" xr:uid="{00000000-0005-0000-0000-000001490000}"/>
    <cellStyle name="40% - Accent5 2 3 4" xfId="6056" xr:uid="{00000000-0005-0000-0000-000002490000}"/>
    <cellStyle name="40% - Accent5 2 3 4 2" xfId="14040" xr:uid="{00000000-0005-0000-0000-000003490000}"/>
    <cellStyle name="40% - Accent5 2 3 4 3" xfId="21988" xr:uid="{00000000-0005-0000-0000-000004490000}"/>
    <cellStyle name="40% - Accent5 2 3 5" xfId="9609" xr:uid="{00000000-0005-0000-0000-000005490000}"/>
    <cellStyle name="40% - Accent5 2 3 5 2" xfId="17567" xr:uid="{00000000-0005-0000-0000-000006490000}"/>
    <cellStyle name="40% - Accent5 2 3 5 3" xfId="25511" xr:uid="{00000000-0005-0000-0000-000007490000}"/>
    <cellStyle name="40% - Accent5 2 3 6" xfId="10505" xr:uid="{00000000-0005-0000-0000-000008490000}"/>
    <cellStyle name="40% - Accent5 2 3 7" xfId="18460" xr:uid="{00000000-0005-0000-0000-000009490000}"/>
    <cellStyle name="40% - Accent5 2 3_Exh G" xfId="3228" xr:uid="{00000000-0005-0000-0000-00000A490000}"/>
    <cellStyle name="40% - Accent5 2 4" xfId="983" xr:uid="{00000000-0005-0000-0000-00000B490000}"/>
    <cellStyle name="40% - Accent5 2 4 2" xfId="1899" xr:uid="{00000000-0005-0000-0000-00000C490000}"/>
    <cellStyle name="40% - Accent5 2 4 2 2" xfId="5417" xr:uid="{00000000-0005-0000-0000-00000D490000}"/>
    <cellStyle name="40% - Accent5 2 4 2 2 2" xfId="9008" xr:uid="{00000000-0005-0000-0000-00000E490000}"/>
    <cellStyle name="40% - Accent5 2 4 2 2 2 2" xfId="16979" xr:uid="{00000000-0005-0000-0000-00000F490000}"/>
    <cellStyle name="40% - Accent5 2 4 2 2 2 3" xfId="24925" xr:uid="{00000000-0005-0000-0000-000010490000}"/>
    <cellStyle name="40% - Accent5 2 4 2 2 3" xfId="13441" xr:uid="{00000000-0005-0000-0000-000011490000}"/>
    <cellStyle name="40% - Accent5 2 4 2 2 4" xfId="21396" xr:uid="{00000000-0005-0000-0000-000012490000}"/>
    <cellStyle name="40% - Accent5 2 4 2 3" xfId="7249" xr:uid="{00000000-0005-0000-0000-000013490000}"/>
    <cellStyle name="40% - Accent5 2 4 2 3 2" xfId="15221" xr:uid="{00000000-0005-0000-0000-000014490000}"/>
    <cellStyle name="40% - Accent5 2 4 2 3 3" xfId="23168" xr:uid="{00000000-0005-0000-0000-000015490000}"/>
    <cellStyle name="40% - Accent5 2 4 2 4" xfId="11685" xr:uid="{00000000-0005-0000-0000-000016490000}"/>
    <cellStyle name="40% - Accent5 2 4 2 5" xfId="19640" xr:uid="{00000000-0005-0000-0000-000017490000}"/>
    <cellStyle name="40% - Accent5 2 4 2_Exh G" xfId="3231" xr:uid="{00000000-0005-0000-0000-000018490000}"/>
    <cellStyle name="40% - Accent5 2 4 3" xfId="4538" xr:uid="{00000000-0005-0000-0000-000019490000}"/>
    <cellStyle name="40% - Accent5 2 4 3 2" xfId="8130" xr:uid="{00000000-0005-0000-0000-00001A490000}"/>
    <cellStyle name="40% - Accent5 2 4 3 2 2" xfId="16101" xr:uid="{00000000-0005-0000-0000-00001B490000}"/>
    <cellStyle name="40% - Accent5 2 4 3 2 3" xfId="24047" xr:uid="{00000000-0005-0000-0000-00001C490000}"/>
    <cellStyle name="40% - Accent5 2 4 3 3" xfId="12563" xr:uid="{00000000-0005-0000-0000-00001D490000}"/>
    <cellStyle name="40% - Accent5 2 4 3 4" xfId="20518" xr:uid="{00000000-0005-0000-0000-00001E490000}"/>
    <cellStyle name="40% - Accent5 2 4 4" xfId="6368" xr:uid="{00000000-0005-0000-0000-00001F490000}"/>
    <cellStyle name="40% - Accent5 2 4 4 2" xfId="14343" xr:uid="{00000000-0005-0000-0000-000020490000}"/>
    <cellStyle name="40% - Accent5 2 4 4 3" xfId="22290" xr:uid="{00000000-0005-0000-0000-000021490000}"/>
    <cellStyle name="40% - Accent5 2 4 5" xfId="9911" xr:uid="{00000000-0005-0000-0000-000022490000}"/>
    <cellStyle name="40% - Accent5 2 4 5 2" xfId="17869" xr:uid="{00000000-0005-0000-0000-000023490000}"/>
    <cellStyle name="40% - Accent5 2 4 5 3" xfId="25813" xr:uid="{00000000-0005-0000-0000-000024490000}"/>
    <cellStyle name="40% - Accent5 2 4 6" xfId="10807" xr:uid="{00000000-0005-0000-0000-000025490000}"/>
    <cellStyle name="40% - Accent5 2 4 7" xfId="18762" xr:uid="{00000000-0005-0000-0000-000026490000}"/>
    <cellStyle name="40% - Accent5 2 4_Exh G" xfId="3230" xr:uid="{00000000-0005-0000-0000-000027490000}"/>
    <cellStyle name="40% - Accent5 2 5" xfId="1582" xr:uid="{00000000-0005-0000-0000-000028490000}"/>
    <cellStyle name="40% - Accent5 2 5 2" xfId="5112" xr:uid="{00000000-0005-0000-0000-000029490000}"/>
    <cellStyle name="40% - Accent5 2 5 2 2" xfId="8703" xr:uid="{00000000-0005-0000-0000-00002A490000}"/>
    <cellStyle name="40% - Accent5 2 5 2 2 2" xfId="16674" xr:uid="{00000000-0005-0000-0000-00002B490000}"/>
    <cellStyle name="40% - Accent5 2 5 2 2 3" xfId="24620" xr:uid="{00000000-0005-0000-0000-00002C490000}"/>
    <cellStyle name="40% - Accent5 2 5 2 3" xfId="13136" xr:uid="{00000000-0005-0000-0000-00002D490000}"/>
    <cellStyle name="40% - Accent5 2 5 2 4" xfId="21091" xr:uid="{00000000-0005-0000-0000-00002E490000}"/>
    <cellStyle name="40% - Accent5 2 5 3" xfId="6944" xr:uid="{00000000-0005-0000-0000-00002F490000}"/>
    <cellStyle name="40% - Accent5 2 5 3 2" xfId="14916" xr:uid="{00000000-0005-0000-0000-000030490000}"/>
    <cellStyle name="40% - Accent5 2 5 3 3" xfId="22863" xr:uid="{00000000-0005-0000-0000-000031490000}"/>
    <cellStyle name="40% - Accent5 2 5 4" xfId="11380" xr:uid="{00000000-0005-0000-0000-000032490000}"/>
    <cellStyle name="40% - Accent5 2 5 5" xfId="19335" xr:uid="{00000000-0005-0000-0000-000033490000}"/>
    <cellStyle name="40% - Accent5 2 5_Exh G" xfId="3232" xr:uid="{00000000-0005-0000-0000-000034490000}"/>
    <cellStyle name="40% - Accent5 2 6" xfId="4233" xr:uid="{00000000-0005-0000-0000-000035490000}"/>
    <cellStyle name="40% - Accent5 2 6 2" xfId="7825" xr:uid="{00000000-0005-0000-0000-000036490000}"/>
    <cellStyle name="40% - Accent5 2 6 2 2" xfId="15796" xr:uid="{00000000-0005-0000-0000-000037490000}"/>
    <cellStyle name="40% - Accent5 2 6 2 3" xfId="23742" xr:uid="{00000000-0005-0000-0000-000038490000}"/>
    <cellStyle name="40% - Accent5 2 6 3" xfId="12258" xr:uid="{00000000-0005-0000-0000-000039490000}"/>
    <cellStyle name="40% - Accent5 2 6 4" xfId="20213" xr:uid="{00000000-0005-0000-0000-00003A490000}"/>
    <cellStyle name="40% - Accent5 2 7" xfId="6053" xr:uid="{00000000-0005-0000-0000-00003B490000}"/>
    <cellStyle name="40% - Accent5 2 7 2" xfId="14037" xr:uid="{00000000-0005-0000-0000-00003C490000}"/>
    <cellStyle name="40% - Accent5 2 7 3" xfId="21985" xr:uid="{00000000-0005-0000-0000-00003D490000}"/>
    <cellStyle name="40% - Accent5 2 8" xfId="9606" xr:uid="{00000000-0005-0000-0000-00003E490000}"/>
    <cellStyle name="40% - Accent5 2 8 2" xfId="17564" xr:uid="{00000000-0005-0000-0000-00003F490000}"/>
    <cellStyle name="40% - Accent5 2 8 3" xfId="25508" xr:uid="{00000000-0005-0000-0000-000040490000}"/>
    <cellStyle name="40% - Accent5 2 9" xfId="10502" xr:uid="{00000000-0005-0000-0000-000041490000}"/>
    <cellStyle name="40% - Accent5 2_Exh G" xfId="3221" xr:uid="{00000000-0005-0000-0000-000042490000}"/>
    <cellStyle name="40% - Accent5 3" xfId="558" xr:uid="{00000000-0005-0000-0000-000043490000}"/>
    <cellStyle name="40% - Accent5 3 10" xfId="18461" xr:uid="{00000000-0005-0000-0000-000044490000}"/>
    <cellStyle name="40% - Accent5 3 2" xfId="559" xr:uid="{00000000-0005-0000-0000-000045490000}"/>
    <cellStyle name="40% - Accent5 3 2 2" xfId="560" xr:uid="{00000000-0005-0000-0000-000046490000}"/>
    <cellStyle name="40% - Accent5 3 2 2 2" xfId="1588" xr:uid="{00000000-0005-0000-0000-000047490000}"/>
    <cellStyle name="40% - Accent5 3 2 2 2 2" xfId="5118" xr:uid="{00000000-0005-0000-0000-000048490000}"/>
    <cellStyle name="40% - Accent5 3 2 2 2 2 2" xfId="8709" xr:uid="{00000000-0005-0000-0000-000049490000}"/>
    <cellStyle name="40% - Accent5 3 2 2 2 2 2 2" xfId="16680" xr:uid="{00000000-0005-0000-0000-00004A490000}"/>
    <cellStyle name="40% - Accent5 3 2 2 2 2 2 3" xfId="24626" xr:uid="{00000000-0005-0000-0000-00004B490000}"/>
    <cellStyle name="40% - Accent5 3 2 2 2 2 3" xfId="13142" xr:uid="{00000000-0005-0000-0000-00004C490000}"/>
    <cellStyle name="40% - Accent5 3 2 2 2 2 4" xfId="21097" xr:uid="{00000000-0005-0000-0000-00004D490000}"/>
    <cellStyle name="40% - Accent5 3 2 2 2 3" xfId="6950" xr:uid="{00000000-0005-0000-0000-00004E490000}"/>
    <cellStyle name="40% - Accent5 3 2 2 2 3 2" xfId="14922" xr:uid="{00000000-0005-0000-0000-00004F490000}"/>
    <cellStyle name="40% - Accent5 3 2 2 2 3 3" xfId="22869" xr:uid="{00000000-0005-0000-0000-000050490000}"/>
    <cellStyle name="40% - Accent5 3 2 2 2 4" xfId="11386" xr:uid="{00000000-0005-0000-0000-000051490000}"/>
    <cellStyle name="40% - Accent5 3 2 2 2 5" xfId="19341" xr:uid="{00000000-0005-0000-0000-000052490000}"/>
    <cellStyle name="40% - Accent5 3 2 2 2_Exh G" xfId="3236" xr:uid="{00000000-0005-0000-0000-000053490000}"/>
    <cellStyle name="40% - Accent5 3 2 2 3" xfId="4239" xr:uid="{00000000-0005-0000-0000-000054490000}"/>
    <cellStyle name="40% - Accent5 3 2 2 3 2" xfId="7831" xr:uid="{00000000-0005-0000-0000-000055490000}"/>
    <cellStyle name="40% - Accent5 3 2 2 3 2 2" xfId="15802" xr:uid="{00000000-0005-0000-0000-000056490000}"/>
    <cellStyle name="40% - Accent5 3 2 2 3 2 3" xfId="23748" xr:uid="{00000000-0005-0000-0000-000057490000}"/>
    <cellStyle name="40% - Accent5 3 2 2 3 3" xfId="12264" xr:uid="{00000000-0005-0000-0000-000058490000}"/>
    <cellStyle name="40% - Accent5 3 2 2 3 4" xfId="20219" xr:uid="{00000000-0005-0000-0000-000059490000}"/>
    <cellStyle name="40% - Accent5 3 2 2 4" xfId="6059" xr:uid="{00000000-0005-0000-0000-00005A490000}"/>
    <cellStyle name="40% - Accent5 3 2 2 4 2" xfId="14043" xr:uid="{00000000-0005-0000-0000-00005B490000}"/>
    <cellStyle name="40% - Accent5 3 2 2 4 3" xfId="21991" xr:uid="{00000000-0005-0000-0000-00005C490000}"/>
    <cellStyle name="40% - Accent5 3 2 2 5" xfId="9612" xr:uid="{00000000-0005-0000-0000-00005D490000}"/>
    <cellStyle name="40% - Accent5 3 2 2 5 2" xfId="17570" xr:uid="{00000000-0005-0000-0000-00005E490000}"/>
    <cellStyle name="40% - Accent5 3 2 2 5 3" xfId="25514" xr:uid="{00000000-0005-0000-0000-00005F490000}"/>
    <cellStyle name="40% - Accent5 3 2 2 6" xfId="10508" xr:uid="{00000000-0005-0000-0000-000060490000}"/>
    <cellStyle name="40% - Accent5 3 2 2 7" xfId="18463" xr:uid="{00000000-0005-0000-0000-000061490000}"/>
    <cellStyle name="40% - Accent5 3 2 2_Exh G" xfId="3235" xr:uid="{00000000-0005-0000-0000-000062490000}"/>
    <cellStyle name="40% - Accent5 3 2 3" xfId="986" xr:uid="{00000000-0005-0000-0000-000063490000}"/>
    <cellStyle name="40% - Accent5 3 2 3 2" xfId="1902" xr:uid="{00000000-0005-0000-0000-000064490000}"/>
    <cellStyle name="40% - Accent5 3 2 3 2 2" xfId="5420" xr:uid="{00000000-0005-0000-0000-000065490000}"/>
    <cellStyle name="40% - Accent5 3 2 3 2 2 2" xfId="9011" xr:uid="{00000000-0005-0000-0000-000066490000}"/>
    <cellStyle name="40% - Accent5 3 2 3 2 2 2 2" xfId="16982" xr:uid="{00000000-0005-0000-0000-000067490000}"/>
    <cellStyle name="40% - Accent5 3 2 3 2 2 2 3" xfId="24928" xr:uid="{00000000-0005-0000-0000-000068490000}"/>
    <cellStyle name="40% - Accent5 3 2 3 2 2 3" xfId="13444" xr:uid="{00000000-0005-0000-0000-000069490000}"/>
    <cellStyle name="40% - Accent5 3 2 3 2 2 4" xfId="21399" xr:uid="{00000000-0005-0000-0000-00006A490000}"/>
    <cellStyle name="40% - Accent5 3 2 3 2 3" xfId="7252" xr:uid="{00000000-0005-0000-0000-00006B490000}"/>
    <cellStyle name="40% - Accent5 3 2 3 2 3 2" xfId="15224" xr:uid="{00000000-0005-0000-0000-00006C490000}"/>
    <cellStyle name="40% - Accent5 3 2 3 2 3 3" xfId="23171" xr:uid="{00000000-0005-0000-0000-00006D490000}"/>
    <cellStyle name="40% - Accent5 3 2 3 2 4" xfId="11688" xr:uid="{00000000-0005-0000-0000-00006E490000}"/>
    <cellStyle name="40% - Accent5 3 2 3 2 5" xfId="19643" xr:uid="{00000000-0005-0000-0000-00006F490000}"/>
    <cellStyle name="40% - Accent5 3 2 3 2_Exh G" xfId="3238" xr:uid="{00000000-0005-0000-0000-000070490000}"/>
    <cellStyle name="40% - Accent5 3 2 3 3" xfId="4541" xr:uid="{00000000-0005-0000-0000-000071490000}"/>
    <cellStyle name="40% - Accent5 3 2 3 3 2" xfId="8133" xr:uid="{00000000-0005-0000-0000-000072490000}"/>
    <cellStyle name="40% - Accent5 3 2 3 3 2 2" xfId="16104" xr:uid="{00000000-0005-0000-0000-000073490000}"/>
    <cellStyle name="40% - Accent5 3 2 3 3 2 3" xfId="24050" xr:uid="{00000000-0005-0000-0000-000074490000}"/>
    <cellStyle name="40% - Accent5 3 2 3 3 3" xfId="12566" xr:uid="{00000000-0005-0000-0000-000075490000}"/>
    <cellStyle name="40% - Accent5 3 2 3 3 4" xfId="20521" xr:uid="{00000000-0005-0000-0000-000076490000}"/>
    <cellStyle name="40% - Accent5 3 2 3 4" xfId="6371" xr:uid="{00000000-0005-0000-0000-000077490000}"/>
    <cellStyle name="40% - Accent5 3 2 3 4 2" xfId="14346" xr:uid="{00000000-0005-0000-0000-000078490000}"/>
    <cellStyle name="40% - Accent5 3 2 3 4 3" xfId="22293" xr:uid="{00000000-0005-0000-0000-000079490000}"/>
    <cellStyle name="40% - Accent5 3 2 3 5" xfId="9914" xr:uid="{00000000-0005-0000-0000-00007A490000}"/>
    <cellStyle name="40% - Accent5 3 2 3 5 2" xfId="17872" xr:uid="{00000000-0005-0000-0000-00007B490000}"/>
    <cellStyle name="40% - Accent5 3 2 3 5 3" xfId="25816" xr:uid="{00000000-0005-0000-0000-00007C490000}"/>
    <cellStyle name="40% - Accent5 3 2 3 6" xfId="10810" xr:uid="{00000000-0005-0000-0000-00007D490000}"/>
    <cellStyle name="40% - Accent5 3 2 3 7" xfId="18765" xr:uid="{00000000-0005-0000-0000-00007E490000}"/>
    <cellStyle name="40% - Accent5 3 2 3_Exh G" xfId="3237" xr:uid="{00000000-0005-0000-0000-00007F490000}"/>
    <cellStyle name="40% - Accent5 3 2 4" xfId="1587" xr:uid="{00000000-0005-0000-0000-000080490000}"/>
    <cellStyle name="40% - Accent5 3 2 4 2" xfId="5117" xr:uid="{00000000-0005-0000-0000-000081490000}"/>
    <cellStyle name="40% - Accent5 3 2 4 2 2" xfId="8708" xr:uid="{00000000-0005-0000-0000-000082490000}"/>
    <cellStyle name="40% - Accent5 3 2 4 2 2 2" xfId="16679" xr:uid="{00000000-0005-0000-0000-000083490000}"/>
    <cellStyle name="40% - Accent5 3 2 4 2 2 3" xfId="24625" xr:uid="{00000000-0005-0000-0000-000084490000}"/>
    <cellStyle name="40% - Accent5 3 2 4 2 3" xfId="13141" xr:uid="{00000000-0005-0000-0000-000085490000}"/>
    <cellStyle name="40% - Accent5 3 2 4 2 4" xfId="21096" xr:uid="{00000000-0005-0000-0000-000086490000}"/>
    <cellStyle name="40% - Accent5 3 2 4 3" xfId="6949" xr:uid="{00000000-0005-0000-0000-000087490000}"/>
    <cellStyle name="40% - Accent5 3 2 4 3 2" xfId="14921" xr:uid="{00000000-0005-0000-0000-000088490000}"/>
    <cellStyle name="40% - Accent5 3 2 4 3 3" xfId="22868" xr:uid="{00000000-0005-0000-0000-000089490000}"/>
    <cellStyle name="40% - Accent5 3 2 4 4" xfId="11385" xr:uid="{00000000-0005-0000-0000-00008A490000}"/>
    <cellStyle name="40% - Accent5 3 2 4 5" xfId="19340" xr:uid="{00000000-0005-0000-0000-00008B490000}"/>
    <cellStyle name="40% - Accent5 3 2 4_Exh G" xfId="3239" xr:uid="{00000000-0005-0000-0000-00008C490000}"/>
    <cellStyle name="40% - Accent5 3 2 5" xfId="4238" xr:uid="{00000000-0005-0000-0000-00008D490000}"/>
    <cellStyle name="40% - Accent5 3 2 5 2" xfId="7830" xr:uid="{00000000-0005-0000-0000-00008E490000}"/>
    <cellStyle name="40% - Accent5 3 2 5 2 2" xfId="15801" xr:uid="{00000000-0005-0000-0000-00008F490000}"/>
    <cellStyle name="40% - Accent5 3 2 5 2 3" xfId="23747" xr:uid="{00000000-0005-0000-0000-000090490000}"/>
    <cellStyle name="40% - Accent5 3 2 5 3" xfId="12263" xr:uid="{00000000-0005-0000-0000-000091490000}"/>
    <cellStyle name="40% - Accent5 3 2 5 4" xfId="20218" xr:uid="{00000000-0005-0000-0000-000092490000}"/>
    <cellStyle name="40% - Accent5 3 2 6" xfId="6058" xr:uid="{00000000-0005-0000-0000-000093490000}"/>
    <cellStyle name="40% - Accent5 3 2 6 2" xfId="14042" xr:uid="{00000000-0005-0000-0000-000094490000}"/>
    <cellStyle name="40% - Accent5 3 2 6 3" xfId="21990" xr:uid="{00000000-0005-0000-0000-000095490000}"/>
    <cellStyle name="40% - Accent5 3 2 7" xfId="9611" xr:uid="{00000000-0005-0000-0000-000096490000}"/>
    <cellStyle name="40% - Accent5 3 2 7 2" xfId="17569" xr:uid="{00000000-0005-0000-0000-000097490000}"/>
    <cellStyle name="40% - Accent5 3 2 7 3" xfId="25513" xr:uid="{00000000-0005-0000-0000-000098490000}"/>
    <cellStyle name="40% - Accent5 3 2 8" xfId="10507" xr:uid="{00000000-0005-0000-0000-000099490000}"/>
    <cellStyle name="40% - Accent5 3 2 9" xfId="18462" xr:uid="{00000000-0005-0000-0000-00009A490000}"/>
    <cellStyle name="40% - Accent5 3 2_Exh G" xfId="3234" xr:uid="{00000000-0005-0000-0000-00009B490000}"/>
    <cellStyle name="40% - Accent5 3 3" xfId="561" xr:uid="{00000000-0005-0000-0000-00009C490000}"/>
    <cellStyle name="40% - Accent5 3 3 2" xfId="1589" xr:uid="{00000000-0005-0000-0000-00009D490000}"/>
    <cellStyle name="40% - Accent5 3 3 2 2" xfId="5119" xr:uid="{00000000-0005-0000-0000-00009E490000}"/>
    <cellStyle name="40% - Accent5 3 3 2 2 2" xfId="8710" xr:uid="{00000000-0005-0000-0000-00009F490000}"/>
    <cellStyle name="40% - Accent5 3 3 2 2 2 2" xfId="16681" xr:uid="{00000000-0005-0000-0000-0000A0490000}"/>
    <cellStyle name="40% - Accent5 3 3 2 2 2 3" xfId="24627" xr:uid="{00000000-0005-0000-0000-0000A1490000}"/>
    <cellStyle name="40% - Accent5 3 3 2 2 3" xfId="13143" xr:uid="{00000000-0005-0000-0000-0000A2490000}"/>
    <cellStyle name="40% - Accent5 3 3 2 2 4" xfId="21098" xr:uid="{00000000-0005-0000-0000-0000A3490000}"/>
    <cellStyle name="40% - Accent5 3 3 2 3" xfId="6951" xr:uid="{00000000-0005-0000-0000-0000A4490000}"/>
    <cellStyle name="40% - Accent5 3 3 2 3 2" xfId="14923" xr:uid="{00000000-0005-0000-0000-0000A5490000}"/>
    <cellStyle name="40% - Accent5 3 3 2 3 3" xfId="22870" xr:uid="{00000000-0005-0000-0000-0000A6490000}"/>
    <cellStyle name="40% - Accent5 3 3 2 4" xfId="11387" xr:uid="{00000000-0005-0000-0000-0000A7490000}"/>
    <cellStyle name="40% - Accent5 3 3 2 5" xfId="19342" xr:uid="{00000000-0005-0000-0000-0000A8490000}"/>
    <cellStyle name="40% - Accent5 3 3 2_Exh G" xfId="3241" xr:uid="{00000000-0005-0000-0000-0000A9490000}"/>
    <cellStyle name="40% - Accent5 3 3 3" xfId="4240" xr:uid="{00000000-0005-0000-0000-0000AA490000}"/>
    <cellStyle name="40% - Accent5 3 3 3 2" xfId="7832" xr:uid="{00000000-0005-0000-0000-0000AB490000}"/>
    <cellStyle name="40% - Accent5 3 3 3 2 2" xfId="15803" xr:uid="{00000000-0005-0000-0000-0000AC490000}"/>
    <cellStyle name="40% - Accent5 3 3 3 2 3" xfId="23749" xr:uid="{00000000-0005-0000-0000-0000AD490000}"/>
    <cellStyle name="40% - Accent5 3 3 3 3" xfId="12265" xr:uid="{00000000-0005-0000-0000-0000AE490000}"/>
    <cellStyle name="40% - Accent5 3 3 3 4" xfId="20220" xr:uid="{00000000-0005-0000-0000-0000AF490000}"/>
    <cellStyle name="40% - Accent5 3 3 4" xfId="6060" xr:uid="{00000000-0005-0000-0000-0000B0490000}"/>
    <cellStyle name="40% - Accent5 3 3 4 2" xfId="14044" xr:uid="{00000000-0005-0000-0000-0000B1490000}"/>
    <cellStyle name="40% - Accent5 3 3 4 3" xfId="21992" xr:uid="{00000000-0005-0000-0000-0000B2490000}"/>
    <cellStyle name="40% - Accent5 3 3 5" xfId="9613" xr:uid="{00000000-0005-0000-0000-0000B3490000}"/>
    <cellStyle name="40% - Accent5 3 3 5 2" xfId="17571" xr:uid="{00000000-0005-0000-0000-0000B4490000}"/>
    <cellStyle name="40% - Accent5 3 3 5 3" xfId="25515" xr:uid="{00000000-0005-0000-0000-0000B5490000}"/>
    <cellStyle name="40% - Accent5 3 3 6" xfId="10509" xr:uid="{00000000-0005-0000-0000-0000B6490000}"/>
    <cellStyle name="40% - Accent5 3 3 7" xfId="18464" xr:uid="{00000000-0005-0000-0000-0000B7490000}"/>
    <cellStyle name="40% - Accent5 3 3_Exh G" xfId="3240" xr:uid="{00000000-0005-0000-0000-0000B8490000}"/>
    <cellStyle name="40% - Accent5 3 4" xfId="985" xr:uid="{00000000-0005-0000-0000-0000B9490000}"/>
    <cellStyle name="40% - Accent5 3 4 2" xfId="1901" xr:uid="{00000000-0005-0000-0000-0000BA490000}"/>
    <cellStyle name="40% - Accent5 3 4 2 2" xfId="5419" xr:uid="{00000000-0005-0000-0000-0000BB490000}"/>
    <cellStyle name="40% - Accent5 3 4 2 2 2" xfId="9010" xr:uid="{00000000-0005-0000-0000-0000BC490000}"/>
    <cellStyle name="40% - Accent5 3 4 2 2 2 2" xfId="16981" xr:uid="{00000000-0005-0000-0000-0000BD490000}"/>
    <cellStyle name="40% - Accent5 3 4 2 2 2 3" xfId="24927" xr:uid="{00000000-0005-0000-0000-0000BE490000}"/>
    <cellStyle name="40% - Accent5 3 4 2 2 3" xfId="13443" xr:uid="{00000000-0005-0000-0000-0000BF490000}"/>
    <cellStyle name="40% - Accent5 3 4 2 2 4" xfId="21398" xr:uid="{00000000-0005-0000-0000-0000C0490000}"/>
    <cellStyle name="40% - Accent5 3 4 2 3" xfId="7251" xr:uid="{00000000-0005-0000-0000-0000C1490000}"/>
    <cellStyle name="40% - Accent5 3 4 2 3 2" xfId="15223" xr:uid="{00000000-0005-0000-0000-0000C2490000}"/>
    <cellStyle name="40% - Accent5 3 4 2 3 3" xfId="23170" xr:uid="{00000000-0005-0000-0000-0000C3490000}"/>
    <cellStyle name="40% - Accent5 3 4 2 4" xfId="11687" xr:uid="{00000000-0005-0000-0000-0000C4490000}"/>
    <cellStyle name="40% - Accent5 3 4 2 5" xfId="19642" xr:uid="{00000000-0005-0000-0000-0000C5490000}"/>
    <cellStyle name="40% - Accent5 3 4 2_Exh G" xfId="3243" xr:uid="{00000000-0005-0000-0000-0000C6490000}"/>
    <cellStyle name="40% - Accent5 3 4 3" xfId="4540" xr:uid="{00000000-0005-0000-0000-0000C7490000}"/>
    <cellStyle name="40% - Accent5 3 4 3 2" xfId="8132" xr:uid="{00000000-0005-0000-0000-0000C8490000}"/>
    <cellStyle name="40% - Accent5 3 4 3 2 2" xfId="16103" xr:uid="{00000000-0005-0000-0000-0000C9490000}"/>
    <cellStyle name="40% - Accent5 3 4 3 2 3" xfId="24049" xr:uid="{00000000-0005-0000-0000-0000CA490000}"/>
    <cellStyle name="40% - Accent5 3 4 3 3" xfId="12565" xr:uid="{00000000-0005-0000-0000-0000CB490000}"/>
    <cellStyle name="40% - Accent5 3 4 3 4" xfId="20520" xr:uid="{00000000-0005-0000-0000-0000CC490000}"/>
    <cellStyle name="40% - Accent5 3 4 4" xfId="6370" xr:uid="{00000000-0005-0000-0000-0000CD490000}"/>
    <cellStyle name="40% - Accent5 3 4 4 2" xfId="14345" xr:uid="{00000000-0005-0000-0000-0000CE490000}"/>
    <cellStyle name="40% - Accent5 3 4 4 3" xfId="22292" xr:uid="{00000000-0005-0000-0000-0000CF490000}"/>
    <cellStyle name="40% - Accent5 3 4 5" xfId="9913" xr:uid="{00000000-0005-0000-0000-0000D0490000}"/>
    <cellStyle name="40% - Accent5 3 4 5 2" xfId="17871" xr:uid="{00000000-0005-0000-0000-0000D1490000}"/>
    <cellStyle name="40% - Accent5 3 4 5 3" xfId="25815" xr:uid="{00000000-0005-0000-0000-0000D2490000}"/>
    <cellStyle name="40% - Accent5 3 4 6" xfId="10809" xr:uid="{00000000-0005-0000-0000-0000D3490000}"/>
    <cellStyle name="40% - Accent5 3 4 7" xfId="18764" xr:uid="{00000000-0005-0000-0000-0000D4490000}"/>
    <cellStyle name="40% - Accent5 3 4_Exh G" xfId="3242" xr:uid="{00000000-0005-0000-0000-0000D5490000}"/>
    <cellStyle name="40% - Accent5 3 5" xfId="1586" xr:uid="{00000000-0005-0000-0000-0000D6490000}"/>
    <cellStyle name="40% - Accent5 3 5 2" xfId="5116" xr:uid="{00000000-0005-0000-0000-0000D7490000}"/>
    <cellStyle name="40% - Accent5 3 5 2 2" xfId="8707" xr:uid="{00000000-0005-0000-0000-0000D8490000}"/>
    <cellStyle name="40% - Accent5 3 5 2 2 2" xfId="16678" xr:uid="{00000000-0005-0000-0000-0000D9490000}"/>
    <cellStyle name="40% - Accent5 3 5 2 2 3" xfId="24624" xr:uid="{00000000-0005-0000-0000-0000DA490000}"/>
    <cellStyle name="40% - Accent5 3 5 2 3" xfId="13140" xr:uid="{00000000-0005-0000-0000-0000DB490000}"/>
    <cellStyle name="40% - Accent5 3 5 2 4" xfId="21095" xr:uid="{00000000-0005-0000-0000-0000DC490000}"/>
    <cellStyle name="40% - Accent5 3 5 3" xfId="6948" xr:uid="{00000000-0005-0000-0000-0000DD490000}"/>
    <cellStyle name="40% - Accent5 3 5 3 2" xfId="14920" xr:uid="{00000000-0005-0000-0000-0000DE490000}"/>
    <cellStyle name="40% - Accent5 3 5 3 3" xfId="22867" xr:uid="{00000000-0005-0000-0000-0000DF490000}"/>
    <cellStyle name="40% - Accent5 3 5 4" xfId="11384" xr:uid="{00000000-0005-0000-0000-0000E0490000}"/>
    <cellStyle name="40% - Accent5 3 5 5" xfId="19339" xr:uid="{00000000-0005-0000-0000-0000E1490000}"/>
    <cellStyle name="40% - Accent5 3 5_Exh G" xfId="3244" xr:uid="{00000000-0005-0000-0000-0000E2490000}"/>
    <cellStyle name="40% - Accent5 3 6" xfId="4237" xr:uid="{00000000-0005-0000-0000-0000E3490000}"/>
    <cellStyle name="40% - Accent5 3 6 2" xfId="7829" xr:uid="{00000000-0005-0000-0000-0000E4490000}"/>
    <cellStyle name="40% - Accent5 3 6 2 2" xfId="15800" xr:uid="{00000000-0005-0000-0000-0000E5490000}"/>
    <cellStyle name="40% - Accent5 3 6 2 3" xfId="23746" xr:uid="{00000000-0005-0000-0000-0000E6490000}"/>
    <cellStyle name="40% - Accent5 3 6 3" xfId="12262" xr:uid="{00000000-0005-0000-0000-0000E7490000}"/>
    <cellStyle name="40% - Accent5 3 6 4" xfId="20217" xr:uid="{00000000-0005-0000-0000-0000E8490000}"/>
    <cellStyle name="40% - Accent5 3 7" xfId="6057" xr:uid="{00000000-0005-0000-0000-0000E9490000}"/>
    <cellStyle name="40% - Accent5 3 7 2" xfId="14041" xr:uid="{00000000-0005-0000-0000-0000EA490000}"/>
    <cellStyle name="40% - Accent5 3 7 3" xfId="21989" xr:uid="{00000000-0005-0000-0000-0000EB490000}"/>
    <cellStyle name="40% - Accent5 3 8" xfId="9610" xr:uid="{00000000-0005-0000-0000-0000EC490000}"/>
    <cellStyle name="40% - Accent5 3 8 2" xfId="17568" xr:uid="{00000000-0005-0000-0000-0000ED490000}"/>
    <cellStyle name="40% - Accent5 3 8 3" xfId="25512" xr:uid="{00000000-0005-0000-0000-0000EE490000}"/>
    <cellStyle name="40% - Accent5 3 9" xfId="10506" xr:uid="{00000000-0005-0000-0000-0000EF490000}"/>
    <cellStyle name="40% - Accent5 3_Exh G" xfId="3233" xr:uid="{00000000-0005-0000-0000-0000F0490000}"/>
    <cellStyle name="40% - Accent5 4" xfId="562" xr:uid="{00000000-0005-0000-0000-0000F1490000}"/>
    <cellStyle name="40% - Accent5 4 10" xfId="18465" xr:uid="{00000000-0005-0000-0000-0000F2490000}"/>
    <cellStyle name="40% - Accent5 4 2" xfId="563" xr:uid="{00000000-0005-0000-0000-0000F3490000}"/>
    <cellStyle name="40% - Accent5 4 2 2" xfId="564" xr:uid="{00000000-0005-0000-0000-0000F4490000}"/>
    <cellStyle name="40% - Accent5 4 2 2 2" xfId="1592" xr:uid="{00000000-0005-0000-0000-0000F5490000}"/>
    <cellStyle name="40% - Accent5 4 2 2 2 2" xfId="5122" xr:uid="{00000000-0005-0000-0000-0000F6490000}"/>
    <cellStyle name="40% - Accent5 4 2 2 2 2 2" xfId="8713" xr:uid="{00000000-0005-0000-0000-0000F7490000}"/>
    <cellStyle name="40% - Accent5 4 2 2 2 2 2 2" xfId="16684" xr:uid="{00000000-0005-0000-0000-0000F8490000}"/>
    <cellStyle name="40% - Accent5 4 2 2 2 2 2 3" xfId="24630" xr:uid="{00000000-0005-0000-0000-0000F9490000}"/>
    <cellStyle name="40% - Accent5 4 2 2 2 2 3" xfId="13146" xr:uid="{00000000-0005-0000-0000-0000FA490000}"/>
    <cellStyle name="40% - Accent5 4 2 2 2 2 4" xfId="21101" xr:uid="{00000000-0005-0000-0000-0000FB490000}"/>
    <cellStyle name="40% - Accent5 4 2 2 2 3" xfId="6954" xr:uid="{00000000-0005-0000-0000-0000FC490000}"/>
    <cellStyle name="40% - Accent5 4 2 2 2 3 2" xfId="14926" xr:uid="{00000000-0005-0000-0000-0000FD490000}"/>
    <cellStyle name="40% - Accent5 4 2 2 2 3 3" xfId="22873" xr:uid="{00000000-0005-0000-0000-0000FE490000}"/>
    <cellStyle name="40% - Accent5 4 2 2 2 4" xfId="11390" xr:uid="{00000000-0005-0000-0000-0000FF490000}"/>
    <cellStyle name="40% - Accent5 4 2 2 2 5" xfId="19345" xr:uid="{00000000-0005-0000-0000-0000004A0000}"/>
    <cellStyle name="40% - Accent5 4 2 2 2_Exh G" xfId="3248" xr:uid="{00000000-0005-0000-0000-0000014A0000}"/>
    <cellStyle name="40% - Accent5 4 2 2 3" xfId="4243" xr:uid="{00000000-0005-0000-0000-0000024A0000}"/>
    <cellStyle name="40% - Accent5 4 2 2 3 2" xfId="7835" xr:uid="{00000000-0005-0000-0000-0000034A0000}"/>
    <cellStyle name="40% - Accent5 4 2 2 3 2 2" xfId="15806" xr:uid="{00000000-0005-0000-0000-0000044A0000}"/>
    <cellStyle name="40% - Accent5 4 2 2 3 2 3" xfId="23752" xr:uid="{00000000-0005-0000-0000-0000054A0000}"/>
    <cellStyle name="40% - Accent5 4 2 2 3 3" xfId="12268" xr:uid="{00000000-0005-0000-0000-0000064A0000}"/>
    <cellStyle name="40% - Accent5 4 2 2 3 4" xfId="20223" xr:uid="{00000000-0005-0000-0000-0000074A0000}"/>
    <cellStyle name="40% - Accent5 4 2 2 4" xfId="6063" xr:uid="{00000000-0005-0000-0000-0000084A0000}"/>
    <cellStyle name="40% - Accent5 4 2 2 4 2" xfId="14047" xr:uid="{00000000-0005-0000-0000-0000094A0000}"/>
    <cellStyle name="40% - Accent5 4 2 2 4 3" xfId="21995" xr:uid="{00000000-0005-0000-0000-00000A4A0000}"/>
    <cellStyle name="40% - Accent5 4 2 2 5" xfId="9616" xr:uid="{00000000-0005-0000-0000-00000B4A0000}"/>
    <cellStyle name="40% - Accent5 4 2 2 5 2" xfId="17574" xr:uid="{00000000-0005-0000-0000-00000C4A0000}"/>
    <cellStyle name="40% - Accent5 4 2 2 5 3" xfId="25518" xr:uid="{00000000-0005-0000-0000-00000D4A0000}"/>
    <cellStyle name="40% - Accent5 4 2 2 6" xfId="10512" xr:uid="{00000000-0005-0000-0000-00000E4A0000}"/>
    <cellStyle name="40% - Accent5 4 2 2 7" xfId="18467" xr:uid="{00000000-0005-0000-0000-00000F4A0000}"/>
    <cellStyle name="40% - Accent5 4 2 2_Exh G" xfId="3247" xr:uid="{00000000-0005-0000-0000-0000104A0000}"/>
    <cellStyle name="40% - Accent5 4 2 3" xfId="988" xr:uid="{00000000-0005-0000-0000-0000114A0000}"/>
    <cellStyle name="40% - Accent5 4 2 3 2" xfId="1904" xr:uid="{00000000-0005-0000-0000-0000124A0000}"/>
    <cellStyle name="40% - Accent5 4 2 3 2 2" xfId="5422" xr:uid="{00000000-0005-0000-0000-0000134A0000}"/>
    <cellStyle name="40% - Accent5 4 2 3 2 2 2" xfId="9013" xr:uid="{00000000-0005-0000-0000-0000144A0000}"/>
    <cellStyle name="40% - Accent5 4 2 3 2 2 2 2" xfId="16984" xr:uid="{00000000-0005-0000-0000-0000154A0000}"/>
    <cellStyle name="40% - Accent5 4 2 3 2 2 2 3" xfId="24930" xr:uid="{00000000-0005-0000-0000-0000164A0000}"/>
    <cellStyle name="40% - Accent5 4 2 3 2 2 3" xfId="13446" xr:uid="{00000000-0005-0000-0000-0000174A0000}"/>
    <cellStyle name="40% - Accent5 4 2 3 2 2 4" xfId="21401" xr:uid="{00000000-0005-0000-0000-0000184A0000}"/>
    <cellStyle name="40% - Accent5 4 2 3 2 3" xfId="7254" xr:uid="{00000000-0005-0000-0000-0000194A0000}"/>
    <cellStyle name="40% - Accent5 4 2 3 2 3 2" xfId="15226" xr:uid="{00000000-0005-0000-0000-00001A4A0000}"/>
    <cellStyle name="40% - Accent5 4 2 3 2 3 3" xfId="23173" xr:uid="{00000000-0005-0000-0000-00001B4A0000}"/>
    <cellStyle name="40% - Accent5 4 2 3 2 4" xfId="11690" xr:uid="{00000000-0005-0000-0000-00001C4A0000}"/>
    <cellStyle name="40% - Accent5 4 2 3 2 5" xfId="19645" xr:uid="{00000000-0005-0000-0000-00001D4A0000}"/>
    <cellStyle name="40% - Accent5 4 2 3 2_Exh G" xfId="3250" xr:uid="{00000000-0005-0000-0000-00001E4A0000}"/>
    <cellStyle name="40% - Accent5 4 2 3 3" xfId="4543" xr:uid="{00000000-0005-0000-0000-00001F4A0000}"/>
    <cellStyle name="40% - Accent5 4 2 3 3 2" xfId="8135" xr:uid="{00000000-0005-0000-0000-0000204A0000}"/>
    <cellStyle name="40% - Accent5 4 2 3 3 2 2" xfId="16106" xr:uid="{00000000-0005-0000-0000-0000214A0000}"/>
    <cellStyle name="40% - Accent5 4 2 3 3 2 3" xfId="24052" xr:uid="{00000000-0005-0000-0000-0000224A0000}"/>
    <cellStyle name="40% - Accent5 4 2 3 3 3" xfId="12568" xr:uid="{00000000-0005-0000-0000-0000234A0000}"/>
    <cellStyle name="40% - Accent5 4 2 3 3 4" xfId="20523" xr:uid="{00000000-0005-0000-0000-0000244A0000}"/>
    <cellStyle name="40% - Accent5 4 2 3 4" xfId="6373" xr:uid="{00000000-0005-0000-0000-0000254A0000}"/>
    <cellStyle name="40% - Accent5 4 2 3 4 2" xfId="14348" xr:uid="{00000000-0005-0000-0000-0000264A0000}"/>
    <cellStyle name="40% - Accent5 4 2 3 4 3" xfId="22295" xr:uid="{00000000-0005-0000-0000-0000274A0000}"/>
    <cellStyle name="40% - Accent5 4 2 3 5" xfId="9916" xr:uid="{00000000-0005-0000-0000-0000284A0000}"/>
    <cellStyle name="40% - Accent5 4 2 3 5 2" xfId="17874" xr:uid="{00000000-0005-0000-0000-0000294A0000}"/>
    <cellStyle name="40% - Accent5 4 2 3 5 3" xfId="25818" xr:uid="{00000000-0005-0000-0000-00002A4A0000}"/>
    <cellStyle name="40% - Accent5 4 2 3 6" xfId="10812" xr:uid="{00000000-0005-0000-0000-00002B4A0000}"/>
    <cellStyle name="40% - Accent5 4 2 3 7" xfId="18767" xr:uid="{00000000-0005-0000-0000-00002C4A0000}"/>
    <cellStyle name="40% - Accent5 4 2 3_Exh G" xfId="3249" xr:uid="{00000000-0005-0000-0000-00002D4A0000}"/>
    <cellStyle name="40% - Accent5 4 2 4" xfId="1591" xr:uid="{00000000-0005-0000-0000-00002E4A0000}"/>
    <cellStyle name="40% - Accent5 4 2 4 2" xfId="5121" xr:uid="{00000000-0005-0000-0000-00002F4A0000}"/>
    <cellStyle name="40% - Accent5 4 2 4 2 2" xfId="8712" xr:uid="{00000000-0005-0000-0000-0000304A0000}"/>
    <cellStyle name="40% - Accent5 4 2 4 2 2 2" xfId="16683" xr:uid="{00000000-0005-0000-0000-0000314A0000}"/>
    <cellStyle name="40% - Accent5 4 2 4 2 2 3" xfId="24629" xr:uid="{00000000-0005-0000-0000-0000324A0000}"/>
    <cellStyle name="40% - Accent5 4 2 4 2 3" xfId="13145" xr:uid="{00000000-0005-0000-0000-0000334A0000}"/>
    <cellStyle name="40% - Accent5 4 2 4 2 4" xfId="21100" xr:uid="{00000000-0005-0000-0000-0000344A0000}"/>
    <cellStyle name="40% - Accent5 4 2 4 3" xfId="6953" xr:uid="{00000000-0005-0000-0000-0000354A0000}"/>
    <cellStyle name="40% - Accent5 4 2 4 3 2" xfId="14925" xr:uid="{00000000-0005-0000-0000-0000364A0000}"/>
    <cellStyle name="40% - Accent5 4 2 4 3 3" xfId="22872" xr:uid="{00000000-0005-0000-0000-0000374A0000}"/>
    <cellStyle name="40% - Accent5 4 2 4 4" xfId="11389" xr:uid="{00000000-0005-0000-0000-0000384A0000}"/>
    <cellStyle name="40% - Accent5 4 2 4 5" xfId="19344" xr:uid="{00000000-0005-0000-0000-0000394A0000}"/>
    <cellStyle name="40% - Accent5 4 2 4_Exh G" xfId="3251" xr:uid="{00000000-0005-0000-0000-00003A4A0000}"/>
    <cellStyle name="40% - Accent5 4 2 5" xfId="4242" xr:uid="{00000000-0005-0000-0000-00003B4A0000}"/>
    <cellStyle name="40% - Accent5 4 2 5 2" xfId="7834" xr:uid="{00000000-0005-0000-0000-00003C4A0000}"/>
    <cellStyle name="40% - Accent5 4 2 5 2 2" xfId="15805" xr:uid="{00000000-0005-0000-0000-00003D4A0000}"/>
    <cellStyle name="40% - Accent5 4 2 5 2 3" xfId="23751" xr:uid="{00000000-0005-0000-0000-00003E4A0000}"/>
    <cellStyle name="40% - Accent5 4 2 5 3" xfId="12267" xr:uid="{00000000-0005-0000-0000-00003F4A0000}"/>
    <cellStyle name="40% - Accent5 4 2 5 4" xfId="20222" xr:uid="{00000000-0005-0000-0000-0000404A0000}"/>
    <cellStyle name="40% - Accent5 4 2 6" xfId="6062" xr:uid="{00000000-0005-0000-0000-0000414A0000}"/>
    <cellStyle name="40% - Accent5 4 2 6 2" xfId="14046" xr:uid="{00000000-0005-0000-0000-0000424A0000}"/>
    <cellStyle name="40% - Accent5 4 2 6 3" xfId="21994" xr:uid="{00000000-0005-0000-0000-0000434A0000}"/>
    <cellStyle name="40% - Accent5 4 2 7" xfId="9615" xr:uid="{00000000-0005-0000-0000-0000444A0000}"/>
    <cellStyle name="40% - Accent5 4 2 7 2" xfId="17573" xr:uid="{00000000-0005-0000-0000-0000454A0000}"/>
    <cellStyle name="40% - Accent5 4 2 7 3" xfId="25517" xr:uid="{00000000-0005-0000-0000-0000464A0000}"/>
    <cellStyle name="40% - Accent5 4 2 8" xfId="10511" xr:uid="{00000000-0005-0000-0000-0000474A0000}"/>
    <cellStyle name="40% - Accent5 4 2 9" xfId="18466" xr:uid="{00000000-0005-0000-0000-0000484A0000}"/>
    <cellStyle name="40% - Accent5 4 2_Exh G" xfId="3246" xr:uid="{00000000-0005-0000-0000-0000494A0000}"/>
    <cellStyle name="40% - Accent5 4 3" xfId="565" xr:uid="{00000000-0005-0000-0000-00004A4A0000}"/>
    <cellStyle name="40% - Accent5 4 3 2" xfId="1593" xr:uid="{00000000-0005-0000-0000-00004B4A0000}"/>
    <cellStyle name="40% - Accent5 4 3 2 2" xfId="5123" xr:uid="{00000000-0005-0000-0000-00004C4A0000}"/>
    <cellStyle name="40% - Accent5 4 3 2 2 2" xfId="8714" xr:uid="{00000000-0005-0000-0000-00004D4A0000}"/>
    <cellStyle name="40% - Accent5 4 3 2 2 2 2" xfId="16685" xr:uid="{00000000-0005-0000-0000-00004E4A0000}"/>
    <cellStyle name="40% - Accent5 4 3 2 2 2 3" xfId="24631" xr:uid="{00000000-0005-0000-0000-00004F4A0000}"/>
    <cellStyle name="40% - Accent5 4 3 2 2 3" xfId="13147" xr:uid="{00000000-0005-0000-0000-0000504A0000}"/>
    <cellStyle name="40% - Accent5 4 3 2 2 4" xfId="21102" xr:uid="{00000000-0005-0000-0000-0000514A0000}"/>
    <cellStyle name="40% - Accent5 4 3 2 3" xfId="6955" xr:uid="{00000000-0005-0000-0000-0000524A0000}"/>
    <cellStyle name="40% - Accent5 4 3 2 3 2" xfId="14927" xr:uid="{00000000-0005-0000-0000-0000534A0000}"/>
    <cellStyle name="40% - Accent5 4 3 2 3 3" xfId="22874" xr:uid="{00000000-0005-0000-0000-0000544A0000}"/>
    <cellStyle name="40% - Accent5 4 3 2 4" xfId="11391" xr:uid="{00000000-0005-0000-0000-0000554A0000}"/>
    <cellStyle name="40% - Accent5 4 3 2 5" xfId="19346" xr:uid="{00000000-0005-0000-0000-0000564A0000}"/>
    <cellStyle name="40% - Accent5 4 3 2_Exh G" xfId="3253" xr:uid="{00000000-0005-0000-0000-0000574A0000}"/>
    <cellStyle name="40% - Accent5 4 3 3" xfId="4244" xr:uid="{00000000-0005-0000-0000-0000584A0000}"/>
    <cellStyle name="40% - Accent5 4 3 3 2" xfId="7836" xr:uid="{00000000-0005-0000-0000-0000594A0000}"/>
    <cellStyle name="40% - Accent5 4 3 3 2 2" xfId="15807" xr:uid="{00000000-0005-0000-0000-00005A4A0000}"/>
    <cellStyle name="40% - Accent5 4 3 3 2 3" xfId="23753" xr:uid="{00000000-0005-0000-0000-00005B4A0000}"/>
    <cellStyle name="40% - Accent5 4 3 3 3" xfId="12269" xr:uid="{00000000-0005-0000-0000-00005C4A0000}"/>
    <cellStyle name="40% - Accent5 4 3 3 4" xfId="20224" xr:uid="{00000000-0005-0000-0000-00005D4A0000}"/>
    <cellStyle name="40% - Accent5 4 3 4" xfId="6064" xr:uid="{00000000-0005-0000-0000-00005E4A0000}"/>
    <cellStyle name="40% - Accent5 4 3 4 2" xfId="14048" xr:uid="{00000000-0005-0000-0000-00005F4A0000}"/>
    <cellStyle name="40% - Accent5 4 3 4 3" xfId="21996" xr:uid="{00000000-0005-0000-0000-0000604A0000}"/>
    <cellStyle name="40% - Accent5 4 3 5" xfId="9617" xr:uid="{00000000-0005-0000-0000-0000614A0000}"/>
    <cellStyle name="40% - Accent5 4 3 5 2" xfId="17575" xr:uid="{00000000-0005-0000-0000-0000624A0000}"/>
    <cellStyle name="40% - Accent5 4 3 5 3" xfId="25519" xr:uid="{00000000-0005-0000-0000-0000634A0000}"/>
    <cellStyle name="40% - Accent5 4 3 6" xfId="10513" xr:uid="{00000000-0005-0000-0000-0000644A0000}"/>
    <cellStyle name="40% - Accent5 4 3 7" xfId="18468" xr:uid="{00000000-0005-0000-0000-0000654A0000}"/>
    <cellStyle name="40% - Accent5 4 3_Exh G" xfId="3252" xr:uid="{00000000-0005-0000-0000-0000664A0000}"/>
    <cellStyle name="40% - Accent5 4 4" xfId="987" xr:uid="{00000000-0005-0000-0000-0000674A0000}"/>
    <cellStyle name="40% - Accent5 4 4 2" xfId="1903" xr:uid="{00000000-0005-0000-0000-0000684A0000}"/>
    <cellStyle name="40% - Accent5 4 4 2 2" xfId="5421" xr:uid="{00000000-0005-0000-0000-0000694A0000}"/>
    <cellStyle name="40% - Accent5 4 4 2 2 2" xfId="9012" xr:uid="{00000000-0005-0000-0000-00006A4A0000}"/>
    <cellStyle name="40% - Accent5 4 4 2 2 2 2" xfId="16983" xr:uid="{00000000-0005-0000-0000-00006B4A0000}"/>
    <cellStyle name="40% - Accent5 4 4 2 2 2 3" xfId="24929" xr:uid="{00000000-0005-0000-0000-00006C4A0000}"/>
    <cellStyle name="40% - Accent5 4 4 2 2 3" xfId="13445" xr:uid="{00000000-0005-0000-0000-00006D4A0000}"/>
    <cellStyle name="40% - Accent5 4 4 2 2 4" xfId="21400" xr:uid="{00000000-0005-0000-0000-00006E4A0000}"/>
    <cellStyle name="40% - Accent5 4 4 2 3" xfId="7253" xr:uid="{00000000-0005-0000-0000-00006F4A0000}"/>
    <cellStyle name="40% - Accent5 4 4 2 3 2" xfId="15225" xr:uid="{00000000-0005-0000-0000-0000704A0000}"/>
    <cellStyle name="40% - Accent5 4 4 2 3 3" xfId="23172" xr:uid="{00000000-0005-0000-0000-0000714A0000}"/>
    <cellStyle name="40% - Accent5 4 4 2 4" xfId="11689" xr:uid="{00000000-0005-0000-0000-0000724A0000}"/>
    <cellStyle name="40% - Accent5 4 4 2 5" xfId="19644" xr:uid="{00000000-0005-0000-0000-0000734A0000}"/>
    <cellStyle name="40% - Accent5 4 4 2_Exh G" xfId="3255" xr:uid="{00000000-0005-0000-0000-0000744A0000}"/>
    <cellStyle name="40% - Accent5 4 4 3" xfId="4542" xr:uid="{00000000-0005-0000-0000-0000754A0000}"/>
    <cellStyle name="40% - Accent5 4 4 3 2" xfId="8134" xr:uid="{00000000-0005-0000-0000-0000764A0000}"/>
    <cellStyle name="40% - Accent5 4 4 3 2 2" xfId="16105" xr:uid="{00000000-0005-0000-0000-0000774A0000}"/>
    <cellStyle name="40% - Accent5 4 4 3 2 3" xfId="24051" xr:uid="{00000000-0005-0000-0000-0000784A0000}"/>
    <cellStyle name="40% - Accent5 4 4 3 3" xfId="12567" xr:uid="{00000000-0005-0000-0000-0000794A0000}"/>
    <cellStyle name="40% - Accent5 4 4 3 4" xfId="20522" xr:uid="{00000000-0005-0000-0000-00007A4A0000}"/>
    <cellStyle name="40% - Accent5 4 4 4" xfId="6372" xr:uid="{00000000-0005-0000-0000-00007B4A0000}"/>
    <cellStyle name="40% - Accent5 4 4 4 2" xfId="14347" xr:uid="{00000000-0005-0000-0000-00007C4A0000}"/>
    <cellStyle name="40% - Accent5 4 4 4 3" xfId="22294" xr:uid="{00000000-0005-0000-0000-00007D4A0000}"/>
    <cellStyle name="40% - Accent5 4 4 5" xfId="9915" xr:uid="{00000000-0005-0000-0000-00007E4A0000}"/>
    <cellStyle name="40% - Accent5 4 4 5 2" xfId="17873" xr:uid="{00000000-0005-0000-0000-00007F4A0000}"/>
    <cellStyle name="40% - Accent5 4 4 5 3" xfId="25817" xr:uid="{00000000-0005-0000-0000-0000804A0000}"/>
    <cellStyle name="40% - Accent5 4 4 6" xfId="10811" xr:uid="{00000000-0005-0000-0000-0000814A0000}"/>
    <cellStyle name="40% - Accent5 4 4 7" xfId="18766" xr:uid="{00000000-0005-0000-0000-0000824A0000}"/>
    <cellStyle name="40% - Accent5 4 4_Exh G" xfId="3254" xr:uid="{00000000-0005-0000-0000-0000834A0000}"/>
    <cellStyle name="40% - Accent5 4 5" xfId="1590" xr:uid="{00000000-0005-0000-0000-0000844A0000}"/>
    <cellStyle name="40% - Accent5 4 5 2" xfId="5120" xr:uid="{00000000-0005-0000-0000-0000854A0000}"/>
    <cellStyle name="40% - Accent5 4 5 2 2" xfId="8711" xr:uid="{00000000-0005-0000-0000-0000864A0000}"/>
    <cellStyle name="40% - Accent5 4 5 2 2 2" xfId="16682" xr:uid="{00000000-0005-0000-0000-0000874A0000}"/>
    <cellStyle name="40% - Accent5 4 5 2 2 3" xfId="24628" xr:uid="{00000000-0005-0000-0000-0000884A0000}"/>
    <cellStyle name="40% - Accent5 4 5 2 3" xfId="13144" xr:uid="{00000000-0005-0000-0000-0000894A0000}"/>
    <cellStyle name="40% - Accent5 4 5 2 4" xfId="21099" xr:uid="{00000000-0005-0000-0000-00008A4A0000}"/>
    <cellStyle name="40% - Accent5 4 5 3" xfId="6952" xr:uid="{00000000-0005-0000-0000-00008B4A0000}"/>
    <cellStyle name="40% - Accent5 4 5 3 2" xfId="14924" xr:uid="{00000000-0005-0000-0000-00008C4A0000}"/>
    <cellStyle name="40% - Accent5 4 5 3 3" xfId="22871" xr:uid="{00000000-0005-0000-0000-00008D4A0000}"/>
    <cellStyle name="40% - Accent5 4 5 4" xfId="11388" xr:uid="{00000000-0005-0000-0000-00008E4A0000}"/>
    <cellStyle name="40% - Accent5 4 5 5" xfId="19343" xr:uid="{00000000-0005-0000-0000-00008F4A0000}"/>
    <cellStyle name="40% - Accent5 4 5_Exh G" xfId="3256" xr:uid="{00000000-0005-0000-0000-0000904A0000}"/>
    <cellStyle name="40% - Accent5 4 6" xfId="4241" xr:uid="{00000000-0005-0000-0000-0000914A0000}"/>
    <cellStyle name="40% - Accent5 4 6 2" xfId="7833" xr:uid="{00000000-0005-0000-0000-0000924A0000}"/>
    <cellStyle name="40% - Accent5 4 6 2 2" xfId="15804" xr:uid="{00000000-0005-0000-0000-0000934A0000}"/>
    <cellStyle name="40% - Accent5 4 6 2 3" xfId="23750" xr:uid="{00000000-0005-0000-0000-0000944A0000}"/>
    <cellStyle name="40% - Accent5 4 6 3" xfId="12266" xr:uid="{00000000-0005-0000-0000-0000954A0000}"/>
    <cellStyle name="40% - Accent5 4 6 4" xfId="20221" xr:uid="{00000000-0005-0000-0000-0000964A0000}"/>
    <cellStyle name="40% - Accent5 4 7" xfId="6061" xr:uid="{00000000-0005-0000-0000-0000974A0000}"/>
    <cellStyle name="40% - Accent5 4 7 2" xfId="14045" xr:uid="{00000000-0005-0000-0000-0000984A0000}"/>
    <cellStyle name="40% - Accent5 4 7 3" xfId="21993" xr:uid="{00000000-0005-0000-0000-0000994A0000}"/>
    <cellStyle name="40% - Accent5 4 8" xfId="9614" xr:uid="{00000000-0005-0000-0000-00009A4A0000}"/>
    <cellStyle name="40% - Accent5 4 8 2" xfId="17572" xr:uid="{00000000-0005-0000-0000-00009B4A0000}"/>
    <cellStyle name="40% - Accent5 4 8 3" xfId="25516" xr:uid="{00000000-0005-0000-0000-00009C4A0000}"/>
    <cellStyle name="40% - Accent5 4 9" xfId="10510" xr:uid="{00000000-0005-0000-0000-00009D4A0000}"/>
    <cellStyle name="40% - Accent5 4_Exh G" xfId="3245" xr:uid="{00000000-0005-0000-0000-00009E4A0000}"/>
    <cellStyle name="40% - Accent5 5" xfId="566" xr:uid="{00000000-0005-0000-0000-00009F4A0000}"/>
    <cellStyle name="40% - Accent5 5 10" xfId="18469" xr:uid="{00000000-0005-0000-0000-0000A04A0000}"/>
    <cellStyle name="40% - Accent5 5 2" xfId="567" xr:uid="{00000000-0005-0000-0000-0000A14A0000}"/>
    <cellStyle name="40% - Accent5 5 2 2" xfId="568" xr:uid="{00000000-0005-0000-0000-0000A24A0000}"/>
    <cellStyle name="40% - Accent5 5 2 2 2" xfId="1596" xr:uid="{00000000-0005-0000-0000-0000A34A0000}"/>
    <cellStyle name="40% - Accent5 5 2 2 2 2" xfId="5126" xr:uid="{00000000-0005-0000-0000-0000A44A0000}"/>
    <cellStyle name="40% - Accent5 5 2 2 2 2 2" xfId="8717" xr:uid="{00000000-0005-0000-0000-0000A54A0000}"/>
    <cellStyle name="40% - Accent5 5 2 2 2 2 2 2" xfId="16688" xr:uid="{00000000-0005-0000-0000-0000A64A0000}"/>
    <cellStyle name="40% - Accent5 5 2 2 2 2 2 3" xfId="24634" xr:uid="{00000000-0005-0000-0000-0000A74A0000}"/>
    <cellStyle name="40% - Accent5 5 2 2 2 2 3" xfId="13150" xr:uid="{00000000-0005-0000-0000-0000A84A0000}"/>
    <cellStyle name="40% - Accent5 5 2 2 2 2 4" xfId="21105" xr:uid="{00000000-0005-0000-0000-0000A94A0000}"/>
    <cellStyle name="40% - Accent5 5 2 2 2 3" xfId="6958" xr:uid="{00000000-0005-0000-0000-0000AA4A0000}"/>
    <cellStyle name="40% - Accent5 5 2 2 2 3 2" xfId="14930" xr:uid="{00000000-0005-0000-0000-0000AB4A0000}"/>
    <cellStyle name="40% - Accent5 5 2 2 2 3 3" xfId="22877" xr:uid="{00000000-0005-0000-0000-0000AC4A0000}"/>
    <cellStyle name="40% - Accent5 5 2 2 2 4" xfId="11394" xr:uid="{00000000-0005-0000-0000-0000AD4A0000}"/>
    <cellStyle name="40% - Accent5 5 2 2 2 5" xfId="19349" xr:uid="{00000000-0005-0000-0000-0000AE4A0000}"/>
    <cellStyle name="40% - Accent5 5 2 2 2_Exh G" xfId="3260" xr:uid="{00000000-0005-0000-0000-0000AF4A0000}"/>
    <cellStyle name="40% - Accent5 5 2 2 3" xfId="4247" xr:uid="{00000000-0005-0000-0000-0000B04A0000}"/>
    <cellStyle name="40% - Accent5 5 2 2 3 2" xfId="7839" xr:uid="{00000000-0005-0000-0000-0000B14A0000}"/>
    <cellStyle name="40% - Accent5 5 2 2 3 2 2" xfId="15810" xr:uid="{00000000-0005-0000-0000-0000B24A0000}"/>
    <cellStyle name="40% - Accent5 5 2 2 3 2 3" xfId="23756" xr:uid="{00000000-0005-0000-0000-0000B34A0000}"/>
    <cellStyle name="40% - Accent5 5 2 2 3 3" xfId="12272" xr:uid="{00000000-0005-0000-0000-0000B44A0000}"/>
    <cellStyle name="40% - Accent5 5 2 2 3 4" xfId="20227" xr:uid="{00000000-0005-0000-0000-0000B54A0000}"/>
    <cellStyle name="40% - Accent5 5 2 2 4" xfId="6067" xr:uid="{00000000-0005-0000-0000-0000B64A0000}"/>
    <cellStyle name="40% - Accent5 5 2 2 4 2" xfId="14051" xr:uid="{00000000-0005-0000-0000-0000B74A0000}"/>
    <cellStyle name="40% - Accent5 5 2 2 4 3" xfId="21999" xr:uid="{00000000-0005-0000-0000-0000B84A0000}"/>
    <cellStyle name="40% - Accent5 5 2 2 5" xfId="9620" xr:uid="{00000000-0005-0000-0000-0000B94A0000}"/>
    <cellStyle name="40% - Accent5 5 2 2 5 2" xfId="17578" xr:uid="{00000000-0005-0000-0000-0000BA4A0000}"/>
    <cellStyle name="40% - Accent5 5 2 2 5 3" xfId="25522" xr:uid="{00000000-0005-0000-0000-0000BB4A0000}"/>
    <cellStyle name="40% - Accent5 5 2 2 6" xfId="10516" xr:uid="{00000000-0005-0000-0000-0000BC4A0000}"/>
    <cellStyle name="40% - Accent5 5 2 2 7" xfId="18471" xr:uid="{00000000-0005-0000-0000-0000BD4A0000}"/>
    <cellStyle name="40% - Accent5 5 2 2_Exh G" xfId="3259" xr:uid="{00000000-0005-0000-0000-0000BE4A0000}"/>
    <cellStyle name="40% - Accent5 5 2 3" xfId="1595" xr:uid="{00000000-0005-0000-0000-0000BF4A0000}"/>
    <cellStyle name="40% - Accent5 5 2 3 2" xfId="5125" xr:uid="{00000000-0005-0000-0000-0000C04A0000}"/>
    <cellStyle name="40% - Accent5 5 2 3 2 2" xfId="8716" xr:uid="{00000000-0005-0000-0000-0000C14A0000}"/>
    <cellStyle name="40% - Accent5 5 2 3 2 2 2" xfId="16687" xr:uid="{00000000-0005-0000-0000-0000C24A0000}"/>
    <cellStyle name="40% - Accent5 5 2 3 2 2 3" xfId="24633" xr:uid="{00000000-0005-0000-0000-0000C34A0000}"/>
    <cellStyle name="40% - Accent5 5 2 3 2 3" xfId="13149" xr:uid="{00000000-0005-0000-0000-0000C44A0000}"/>
    <cellStyle name="40% - Accent5 5 2 3 2 4" xfId="21104" xr:uid="{00000000-0005-0000-0000-0000C54A0000}"/>
    <cellStyle name="40% - Accent5 5 2 3 3" xfId="6957" xr:uid="{00000000-0005-0000-0000-0000C64A0000}"/>
    <cellStyle name="40% - Accent5 5 2 3 3 2" xfId="14929" xr:uid="{00000000-0005-0000-0000-0000C74A0000}"/>
    <cellStyle name="40% - Accent5 5 2 3 3 3" xfId="22876" xr:uid="{00000000-0005-0000-0000-0000C84A0000}"/>
    <cellStyle name="40% - Accent5 5 2 3 4" xfId="11393" xr:uid="{00000000-0005-0000-0000-0000C94A0000}"/>
    <cellStyle name="40% - Accent5 5 2 3 5" xfId="19348" xr:uid="{00000000-0005-0000-0000-0000CA4A0000}"/>
    <cellStyle name="40% - Accent5 5 2 3_Exh G" xfId="3261" xr:uid="{00000000-0005-0000-0000-0000CB4A0000}"/>
    <cellStyle name="40% - Accent5 5 2 4" xfId="4246" xr:uid="{00000000-0005-0000-0000-0000CC4A0000}"/>
    <cellStyle name="40% - Accent5 5 2 4 2" xfId="7838" xr:uid="{00000000-0005-0000-0000-0000CD4A0000}"/>
    <cellStyle name="40% - Accent5 5 2 4 2 2" xfId="15809" xr:uid="{00000000-0005-0000-0000-0000CE4A0000}"/>
    <cellStyle name="40% - Accent5 5 2 4 2 3" xfId="23755" xr:uid="{00000000-0005-0000-0000-0000CF4A0000}"/>
    <cellStyle name="40% - Accent5 5 2 4 3" xfId="12271" xr:uid="{00000000-0005-0000-0000-0000D04A0000}"/>
    <cellStyle name="40% - Accent5 5 2 4 4" xfId="20226" xr:uid="{00000000-0005-0000-0000-0000D14A0000}"/>
    <cellStyle name="40% - Accent5 5 2 5" xfId="6066" xr:uid="{00000000-0005-0000-0000-0000D24A0000}"/>
    <cellStyle name="40% - Accent5 5 2 5 2" xfId="14050" xr:uid="{00000000-0005-0000-0000-0000D34A0000}"/>
    <cellStyle name="40% - Accent5 5 2 5 3" xfId="21998" xr:uid="{00000000-0005-0000-0000-0000D44A0000}"/>
    <cellStyle name="40% - Accent5 5 2 6" xfId="9619" xr:uid="{00000000-0005-0000-0000-0000D54A0000}"/>
    <cellStyle name="40% - Accent5 5 2 6 2" xfId="17577" xr:uid="{00000000-0005-0000-0000-0000D64A0000}"/>
    <cellStyle name="40% - Accent5 5 2 6 3" xfId="25521" xr:uid="{00000000-0005-0000-0000-0000D74A0000}"/>
    <cellStyle name="40% - Accent5 5 2 7" xfId="10515" xr:uid="{00000000-0005-0000-0000-0000D84A0000}"/>
    <cellStyle name="40% - Accent5 5 2 8" xfId="18470" xr:uid="{00000000-0005-0000-0000-0000D94A0000}"/>
    <cellStyle name="40% - Accent5 5 2_Exh G" xfId="3258" xr:uid="{00000000-0005-0000-0000-0000DA4A0000}"/>
    <cellStyle name="40% - Accent5 5 3" xfId="569" xr:uid="{00000000-0005-0000-0000-0000DB4A0000}"/>
    <cellStyle name="40% - Accent5 5 3 2" xfId="1597" xr:uid="{00000000-0005-0000-0000-0000DC4A0000}"/>
    <cellStyle name="40% - Accent5 5 3 2 2" xfId="5127" xr:uid="{00000000-0005-0000-0000-0000DD4A0000}"/>
    <cellStyle name="40% - Accent5 5 3 2 2 2" xfId="8718" xr:uid="{00000000-0005-0000-0000-0000DE4A0000}"/>
    <cellStyle name="40% - Accent5 5 3 2 2 2 2" xfId="16689" xr:uid="{00000000-0005-0000-0000-0000DF4A0000}"/>
    <cellStyle name="40% - Accent5 5 3 2 2 2 3" xfId="24635" xr:uid="{00000000-0005-0000-0000-0000E04A0000}"/>
    <cellStyle name="40% - Accent5 5 3 2 2 3" xfId="13151" xr:uid="{00000000-0005-0000-0000-0000E14A0000}"/>
    <cellStyle name="40% - Accent5 5 3 2 2 4" xfId="21106" xr:uid="{00000000-0005-0000-0000-0000E24A0000}"/>
    <cellStyle name="40% - Accent5 5 3 2 3" xfId="6959" xr:uid="{00000000-0005-0000-0000-0000E34A0000}"/>
    <cellStyle name="40% - Accent5 5 3 2 3 2" xfId="14931" xr:uid="{00000000-0005-0000-0000-0000E44A0000}"/>
    <cellStyle name="40% - Accent5 5 3 2 3 3" xfId="22878" xr:uid="{00000000-0005-0000-0000-0000E54A0000}"/>
    <cellStyle name="40% - Accent5 5 3 2 4" xfId="11395" xr:uid="{00000000-0005-0000-0000-0000E64A0000}"/>
    <cellStyle name="40% - Accent5 5 3 2 5" xfId="19350" xr:uid="{00000000-0005-0000-0000-0000E74A0000}"/>
    <cellStyle name="40% - Accent5 5 3 2_Exh G" xfId="3263" xr:uid="{00000000-0005-0000-0000-0000E84A0000}"/>
    <cellStyle name="40% - Accent5 5 3 3" xfId="4248" xr:uid="{00000000-0005-0000-0000-0000E94A0000}"/>
    <cellStyle name="40% - Accent5 5 3 3 2" xfId="7840" xr:uid="{00000000-0005-0000-0000-0000EA4A0000}"/>
    <cellStyle name="40% - Accent5 5 3 3 2 2" xfId="15811" xr:uid="{00000000-0005-0000-0000-0000EB4A0000}"/>
    <cellStyle name="40% - Accent5 5 3 3 2 3" xfId="23757" xr:uid="{00000000-0005-0000-0000-0000EC4A0000}"/>
    <cellStyle name="40% - Accent5 5 3 3 3" xfId="12273" xr:uid="{00000000-0005-0000-0000-0000ED4A0000}"/>
    <cellStyle name="40% - Accent5 5 3 3 4" xfId="20228" xr:uid="{00000000-0005-0000-0000-0000EE4A0000}"/>
    <cellStyle name="40% - Accent5 5 3 4" xfId="6068" xr:uid="{00000000-0005-0000-0000-0000EF4A0000}"/>
    <cellStyle name="40% - Accent5 5 3 4 2" xfId="14052" xr:uid="{00000000-0005-0000-0000-0000F04A0000}"/>
    <cellStyle name="40% - Accent5 5 3 4 3" xfId="22000" xr:uid="{00000000-0005-0000-0000-0000F14A0000}"/>
    <cellStyle name="40% - Accent5 5 3 5" xfId="9621" xr:uid="{00000000-0005-0000-0000-0000F24A0000}"/>
    <cellStyle name="40% - Accent5 5 3 5 2" xfId="17579" xr:uid="{00000000-0005-0000-0000-0000F34A0000}"/>
    <cellStyle name="40% - Accent5 5 3 5 3" xfId="25523" xr:uid="{00000000-0005-0000-0000-0000F44A0000}"/>
    <cellStyle name="40% - Accent5 5 3 6" xfId="10517" xr:uid="{00000000-0005-0000-0000-0000F54A0000}"/>
    <cellStyle name="40% - Accent5 5 3 7" xfId="18472" xr:uid="{00000000-0005-0000-0000-0000F64A0000}"/>
    <cellStyle name="40% - Accent5 5 3_Exh G" xfId="3262" xr:uid="{00000000-0005-0000-0000-0000F74A0000}"/>
    <cellStyle name="40% - Accent5 5 4" xfId="989" xr:uid="{00000000-0005-0000-0000-0000F84A0000}"/>
    <cellStyle name="40% - Accent5 5 5" xfId="1594" xr:uid="{00000000-0005-0000-0000-0000F94A0000}"/>
    <cellStyle name="40% - Accent5 5 5 2" xfId="5124" xr:uid="{00000000-0005-0000-0000-0000FA4A0000}"/>
    <cellStyle name="40% - Accent5 5 5 2 2" xfId="8715" xr:uid="{00000000-0005-0000-0000-0000FB4A0000}"/>
    <cellStyle name="40% - Accent5 5 5 2 2 2" xfId="16686" xr:uid="{00000000-0005-0000-0000-0000FC4A0000}"/>
    <cellStyle name="40% - Accent5 5 5 2 2 3" xfId="24632" xr:uid="{00000000-0005-0000-0000-0000FD4A0000}"/>
    <cellStyle name="40% - Accent5 5 5 2 3" xfId="13148" xr:uid="{00000000-0005-0000-0000-0000FE4A0000}"/>
    <cellStyle name="40% - Accent5 5 5 2 4" xfId="21103" xr:uid="{00000000-0005-0000-0000-0000FF4A0000}"/>
    <cellStyle name="40% - Accent5 5 5 3" xfId="6956" xr:uid="{00000000-0005-0000-0000-0000004B0000}"/>
    <cellStyle name="40% - Accent5 5 5 3 2" xfId="14928" xr:uid="{00000000-0005-0000-0000-0000014B0000}"/>
    <cellStyle name="40% - Accent5 5 5 3 3" xfId="22875" xr:uid="{00000000-0005-0000-0000-0000024B0000}"/>
    <cellStyle name="40% - Accent5 5 5 4" xfId="11392" xr:uid="{00000000-0005-0000-0000-0000034B0000}"/>
    <cellStyle name="40% - Accent5 5 5 5" xfId="19347" xr:uid="{00000000-0005-0000-0000-0000044B0000}"/>
    <cellStyle name="40% - Accent5 5 5_Exh G" xfId="3264" xr:uid="{00000000-0005-0000-0000-0000054B0000}"/>
    <cellStyle name="40% - Accent5 5 6" xfId="4245" xr:uid="{00000000-0005-0000-0000-0000064B0000}"/>
    <cellStyle name="40% - Accent5 5 6 2" xfId="7837" xr:uid="{00000000-0005-0000-0000-0000074B0000}"/>
    <cellStyle name="40% - Accent5 5 6 2 2" xfId="15808" xr:uid="{00000000-0005-0000-0000-0000084B0000}"/>
    <cellStyle name="40% - Accent5 5 6 2 3" xfId="23754" xr:uid="{00000000-0005-0000-0000-0000094B0000}"/>
    <cellStyle name="40% - Accent5 5 6 3" xfId="12270" xr:uid="{00000000-0005-0000-0000-00000A4B0000}"/>
    <cellStyle name="40% - Accent5 5 6 4" xfId="20225" xr:uid="{00000000-0005-0000-0000-00000B4B0000}"/>
    <cellStyle name="40% - Accent5 5 7" xfId="6065" xr:uid="{00000000-0005-0000-0000-00000C4B0000}"/>
    <cellStyle name="40% - Accent5 5 7 2" xfId="14049" xr:uid="{00000000-0005-0000-0000-00000D4B0000}"/>
    <cellStyle name="40% - Accent5 5 7 3" xfId="21997" xr:uid="{00000000-0005-0000-0000-00000E4B0000}"/>
    <cellStyle name="40% - Accent5 5 8" xfId="9618" xr:uid="{00000000-0005-0000-0000-00000F4B0000}"/>
    <cellStyle name="40% - Accent5 5 8 2" xfId="17576" xr:uid="{00000000-0005-0000-0000-0000104B0000}"/>
    <cellStyle name="40% - Accent5 5 8 3" xfId="25520" xr:uid="{00000000-0005-0000-0000-0000114B0000}"/>
    <cellStyle name="40% - Accent5 5 9" xfId="10514" xr:uid="{00000000-0005-0000-0000-0000124B0000}"/>
    <cellStyle name="40% - Accent5 5_Exh G" xfId="3257" xr:uid="{00000000-0005-0000-0000-0000134B0000}"/>
    <cellStyle name="40% - Accent5 6" xfId="570" xr:uid="{00000000-0005-0000-0000-0000144B0000}"/>
    <cellStyle name="40% - Accent5 6 10" xfId="18473" xr:uid="{00000000-0005-0000-0000-0000154B0000}"/>
    <cellStyle name="40% - Accent5 6 2" xfId="571" xr:uid="{00000000-0005-0000-0000-0000164B0000}"/>
    <cellStyle name="40% - Accent5 6 2 2" xfId="572" xr:uid="{00000000-0005-0000-0000-0000174B0000}"/>
    <cellStyle name="40% - Accent5 6 2 2 2" xfId="1600" xr:uid="{00000000-0005-0000-0000-0000184B0000}"/>
    <cellStyle name="40% - Accent5 6 2 2 2 2" xfId="5130" xr:uid="{00000000-0005-0000-0000-0000194B0000}"/>
    <cellStyle name="40% - Accent5 6 2 2 2 2 2" xfId="8721" xr:uid="{00000000-0005-0000-0000-00001A4B0000}"/>
    <cellStyle name="40% - Accent5 6 2 2 2 2 2 2" xfId="16692" xr:uid="{00000000-0005-0000-0000-00001B4B0000}"/>
    <cellStyle name="40% - Accent5 6 2 2 2 2 2 3" xfId="24638" xr:uid="{00000000-0005-0000-0000-00001C4B0000}"/>
    <cellStyle name="40% - Accent5 6 2 2 2 2 3" xfId="13154" xr:uid="{00000000-0005-0000-0000-00001D4B0000}"/>
    <cellStyle name="40% - Accent5 6 2 2 2 2 4" xfId="21109" xr:uid="{00000000-0005-0000-0000-00001E4B0000}"/>
    <cellStyle name="40% - Accent5 6 2 2 2 3" xfId="6962" xr:uid="{00000000-0005-0000-0000-00001F4B0000}"/>
    <cellStyle name="40% - Accent5 6 2 2 2 3 2" xfId="14934" xr:uid="{00000000-0005-0000-0000-0000204B0000}"/>
    <cellStyle name="40% - Accent5 6 2 2 2 3 3" xfId="22881" xr:uid="{00000000-0005-0000-0000-0000214B0000}"/>
    <cellStyle name="40% - Accent5 6 2 2 2 4" xfId="11398" xr:uid="{00000000-0005-0000-0000-0000224B0000}"/>
    <cellStyle name="40% - Accent5 6 2 2 2 5" xfId="19353" xr:uid="{00000000-0005-0000-0000-0000234B0000}"/>
    <cellStyle name="40% - Accent5 6 2 2 2_Exh G" xfId="3268" xr:uid="{00000000-0005-0000-0000-0000244B0000}"/>
    <cellStyle name="40% - Accent5 6 2 2 3" xfId="4251" xr:uid="{00000000-0005-0000-0000-0000254B0000}"/>
    <cellStyle name="40% - Accent5 6 2 2 3 2" xfId="7843" xr:uid="{00000000-0005-0000-0000-0000264B0000}"/>
    <cellStyle name="40% - Accent5 6 2 2 3 2 2" xfId="15814" xr:uid="{00000000-0005-0000-0000-0000274B0000}"/>
    <cellStyle name="40% - Accent5 6 2 2 3 2 3" xfId="23760" xr:uid="{00000000-0005-0000-0000-0000284B0000}"/>
    <cellStyle name="40% - Accent5 6 2 2 3 3" xfId="12276" xr:uid="{00000000-0005-0000-0000-0000294B0000}"/>
    <cellStyle name="40% - Accent5 6 2 2 3 4" xfId="20231" xr:uid="{00000000-0005-0000-0000-00002A4B0000}"/>
    <cellStyle name="40% - Accent5 6 2 2 4" xfId="6071" xr:uid="{00000000-0005-0000-0000-00002B4B0000}"/>
    <cellStyle name="40% - Accent5 6 2 2 4 2" xfId="14055" xr:uid="{00000000-0005-0000-0000-00002C4B0000}"/>
    <cellStyle name="40% - Accent5 6 2 2 4 3" xfId="22003" xr:uid="{00000000-0005-0000-0000-00002D4B0000}"/>
    <cellStyle name="40% - Accent5 6 2 2 5" xfId="9624" xr:uid="{00000000-0005-0000-0000-00002E4B0000}"/>
    <cellStyle name="40% - Accent5 6 2 2 5 2" xfId="17582" xr:uid="{00000000-0005-0000-0000-00002F4B0000}"/>
    <cellStyle name="40% - Accent5 6 2 2 5 3" xfId="25526" xr:uid="{00000000-0005-0000-0000-0000304B0000}"/>
    <cellStyle name="40% - Accent5 6 2 2 6" xfId="10520" xr:uid="{00000000-0005-0000-0000-0000314B0000}"/>
    <cellStyle name="40% - Accent5 6 2 2 7" xfId="18475" xr:uid="{00000000-0005-0000-0000-0000324B0000}"/>
    <cellStyle name="40% - Accent5 6 2 2_Exh G" xfId="3267" xr:uid="{00000000-0005-0000-0000-0000334B0000}"/>
    <cellStyle name="40% - Accent5 6 2 3" xfId="1599" xr:uid="{00000000-0005-0000-0000-0000344B0000}"/>
    <cellStyle name="40% - Accent5 6 2 3 2" xfId="5129" xr:uid="{00000000-0005-0000-0000-0000354B0000}"/>
    <cellStyle name="40% - Accent5 6 2 3 2 2" xfId="8720" xr:uid="{00000000-0005-0000-0000-0000364B0000}"/>
    <cellStyle name="40% - Accent5 6 2 3 2 2 2" xfId="16691" xr:uid="{00000000-0005-0000-0000-0000374B0000}"/>
    <cellStyle name="40% - Accent5 6 2 3 2 2 3" xfId="24637" xr:uid="{00000000-0005-0000-0000-0000384B0000}"/>
    <cellStyle name="40% - Accent5 6 2 3 2 3" xfId="13153" xr:uid="{00000000-0005-0000-0000-0000394B0000}"/>
    <cellStyle name="40% - Accent5 6 2 3 2 4" xfId="21108" xr:uid="{00000000-0005-0000-0000-00003A4B0000}"/>
    <cellStyle name="40% - Accent5 6 2 3 3" xfId="6961" xr:uid="{00000000-0005-0000-0000-00003B4B0000}"/>
    <cellStyle name="40% - Accent5 6 2 3 3 2" xfId="14933" xr:uid="{00000000-0005-0000-0000-00003C4B0000}"/>
    <cellStyle name="40% - Accent5 6 2 3 3 3" xfId="22880" xr:uid="{00000000-0005-0000-0000-00003D4B0000}"/>
    <cellStyle name="40% - Accent5 6 2 3 4" xfId="11397" xr:uid="{00000000-0005-0000-0000-00003E4B0000}"/>
    <cellStyle name="40% - Accent5 6 2 3 5" xfId="19352" xr:uid="{00000000-0005-0000-0000-00003F4B0000}"/>
    <cellStyle name="40% - Accent5 6 2 3_Exh G" xfId="3269" xr:uid="{00000000-0005-0000-0000-0000404B0000}"/>
    <cellStyle name="40% - Accent5 6 2 4" xfId="4250" xr:uid="{00000000-0005-0000-0000-0000414B0000}"/>
    <cellStyle name="40% - Accent5 6 2 4 2" xfId="7842" xr:uid="{00000000-0005-0000-0000-0000424B0000}"/>
    <cellStyle name="40% - Accent5 6 2 4 2 2" xfId="15813" xr:uid="{00000000-0005-0000-0000-0000434B0000}"/>
    <cellStyle name="40% - Accent5 6 2 4 2 3" xfId="23759" xr:uid="{00000000-0005-0000-0000-0000444B0000}"/>
    <cellStyle name="40% - Accent5 6 2 4 3" xfId="12275" xr:uid="{00000000-0005-0000-0000-0000454B0000}"/>
    <cellStyle name="40% - Accent5 6 2 4 4" xfId="20230" xr:uid="{00000000-0005-0000-0000-0000464B0000}"/>
    <cellStyle name="40% - Accent5 6 2 5" xfId="6070" xr:uid="{00000000-0005-0000-0000-0000474B0000}"/>
    <cellStyle name="40% - Accent5 6 2 5 2" xfId="14054" xr:uid="{00000000-0005-0000-0000-0000484B0000}"/>
    <cellStyle name="40% - Accent5 6 2 5 3" xfId="22002" xr:uid="{00000000-0005-0000-0000-0000494B0000}"/>
    <cellStyle name="40% - Accent5 6 2 6" xfId="9623" xr:uid="{00000000-0005-0000-0000-00004A4B0000}"/>
    <cellStyle name="40% - Accent5 6 2 6 2" xfId="17581" xr:uid="{00000000-0005-0000-0000-00004B4B0000}"/>
    <cellStyle name="40% - Accent5 6 2 6 3" xfId="25525" xr:uid="{00000000-0005-0000-0000-00004C4B0000}"/>
    <cellStyle name="40% - Accent5 6 2 7" xfId="10519" xr:uid="{00000000-0005-0000-0000-00004D4B0000}"/>
    <cellStyle name="40% - Accent5 6 2 8" xfId="18474" xr:uid="{00000000-0005-0000-0000-00004E4B0000}"/>
    <cellStyle name="40% - Accent5 6 2_Exh G" xfId="3266" xr:uid="{00000000-0005-0000-0000-00004F4B0000}"/>
    <cellStyle name="40% - Accent5 6 3" xfId="573" xr:uid="{00000000-0005-0000-0000-0000504B0000}"/>
    <cellStyle name="40% - Accent5 6 3 2" xfId="1601" xr:uid="{00000000-0005-0000-0000-0000514B0000}"/>
    <cellStyle name="40% - Accent5 6 3 2 2" xfId="5131" xr:uid="{00000000-0005-0000-0000-0000524B0000}"/>
    <cellStyle name="40% - Accent5 6 3 2 2 2" xfId="8722" xr:uid="{00000000-0005-0000-0000-0000534B0000}"/>
    <cellStyle name="40% - Accent5 6 3 2 2 2 2" xfId="16693" xr:uid="{00000000-0005-0000-0000-0000544B0000}"/>
    <cellStyle name="40% - Accent5 6 3 2 2 2 3" xfId="24639" xr:uid="{00000000-0005-0000-0000-0000554B0000}"/>
    <cellStyle name="40% - Accent5 6 3 2 2 3" xfId="13155" xr:uid="{00000000-0005-0000-0000-0000564B0000}"/>
    <cellStyle name="40% - Accent5 6 3 2 2 4" xfId="21110" xr:uid="{00000000-0005-0000-0000-0000574B0000}"/>
    <cellStyle name="40% - Accent5 6 3 2 3" xfId="6963" xr:uid="{00000000-0005-0000-0000-0000584B0000}"/>
    <cellStyle name="40% - Accent5 6 3 2 3 2" xfId="14935" xr:uid="{00000000-0005-0000-0000-0000594B0000}"/>
    <cellStyle name="40% - Accent5 6 3 2 3 3" xfId="22882" xr:uid="{00000000-0005-0000-0000-00005A4B0000}"/>
    <cellStyle name="40% - Accent5 6 3 2 4" xfId="11399" xr:uid="{00000000-0005-0000-0000-00005B4B0000}"/>
    <cellStyle name="40% - Accent5 6 3 2 5" xfId="19354" xr:uid="{00000000-0005-0000-0000-00005C4B0000}"/>
    <cellStyle name="40% - Accent5 6 3 2_Exh G" xfId="3271" xr:uid="{00000000-0005-0000-0000-00005D4B0000}"/>
    <cellStyle name="40% - Accent5 6 3 3" xfId="4252" xr:uid="{00000000-0005-0000-0000-00005E4B0000}"/>
    <cellStyle name="40% - Accent5 6 3 3 2" xfId="7844" xr:uid="{00000000-0005-0000-0000-00005F4B0000}"/>
    <cellStyle name="40% - Accent5 6 3 3 2 2" xfId="15815" xr:uid="{00000000-0005-0000-0000-0000604B0000}"/>
    <cellStyle name="40% - Accent5 6 3 3 2 3" xfId="23761" xr:uid="{00000000-0005-0000-0000-0000614B0000}"/>
    <cellStyle name="40% - Accent5 6 3 3 3" xfId="12277" xr:uid="{00000000-0005-0000-0000-0000624B0000}"/>
    <cellStyle name="40% - Accent5 6 3 3 4" xfId="20232" xr:uid="{00000000-0005-0000-0000-0000634B0000}"/>
    <cellStyle name="40% - Accent5 6 3 4" xfId="6072" xr:uid="{00000000-0005-0000-0000-0000644B0000}"/>
    <cellStyle name="40% - Accent5 6 3 4 2" xfId="14056" xr:uid="{00000000-0005-0000-0000-0000654B0000}"/>
    <cellStyle name="40% - Accent5 6 3 4 3" xfId="22004" xr:uid="{00000000-0005-0000-0000-0000664B0000}"/>
    <cellStyle name="40% - Accent5 6 3 5" xfId="9625" xr:uid="{00000000-0005-0000-0000-0000674B0000}"/>
    <cellStyle name="40% - Accent5 6 3 5 2" xfId="17583" xr:uid="{00000000-0005-0000-0000-0000684B0000}"/>
    <cellStyle name="40% - Accent5 6 3 5 3" xfId="25527" xr:uid="{00000000-0005-0000-0000-0000694B0000}"/>
    <cellStyle name="40% - Accent5 6 3 6" xfId="10521" xr:uid="{00000000-0005-0000-0000-00006A4B0000}"/>
    <cellStyle name="40% - Accent5 6 3 7" xfId="18476" xr:uid="{00000000-0005-0000-0000-00006B4B0000}"/>
    <cellStyle name="40% - Accent5 6 3_Exh G" xfId="3270" xr:uid="{00000000-0005-0000-0000-00006C4B0000}"/>
    <cellStyle name="40% - Accent5 6 4" xfId="990" xr:uid="{00000000-0005-0000-0000-00006D4B0000}"/>
    <cellStyle name="40% - Accent5 6 4 2" xfId="1905" xr:uid="{00000000-0005-0000-0000-00006E4B0000}"/>
    <cellStyle name="40% - Accent5 6 4 2 2" xfId="5423" xr:uid="{00000000-0005-0000-0000-00006F4B0000}"/>
    <cellStyle name="40% - Accent5 6 4 2 2 2" xfId="9014" xr:uid="{00000000-0005-0000-0000-0000704B0000}"/>
    <cellStyle name="40% - Accent5 6 4 2 2 2 2" xfId="16985" xr:uid="{00000000-0005-0000-0000-0000714B0000}"/>
    <cellStyle name="40% - Accent5 6 4 2 2 2 3" xfId="24931" xr:uid="{00000000-0005-0000-0000-0000724B0000}"/>
    <cellStyle name="40% - Accent5 6 4 2 2 3" xfId="13447" xr:uid="{00000000-0005-0000-0000-0000734B0000}"/>
    <cellStyle name="40% - Accent5 6 4 2 2 4" xfId="21402" xr:uid="{00000000-0005-0000-0000-0000744B0000}"/>
    <cellStyle name="40% - Accent5 6 4 2 3" xfId="7255" xr:uid="{00000000-0005-0000-0000-0000754B0000}"/>
    <cellStyle name="40% - Accent5 6 4 2 3 2" xfId="15227" xr:uid="{00000000-0005-0000-0000-0000764B0000}"/>
    <cellStyle name="40% - Accent5 6 4 2 3 3" xfId="23174" xr:uid="{00000000-0005-0000-0000-0000774B0000}"/>
    <cellStyle name="40% - Accent5 6 4 2 4" xfId="11691" xr:uid="{00000000-0005-0000-0000-0000784B0000}"/>
    <cellStyle name="40% - Accent5 6 4 2 5" xfId="19646" xr:uid="{00000000-0005-0000-0000-0000794B0000}"/>
    <cellStyle name="40% - Accent5 6 4 2_Exh G" xfId="3273" xr:uid="{00000000-0005-0000-0000-00007A4B0000}"/>
    <cellStyle name="40% - Accent5 6 4 3" xfId="4544" xr:uid="{00000000-0005-0000-0000-00007B4B0000}"/>
    <cellStyle name="40% - Accent5 6 4 3 2" xfId="8136" xr:uid="{00000000-0005-0000-0000-00007C4B0000}"/>
    <cellStyle name="40% - Accent5 6 4 3 2 2" xfId="16107" xr:uid="{00000000-0005-0000-0000-00007D4B0000}"/>
    <cellStyle name="40% - Accent5 6 4 3 2 3" xfId="24053" xr:uid="{00000000-0005-0000-0000-00007E4B0000}"/>
    <cellStyle name="40% - Accent5 6 4 3 3" xfId="12569" xr:uid="{00000000-0005-0000-0000-00007F4B0000}"/>
    <cellStyle name="40% - Accent5 6 4 3 4" xfId="20524" xr:uid="{00000000-0005-0000-0000-0000804B0000}"/>
    <cellStyle name="40% - Accent5 6 4 4" xfId="6374" xr:uid="{00000000-0005-0000-0000-0000814B0000}"/>
    <cellStyle name="40% - Accent5 6 4 4 2" xfId="14349" xr:uid="{00000000-0005-0000-0000-0000824B0000}"/>
    <cellStyle name="40% - Accent5 6 4 4 3" xfId="22296" xr:uid="{00000000-0005-0000-0000-0000834B0000}"/>
    <cellStyle name="40% - Accent5 6 4 5" xfId="9917" xr:uid="{00000000-0005-0000-0000-0000844B0000}"/>
    <cellStyle name="40% - Accent5 6 4 5 2" xfId="17875" xr:uid="{00000000-0005-0000-0000-0000854B0000}"/>
    <cellStyle name="40% - Accent5 6 4 5 3" xfId="25819" xr:uid="{00000000-0005-0000-0000-0000864B0000}"/>
    <cellStyle name="40% - Accent5 6 4 6" xfId="10813" xr:uid="{00000000-0005-0000-0000-0000874B0000}"/>
    <cellStyle name="40% - Accent5 6 4 7" xfId="18768" xr:uid="{00000000-0005-0000-0000-0000884B0000}"/>
    <cellStyle name="40% - Accent5 6 4_Exh G" xfId="3272" xr:uid="{00000000-0005-0000-0000-0000894B0000}"/>
    <cellStyle name="40% - Accent5 6 5" xfId="1598" xr:uid="{00000000-0005-0000-0000-00008A4B0000}"/>
    <cellStyle name="40% - Accent5 6 5 2" xfId="5128" xr:uid="{00000000-0005-0000-0000-00008B4B0000}"/>
    <cellStyle name="40% - Accent5 6 5 2 2" xfId="8719" xr:uid="{00000000-0005-0000-0000-00008C4B0000}"/>
    <cellStyle name="40% - Accent5 6 5 2 2 2" xfId="16690" xr:uid="{00000000-0005-0000-0000-00008D4B0000}"/>
    <cellStyle name="40% - Accent5 6 5 2 2 3" xfId="24636" xr:uid="{00000000-0005-0000-0000-00008E4B0000}"/>
    <cellStyle name="40% - Accent5 6 5 2 3" xfId="13152" xr:uid="{00000000-0005-0000-0000-00008F4B0000}"/>
    <cellStyle name="40% - Accent5 6 5 2 4" xfId="21107" xr:uid="{00000000-0005-0000-0000-0000904B0000}"/>
    <cellStyle name="40% - Accent5 6 5 3" xfId="6960" xr:uid="{00000000-0005-0000-0000-0000914B0000}"/>
    <cellStyle name="40% - Accent5 6 5 3 2" xfId="14932" xr:uid="{00000000-0005-0000-0000-0000924B0000}"/>
    <cellStyle name="40% - Accent5 6 5 3 3" xfId="22879" xr:uid="{00000000-0005-0000-0000-0000934B0000}"/>
    <cellStyle name="40% - Accent5 6 5 4" xfId="11396" xr:uid="{00000000-0005-0000-0000-0000944B0000}"/>
    <cellStyle name="40% - Accent5 6 5 5" xfId="19351" xr:uid="{00000000-0005-0000-0000-0000954B0000}"/>
    <cellStyle name="40% - Accent5 6 5_Exh G" xfId="3274" xr:uid="{00000000-0005-0000-0000-0000964B0000}"/>
    <cellStyle name="40% - Accent5 6 6" xfId="4249" xr:uid="{00000000-0005-0000-0000-0000974B0000}"/>
    <cellStyle name="40% - Accent5 6 6 2" xfId="7841" xr:uid="{00000000-0005-0000-0000-0000984B0000}"/>
    <cellStyle name="40% - Accent5 6 6 2 2" xfId="15812" xr:uid="{00000000-0005-0000-0000-0000994B0000}"/>
    <cellStyle name="40% - Accent5 6 6 2 3" xfId="23758" xr:uid="{00000000-0005-0000-0000-00009A4B0000}"/>
    <cellStyle name="40% - Accent5 6 6 3" xfId="12274" xr:uid="{00000000-0005-0000-0000-00009B4B0000}"/>
    <cellStyle name="40% - Accent5 6 6 4" xfId="20229" xr:uid="{00000000-0005-0000-0000-00009C4B0000}"/>
    <cellStyle name="40% - Accent5 6 7" xfId="6069" xr:uid="{00000000-0005-0000-0000-00009D4B0000}"/>
    <cellStyle name="40% - Accent5 6 7 2" xfId="14053" xr:uid="{00000000-0005-0000-0000-00009E4B0000}"/>
    <cellStyle name="40% - Accent5 6 7 3" xfId="22001" xr:uid="{00000000-0005-0000-0000-00009F4B0000}"/>
    <cellStyle name="40% - Accent5 6 8" xfId="9622" xr:uid="{00000000-0005-0000-0000-0000A04B0000}"/>
    <cellStyle name="40% - Accent5 6 8 2" xfId="17580" xr:uid="{00000000-0005-0000-0000-0000A14B0000}"/>
    <cellStyle name="40% - Accent5 6 8 3" xfId="25524" xr:uid="{00000000-0005-0000-0000-0000A24B0000}"/>
    <cellStyle name="40% - Accent5 6 9" xfId="10518" xr:uid="{00000000-0005-0000-0000-0000A34B0000}"/>
    <cellStyle name="40% - Accent5 6_Exh G" xfId="3265" xr:uid="{00000000-0005-0000-0000-0000A44B0000}"/>
    <cellStyle name="40% - Accent5 7" xfId="574" xr:uid="{00000000-0005-0000-0000-0000A54B0000}"/>
    <cellStyle name="40% - Accent5 7 10" xfId="18477" xr:uid="{00000000-0005-0000-0000-0000A64B0000}"/>
    <cellStyle name="40% - Accent5 7 2" xfId="575" xr:uid="{00000000-0005-0000-0000-0000A74B0000}"/>
    <cellStyle name="40% - Accent5 7 2 2" xfId="576" xr:uid="{00000000-0005-0000-0000-0000A84B0000}"/>
    <cellStyle name="40% - Accent5 7 2 2 2" xfId="1604" xr:uid="{00000000-0005-0000-0000-0000A94B0000}"/>
    <cellStyle name="40% - Accent5 7 2 2 2 2" xfId="5134" xr:uid="{00000000-0005-0000-0000-0000AA4B0000}"/>
    <cellStyle name="40% - Accent5 7 2 2 2 2 2" xfId="8725" xr:uid="{00000000-0005-0000-0000-0000AB4B0000}"/>
    <cellStyle name="40% - Accent5 7 2 2 2 2 2 2" xfId="16696" xr:uid="{00000000-0005-0000-0000-0000AC4B0000}"/>
    <cellStyle name="40% - Accent5 7 2 2 2 2 2 3" xfId="24642" xr:uid="{00000000-0005-0000-0000-0000AD4B0000}"/>
    <cellStyle name="40% - Accent5 7 2 2 2 2 3" xfId="13158" xr:uid="{00000000-0005-0000-0000-0000AE4B0000}"/>
    <cellStyle name="40% - Accent5 7 2 2 2 2 4" xfId="21113" xr:uid="{00000000-0005-0000-0000-0000AF4B0000}"/>
    <cellStyle name="40% - Accent5 7 2 2 2 3" xfId="6966" xr:uid="{00000000-0005-0000-0000-0000B04B0000}"/>
    <cellStyle name="40% - Accent5 7 2 2 2 3 2" xfId="14938" xr:uid="{00000000-0005-0000-0000-0000B14B0000}"/>
    <cellStyle name="40% - Accent5 7 2 2 2 3 3" xfId="22885" xr:uid="{00000000-0005-0000-0000-0000B24B0000}"/>
    <cellStyle name="40% - Accent5 7 2 2 2 4" xfId="11402" xr:uid="{00000000-0005-0000-0000-0000B34B0000}"/>
    <cellStyle name="40% - Accent5 7 2 2 2 5" xfId="19357" xr:uid="{00000000-0005-0000-0000-0000B44B0000}"/>
    <cellStyle name="40% - Accent5 7 2 2 2_Exh G" xfId="3278" xr:uid="{00000000-0005-0000-0000-0000B54B0000}"/>
    <cellStyle name="40% - Accent5 7 2 2 3" xfId="4255" xr:uid="{00000000-0005-0000-0000-0000B64B0000}"/>
    <cellStyle name="40% - Accent5 7 2 2 3 2" xfId="7847" xr:uid="{00000000-0005-0000-0000-0000B74B0000}"/>
    <cellStyle name="40% - Accent5 7 2 2 3 2 2" xfId="15818" xr:uid="{00000000-0005-0000-0000-0000B84B0000}"/>
    <cellStyle name="40% - Accent5 7 2 2 3 2 3" xfId="23764" xr:uid="{00000000-0005-0000-0000-0000B94B0000}"/>
    <cellStyle name="40% - Accent5 7 2 2 3 3" xfId="12280" xr:uid="{00000000-0005-0000-0000-0000BA4B0000}"/>
    <cellStyle name="40% - Accent5 7 2 2 3 4" xfId="20235" xr:uid="{00000000-0005-0000-0000-0000BB4B0000}"/>
    <cellStyle name="40% - Accent5 7 2 2 4" xfId="6075" xr:uid="{00000000-0005-0000-0000-0000BC4B0000}"/>
    <cellStyle name="40% - Accent5 7 2 2 4 2" xfId="14059" xr:uid="{00000000-0005-0000-0000-0000BD4B0000}"/>
    <cellStyle name="40% - Accent5 7 2 2 4 3" xfId="22007" xr:uid="{00000000-0005-0000-0000-0000BE4B0000}"/>
    <cellStyle name="40% - Accent5 7 2 2 5" xfId="9628" xr:uid="{00000000-0005-0000-0000-0000BF4B0000}"/>
    <cellStyle name="40% - Accent5 7 2 2 5 2" xfId="17586" xr:uid="{00000000-0005-0000-0000-0000C04B0000}"/>
    <cellStyle name="40% - Accent5 7 2 2 5 3" xfId="25530" xr:uid="{00000000-0005-0000-0000-0000C14B0000}"/>
    <cellStyle name="40% - Accent5 7 2 2 6" xfId="10524" xr:uid="{00000000-0005-0000-0000-0000C24B0000}"/>
    <cellStyle name="40% - Accent5 7 2 2 7" xfId="18479" xr:uid="{00000000-0005-0000-0000-0000C34B0000}"/>
    <cellStyle name="40% - Accent5 7 2 2_Exh G" xfId="3277" xr:uid="{00000000-0005-0000-0000-0000C44B0000}"/>
    <cellStyle name="40% - Accent5 7 2 3" xfId="1603" xr:uid="{00000000-0005-0000-0000-0000C54B0000}"/>
    <cellStyle name="40% - Accent5 7 2 3 2" xfId="5133" xr:uid="{00000000-0005-0000-0000-0000C64B0000}"/>
    <cellStyle name="40% - Accent5 7 2 3 2 2" xfId="8724" xr:uid="{00000000-0005-0000-0000-0000C74B0000}"/>
    <cellStyle name="40% - Accent5 7 2 3 2 2 2" xfId="16695" xr:uid="{00000000-0005-0000-0000-0000C84B0000}"/>
    <cellStyle name="40% - Accent5 7 2 3 2 2 3" xfId="24641" xr:uid="{00000000-0005-0000-0000-0000C94B0000}"/>
    <cellStyle name="40% - Accent5 7 2 3 2 3" xfId="13157" xr:uid="{00000000-0005-0000-0000-0000CA4B0000}"/>
    <cellStyle name="40% - Accent5 7 2 3 2 4" xfId="21112" xr:uid="{00000000-0005-0000-0000-0000CB4B0000}"/>
    <cellStyle name="40% - Accent5 7 2 3 3" xfId="6965" xr:uid="{00000000-0005-0000-0000-0000CC4B0000}"/>
    <cellStyle name="40% - Accent5 7 2 3 3 2" xfId="14937" xr:uid="{00000000-0005-0000-0000-0000CD4B0000}"/>
    <cellStyle name="40% - Accent5 7 2 3 3 3" xfId="22884" xr:uid="{00000000-0005-0000-0000-0000CE4B0000}"/>
    <cellStyle name="40% - Accent5 7 2 3 4" xfId="11401" xr:uid="{00000000-0005-0000-0000-0000CF4B0000}"/>
    <cellStyle name="40% - Accent5 7 2 3 5" xfId="19356" xr:uid="{00000000-0005-0000-0000-0000D04B0000}"/>
    <cellStyle name="40% - Accent5 7 2 3_Exh G" xfId="3279" xr:uid="{00000000-0005-0000-0000-0000D14B0000}"/>
    <cellStyle name="40% - Accent5 7 2 4" xfId="4254" xr:uid="{00000000-0005-0000-0000-0000D24B0000}"/>
    <cellStyle name="40% - Accent5 7 2 4 2" xfId="7846" xr:uid="{00000000-0005-0000-0000-0000D34B0000}"/>
    <cellStyle name="40% - Accent5 7 2 4 2 2" xfId="15817" xr:uid="{00000000-0005-0000-0000-0000D44B0000}"/>
    <cellStyle name="40% - Accent5 7 2 4 2 3" xfId="23763" xr:uid="{00000000-0005-0000-0000-0000D54B0000}"/>
    <cellStyle name="40% - Accent5 7 2 4 3" xfId="12279" xr:uid="{00000000-0005-0000-0000-0000D64B0000}"/>
    <cellStyle name="40% - Accent5 7 2 4 4" xfId="20234" xr:uid="{00000000-0005-0000-0000-0000D74B0000}"/>
    <cellStyle name="40% - Accent5 7 2 5" xfId="6074" xr:uid="{00000000-0005-0000-0000-0000D84B0000}"/>
    <cellStyle name="40% - Accent5 7 2 5 2" xfId="14058" xr:uid="{00000000-0005-0000-0000-0000D94B0000}"/>
    <cellStyle name="40% - Accent5 7 2 5 3" xfId="22006" xr:uid="{00000000-0005-0000-0000-0000DA4B0000}"/>
    <cellStyle name="40% - Accent5 7 2 6" xfId="9627" xr:uid="{00000000-0005-0000-0000-0000DB4B0000}"/>
    <cellStyle name="40% - Accent5 7 2 6 2" xfId="17585" xr:uid="{00000000-0005-0000-0000-0000DC4B0000}"/>
    <cellStyle name="40% - Accent5 7 2 6 3" xfId="25529" xr:uid="{00000000-0005-0000-0000-0000DD4B0000}"/>
    <cellStyle name="40% - Accent5 7 2 7" xfId="10523" xr:uid="{00000000-0005-0000-0000-0000DE4B0000}"/>
    <cellStyle name="40% - Accent5 7 2 8" xfId="18478" xr:uid="{00000000-0005-0000-0000-0000DF4B0000}"/>
    <cellStyle name="40% - Accent5 7 2_Exh G" xfId="3276" xr:uid="{00000000-0005-0000-0000-0000E04B0000}"/>
    <cellStyle name="40% - Accent5 7 3" xfId="577" xr:uid="{00000000-0005-0000-0000-0000E14B0000}"/>
    <cellStyle name="40% - Accent5 7 3 2" xfId="1605" xr:uid="{00000000-0005-0000-0000-0000E24B0000}"/>
    <cellStyle name="40% - Accent5 7 3 2 2" xfId="5135" xr:uid="{00000000-0005-0000-0000-0000E34B0000}"/>
    <cellStyle name="40% - Accent5 7 3 2 2 2" xfId="8726" xr:uid="{00000000-0005-0000-0000-0000E44B0000}"/>
    <cellStyle name="40% - Accent5 7 3 2 2 2 2" xfId="16697" xr:uid="{00000000-0005-0000-0000-0000E54B0000}"/>
    <cellStyle name="40% - Accent5 7 3 2 2 2 3" xfId="24643" xr:uid="{00000000-0005-0000-0000-0000E64B0000}"/>
    <cellStyle name="40% - Accent5 7 3 2 2 3" xfId="13159" xr:uid="{00000000-0005-0000-0000-0000E74B0000}"/>
    <cellStyle name="40% - Accent5 7 3 2 2 4" xfId="21114" xr:uid="{00000000-0005-0000-0000-0000E84B0000}"/>
    <cellStyle name="40% - Accent5 7 3 2 3" xfId="6967" xr:uid="{00000000-0005-0000-0000-0000E94B0000}"/>
    <cellStyle name="40% - Accent5 7 3 2 3 2" xfId="14939" xr:uid="{00000000-0005-0000-0000-0000EA4B0000}"/>
    <cellStyle name="40% - Accent5 7 3 2 3 3" xfId="22886" xr:uid="{00000000-0005-0000-0000-0000EB4B0000}"/>
    <cellStyle name="40% - Accent5 7 3 2 4" xfId="11403" xr:uid="{00000000-0005-0000-0000-0000EC4B0000}"/>
    <cellStyle name="40% - Accent5 7 3 2 5" xfId="19358" xr:uid="{00000000-0005-0000-0000-0000ED4B0000}"/>
    <cellStyle name="40% - Accent5 7 3 2_Exh G" xfId="3281" xr:uid="{00000000-0005-0000-0000-0000EE4B0000}"/>
    <cellStyle name="40% - Accent5 7 3 3" xfId="4256" xr:uid="{00000000-0005-0000-0000-0000EF4B0000}"/>
    <cellStyle name="40% - Accent5 7 3 3 2" xfId="7848" xr:uid="{00000000-0005-0000-0000-0000F04B0000}"/>
    <cellStyle name="40% - Accent5 7 3 3 2 2" xfId="15819" xr:uid="{00000000-0005-0000-0000-0000F14B0000}"/>
    <cellStyle name="40% - Accent5 7 3 3 2 3" xfId="23765" xr:uid="{00000000-0005-0000-0000-0000F24B0000}"/>
    <cellStyle name="40% - Accent5 7 3 3 3" xfId="12281" xr:uid="{00000000-0005-0000-0000-0000F34B0000}"/>
    <cellStyle name="40% - Accent5 7 3 3 4" xfId="20236" xr:uid="{00000000-0005-0000-0000-0000F44B0000}"/>
    <cellStyle name="40% - Accent5 7 3 4" xfId="6076" xr:uid="{00000000-0005-0000-0000-0000F54B0000}"/>
    <cellStyle name="40% - Accent5 7 3 4 2" xfId="14060" xr:uid="{00000000-0005-0000-0000-0000F64B0000}"/>
    <cellStyle name="40% - Accent5 7 3 4 3" xfId="22008" xr:uid="{00000000-0005-0000-0000-0000F74B0000}"/>
    <cellStyle name="40% - Accent5 7 3 5" xfId="9629" xr:uid="{00000000-0005-0000-0000-0000F84B0000}"/>
    <cellStyle name="40% - Accent5 7 3 5 2" xfId="17587" xr:uid="{00000000-0005-0000-0000-0000F94B0000}"/>
    <cellStyle name="40% - Accent5 7 3 5 3" xfId="25531" xr:uid="{00000000-0005-0000-0000-0000FA4B0000}"/>
    <cellStyle name="40% - Accent5 7 3 6" xfId="10525" xr:uid="{00000000-0005-0000-0000-0000FB4B0000}"/>
    <cellStyle name="40% - Accent5 7 3 7" xfId="18480" xr:uid="{00000000-0005-0000-0000-0000FC4B0000}"/>
    <cellStyle name="40% - Accent5 7 3_Exh G" xfId="3280" xr:uid="{00000000-0005-0000-0000-0000FD4B0000}"/>
    <cellStyle name="40% - Accent5 7 4" xfId="991" xr:uid="{00000000-0005-0000-0000-0000FE4B0000}"/>
    <cellStyle name="40% - Accent5 7 4 2" xfId="1906" xr:uid="{00000000-0005-0000-0000-0000FF4B0000}"/>
    <cellStyle name="40% - Accent5 7 4 2 2" xfId="5424" xr:uid="{00000000-0005-0000-0000-0000004C0000}"/>
    <cellStyle name="40% - Accent5 7 4 2 2 2" xfId="9015" xr:uid="{00000000-0005-0000-0000-0000014C0000}"/>
    <cellStyle name="40% - Accent5 7 4 2 2 2 2" xfId="16986" xr:uid="{00000000-0005-0000-0000-0000024C0000}"/>
    <cellStyle name="40% - Accent5 7 4 2 2 2 3" xfId="24932" xr:uid="{00000000-0005-0000-0000-0000034C0000}"/>
    <cellStyle name="40% - Accent5 7 4 2 2 3" xfId="13448" xr:uid="{00000000-0005-0000-0000-0000044C0000}"/>
    <cellStyle name="40% - Accent5 7 4 2 2 4" xfId="21403" xr:uid="{00000000-0005-0000-0000-0000054C0000}"/>
    <cellStyle name="40% - Accent5 7 4 2 3" xfId="7256" xr:uid="{00000000-0005-0000-0000-0000064C0000}"/>
    <cellStyle name="40% - Accent5 7 4 2 3 2" xfId="15228" xr:uid="{00000000-0005-0000-0000-0000074C0000}"/>
    <cellStyle name="40% - Accent5 7 4 2 3 3" xfId="23175" xr:uid="{00000000-0005-0000-0000-0000084C0000}"/>
    <cellStyle name="40% - Accent5 7 4 2 4" xfId="11692" xr:uid="{00000000-0005-0000-0000-0000094C0000}"/>
    <cellStyle name="40% - Accent5 7 4 2 5" xfId="19647" xr:uid="{00000000-0005-0000-0000-00000A4C0000}"/>
    <cellStyle name="40% - Accent5 7 4 2_Exh G" xfId="3283" xr:uid="{00000000-0005-0000-0000-00000B4C0000}"/>
    <cellStyle name="40% - Accent5 7 4 3" xfId="4545" xr:uid="{00000000-0005-0000-0000-00000C4C0000}"/>
    <cellStyle name="40% - Accent5 7 4 3 2" xfId="8137" xr:uid="{00000000-0005-0000-0000-00000D4C0000}"/>
    <cellStyle name="40% - Accent5 7 4 3 2 2" xfId="16108" xr:uid="{00000000-0005-0000-0000-00000E4C0000}"/>
    <cellStyle name="40% - Accent5 7 4 3 2 3" xfId="24054" xr:uid="{00000000-0005-0000-0000-00000F4C0000}"/>
    <cellStyle name="40% - Accent5 7 4 3 3" xfId="12570" xr:uid="{00000000-0005-0000-0000-0000104C0000}"/>
    <cellStyle name="40% - Accent5 7 4 3 4" xfId="20525" xr:uid="{00000000-0005-0000-0000-0000114C0000}"/>
    <cellStyle name="40% - Accent5 7 4 4" xfId="6375" xr:uid="{00000000-0005-0000-0000-0000124C0000}"/>
    <cellStyle name="40% - Accent5 7 4 4 2" xfId="14350" xr:uid="{00000000-0005-0000-0000-0000134C0000}"/>
    <cellStyle name="40% - Accent5 7 4 4 3" xfId="22297" xr:uid="{00000000-0005-0000-0000-0000144C0000}"/>
    <cellStyle name="40% - Accent5 7 4 5" xfId="9918" xr:uid="{00000000-0005-0000-0000-0000154C0000}"/>
    <cellStyle name="40% - Accent5 7 4 5 2" xfId="17876" xr:uid="{00000000-0005-0000-0000-0000164C0000}"/>
    <cellStyle name="40% - Accent5 7 4 5 3" xfId="25820" xr:uid="{00000000-0005-0000-0000-0000174C0000}"/>
    <cellStyle name="40% - Accent5 7 4 6" xfId="10814" xr:uid="{00000000-0005-0000-0000-0000184C0000}"/>
    <cellStyle name="40% - Accent5 7 4 7" xfId="18769" xr:uid="{00000000-0005-0000-0000-0000194C0000}"/>
    <cellStyle name="40% - Accent5 7 4_Exh G" xfId="3282" xr:uid="{00000000-0005-0000-0000-00001A4C0000}"/>
    <cellStyle name="40% - Accent5 7 5" xfId="1602" xr:uid="{00000000-0005-0000-0000-00001B4C0000}"/>
    <cellStyle name="40% - Accent5 7 5 2" xfId="5132" xr:uid="{00000000-0005-0000-0000-00001C4C0000}"/>
    <cellStyle name="40% - Accent5 7 5 2 2" xfId="8723" xr:uid="{00000000-0005-0000-0000-00001D4C0000}"/>
    <cellStyle name="40% - Accent5 7 5 2 2 2" xfId="16694" xr:uid="{00000000-0005-0000-0000-00001E4C0000}"/>
    <cellStyle name="40% - Accent5 7 5 2 2 3" xfId="24640" xr:uid="{00000000-0005-0000-0000-00001F4C0000}"/>
    <cellStyle name="40% - Accent5 7 5 2 3" xfId="13156" xr:uid="{00000000-0005-0000-0000-0000204C0000}"/>
    <cellStyle name="40% - Accent5 7 5 2 4" xfId="21111" xr:uid="{00000000-0005-0000-0000-0000214C0000}"/>
    <cellStyle name="40% - Accent5 7 5 3" xfId="6964" xr:uid="{00000000-0005-0000-0000-0000224C0000}"/>
    <cellStyle name="40% - Accent5 7 5 3 2" xfId="14936" xr:uid="{00000000-0005-0000-0000-0000234C0000}"/>
    <cellStyle name="40% - Accent5 7 5 3 3" xfId="22883" xr:uid="{00000000-0005-0000-0000-0000244C0000}"/>
    <cellStyle name="40% - Accent5 7 5 4" xfId="11400" xr:uid="{00000000-0005-0000-0000-0000254C0000}"/>
    <cellStyle name="40% - Accent5 7 5 5" xfId="19355" xr:uid="{00000000-0005-0000-0000-0000264C0000}"/>
    <cellStyle name="40% - Accent5 7 5_Exh G" xfId="3284" xr:uid="{00000000-0005-0000-0000-0000274C0000}"/>
    <cellStyle name="40% - Accent5 7 6" xfId="4253" xr:uid="{00000000-0005-0000-0000-0000284C0000}"/>
    <cellStyle name="40% - Accent5 7 6 2" xfId="7845" xr:uid="{00000000-0005-0000-0000-0000294C0000}"/>
    <cellStyle name="40% - Accent5 7 6 2 2" xfId="15816" xr:uid="{00000000-0005-0000-0000-00002A4C0000}"/>
    <cellStyle name="40% - Accent5 7 6 2 3" xfId="23762" xr:uid="{00000000-0005-0000-0000-00002B4C0000}"/>
    <cellStyle name="40% - Accent5 7 6 3" xfId="12278" xr:uid="{00000000-0005-0000-0000-00002C4C0000}"/>
    <cellStyle name="40% - Accent5 7 6 4" xfId="20233" xr:uid="{00000000-0005-0000-0000-00002D4C0000}"/>
    <cellStyle name="40% - Accent5 7 7" xfId="6073" xr:uid="{00000000-0005-0000-0000-00002E4C0000}"/>
    <cellStyle name="40% - Accent5 7 7 2" xfId="14057" xr:uid="{00000000-0005-0000-0000-00002F4C0000}"/>
    <cellStyle name="40% - Accent5 7 7 3" xfId="22005" xr:uid="{00000000-0005-0000-0000-0000304C0000}"/>
    <cellStyle name="40% - Accent5 7 8" xfId="9626" xr:uid="{00000000-0005-0000-0000-0000314C0000}"/>
    <cellStyle name="40% - Accent5 7 8 2" xfId="17584" xr:uid="{00000000-0005-0000-0000-0000324C0000}"/>
    <cellStyle name="40% - Accent5 7 8 3" xfId="25528" xr:uid="{00000000-0005-0000-0000-0000334C0000}"/>
    <cellStyle name="40% - Accent5 7 9" xfId="10522" xr:uid="{00000000-0005-0000-0000-0000344C0000}"/>
    <cellStyle name="40% - Accent5 7_Exh G" xfId="3275" xr:uid="{00000000-0005-0000-0000-0000354C0000}"/>
    <cellStyle name="40% - Accent5 8" xfId="578" xr:uid="{00000000-0005-0000-0000-0000364C0000}"/>
    <cellStyle name="40% - Accent5 8 10" xfId="18481" xr:uid="{00000000-0005-0000-0000-0000374C0000}"/>
    <cellStyle name="40% - Accent5 8 2" xfId="579" xr:uid="{00000000-0005-0000-0000-0000384C0000}"/>
    <cellStyle name="40% - Accent5 8 2 2" xfId="580" xr:uid="{00000000-0005-0000-0000-0000394C0000}"/>
    <cellStyle name="40% - Accent5 8 2 2 2" xfId="1608" xr:uid="{00000000-0005-0000-0000-00003A4C0000}"/>
    <cellStyle name="40% - Accent5 8 2 2 2 2" xfId="5138" xr:uid="{00000000-0005-0000-0000-00003B4C0000}"/>
    <cellStyle name="40% - Accent5 8 2 2 2 2 2" xfId="8729" xr:uid="{00000000-0005-0000-0000-00003C4C0000}"/>
    <cellStyle name="40% - Accent5 8 2 2 2 2 2 2" xfId="16700" xr:uid="{00000000-0005-0000-0000-00003D4C0000}"/>
    <cellStyle name="40% - Accent5 8 2 2 2 2 2 3" xfId="24646" xr:uid="{00000000-0005-0000-0000-00003E4C0000}"/>
    <cellStyle name="40% - Accent5 8 2 2 2 2 3" xfId="13162" xr:uid="{00000000-0005-0000-0000-00003F4C0000}"/>
    <cellStyle name="40% - Accent5 8 2 2 2 2 4" xfId="21117" xr:uid="{00000000-0005-0000-0000-0000404C0000}"/>
    <cellStyle name="40% - Accent5 8 2 2 2 3" xfId="6970" xr:uid="{00000000-0005-0000-0000-0000414C0000}"/>
    <cellStyle name="40% - Accent5 8 2 2 2 3 2" xfId="14942" xr:uid="{00000000-0005-0000-0000-0000424C0000}"/>
    <cellStyle name="40% - Accent5 8 2 2 2 3 3" xfId="22889" xr:uid="{00000000-0005-0000-0000-0000434C0000}"/>
    <cellStyle name="40% - Accent5 8 2 2 2 4" xfId="11406" xr:uid="{00000000-0005-0000-0000-0000444C0000}"/>
    <cellStyle name="40% - Accent5 8 2 2 2 5" xfId="19361" xr:uid="{00000000-0005-0000-0000-0000454C0000}"/>
    <cellStyle name="40% - Accent5 8 2 2 2_Exh G" xfId="3288" xr:uid="{00000000-0005-0000-0000-0000464C0000}"/>
    <cellStyle name="40% - Accent5 8 2 2 3" xfId="4259" xr:uid="{00000000-0005-0000-0000-0000474C0000}"/>
    <cellStyle name="40% - Accent5 8 2 2 3 2" xfId="7851" xr:uid="{00000000-0005-0000-0000-0000484C0000}"/>
    <cellStyle name="40% - Accent5 8 2 2 3 2 2" xfId="15822" xr:uid="{00000000-0005-0000-0000-0000494C0000}"/>
    <cellStyle name="40% - Accent5 8 2 2 3 2 3" xfId="23768" xr:uid="{00000000-0005-0000-0000-00004A4C0000}"/>
    <cellStyle name="40% - Accent5 8 2 2 3 3" xfId="12284" xr:uid="{00000000-0005-0000-0000-00004B4C0000}"/>
    <cellStyle name="40% - Accent5 8 2 2 3 4" xfId="20239" xr:uid="{00000000-0005-0000-0000-00004C4C0000}"/>
    <cellStyle name="40% - Accent5 8 2 2 4" xfId="6079" xr:uid="{00000000-0005-0000-0000-00004D4C0000}"/>
    <cellStyle name="40% - Accent5 8 2 2 4 2" xfId="14063" xr:uid="{00000000-0005-0000-0000-00004E4C0000}"/>
    <cellStyle name="40% - Accent5 8 2 2 4 3" xfId="22011" xr:uid="{00000000-0005-0000-0000-00004F4C0000}"/>
    <cellStyle name="40% - Accent5 8 2 2 5" xfId="9632" xr:uid="{00000000-0005-0000-0000-0000504C0000}"/>
    <cellStyle name="40% - Accent5 8 2 2 5 2" xfId="17590" xr:uid="{00000000-0005-0000-0000-0000514C0000}"/>
    <cellStyle name="40% - Accent5 8 2 2 5 3" xfId="25534" xr:uid="{00000000-0005-0000-0000-0000524C0000}"/>
    <cellStyle name="40% - Accent5 8 2 2 6" xfId="10528" xr:uid="{00000000-0005-0000-0000-0000534C0000}"/>
    <cellStyle name="40% - Accent5 8 2 2 7" xfId="18483" xr:uid="{00000000-0005-0000-0000-0000544C0000}"/>
    <cellStyle name="40% - Accent5 8 2 2_Exh G" xfId="3287" xr:uid="{00000000-0005-0000-0000-0000554C0000}"/>
    <cellStyle name="40% - Accent5 8 2 3" xfId="1607" xr:uid="{00000000-0005-0000-0000-0000564C0000}"/>
    <cellStyle name="40% - Accent5 8 2 3 2" xfId="5137" xr:uid="{00000000-0005-0000-0000-0000574C0000}"/>
    <cellStyle name="40% - Accent5 8 2 3 2 2" xfId="8728" xr:uid="{00000000-0005-0000-0000-0000584C0000}"/>
    <cellStyle name="40% - Accent5 8 2 3 2 2 2" xfId="16699" xr:uid="{00000000-0005-0000-0000-0000594C0000}"/>
    <cellStyle name="40% - Accent5 8 2 3 2 2 3" xfId="24645" xr:uid="{00000000-0005-0000-0000-00005A4C0000}"/>
    <cellStyle name="40% - Accent5 8 2 3 2 3" xfId="13161" xr:uid="{00000000-0005-0000-0000-00005B4C0000}"/>
    <cellStyle name="40% - Accent5 8 2 3 2 4" xfId="21116" xr:uid="{00000000-0005-0000-0000-00005C4C0000}"/>
    <cellStyle name="40% - Accent5 8 2 3 3" xfId="6969" xr:uid="{00000000-0005-0000-0000-00005D4C0000}"/>
    <cellStyle name="40% - Accent5 8 2 3 3 2" xfId="14941" xr:uid="{00000000-0005-0000-0000-00005E4C0000}"/>
    <cellStyle name="40% - Accent5 8 2 3 3 3" xfId="22888" xr:uid="{00000000-0005-0000-0000-00005F4C0000}"/>
    <cellStyle name="40% - Accent5 8 2 3 4" xfId="11405" xr:uid="{00000000-0005-0000-0000-0000604C0000}"/>
    <cellStyle name="40% - Accent5 8 2 3 5" xfId="19360" xr:uid="{00000000-0005-0000-0000-0000614C0000}"/>
    <cellStyle name="40% - Accent5 8 2 3_Exh G" xfId="3289" xr:uid="{00000000-0005-0000-0000-0000624C0000}"/>
    <cellStyle name="40% - Accent5 8 2 4" xfId="4258" xr:uid="{00000000-0005-0000-0000-0000634C0000}"/>
    <cellStyle name="40% - Accent5 8 2 4 2" xfId="7850" xr:uid="{00000000-0005-0000-0000-0000644C0000}"/>
    <cellStyle name="40% - Accent5 8 2 4 2 2" xfId="15821" xr:uid="{00000000-0005-0000-0000-0000654C0000}"/>
    <cellStyle name="40% - Accent5 8 2 4 2 3" xfId="23767" xr:uid="{00000000-0005-0000-0000-0000664C0000}"/>
    <cellStyle name="40% - Accent5 8 2 4 3" xfId="12283" xr:uid="{00000000-0005-0000-0000-0000674C0000}"/>
    <cellStyle name="40% - Accent5 8 2 4 4" xfId="20238" xr:uid="{00000000-0005-0000-0000-0000684C0000}"/>
    <cellStyle name="40% - Accent5 8 2 5" xfId="6078" xr:uid="{00000000-0005-0000-0000-0000694C0000}"/>
    <cellStyle name="40% - Accent5 8 2 5 2" xfId="14062" xr:uid="{00000000-0005-0000-0000-00006A4C0000}"/>
    <cellStyle name="40% - Accent5 8 2 5 3" xfId="22010" xr:uid="{00000000-0005-0000-0000-00006B4C0000}"/>
    <cellStyle name="40% - Accent5 8 2 6" xfId="9631" xr:uid="{00000000-0005-0000-0000-00006C4C0000}"/>
    <cellStyle name="40% - Accent5 8 2 6 2" xfId="17589" xr:uid="{00000000-0005-0000-0000-00006D4C0000}"/>
    <cellStyle name="40% - Accent5 8 2 6 3" xfId="25533" xr:uid="{00000000-0005-0000-0000-00006E4C0000}"/>
    <cellStyle name="40% - Accent5 8 2 7" xfId="10527" xr:uid="{00000000-0005-0000-0000-00006F4C0000}"/>
    <cellStyle name="40% - Accent5 8 2 8" xfId="18482" xr:uid="{00000000-0005-0000-0000-0000704C0000}"/>
    <cellStyle name="40% - Accent5 8 2_Exh G" xfId="3286" xr:uid="{00000000-0005-0000-0000-0000714C0000}"/>
    <cellStyle name="40% - Accent5 8 3" xfId="581" xr:uid="{00000000-0005-0000-0000-0000724C0000}"/>
    <cellStyle name="40% - Accent5 8 3 2" xfId="1609" xr:uid="{00000000-0005-0000-0000-0000734C0000}"/>
    <cellStyle name="40% - Accent5 8 3 2 2" xfId="5139" xr:uid="{00000000-0005-0000-0000-0000744C0000}"/>
    <cellStyle name="40% - Accent5 8 3 2 2 2" xfId="8730" xr:uid="{00000000-0005-0000-0000-0000754C0000}"/>
    <cellStyle name="40% - Accent5 8 3 2 2 2 2" xfId="16701" xr:uid="{00000000-0005-0000-0000-0000764C0000}"/>
    <cellStyle name="40% - Accent5 8 3 2 2 2 3" xfId="24647" xr:uid="{00000000-0005-0000-0000-0000774C0000}"/>
    <cellStyle name="40% - Accent5 8 3 2 2 3" xfId="13163" xr:uid="{00000000-0005-0000-0000-0000784C0000}"/>
    <cellStyle name="40% - Accent5 8 3 2 2 4" xfId="21118" xr:uid="{00000000-0005-0000-0000-0000794C0000}"/>
    <cellStyle name="40% - Accent5 8 3 2 3" xfId="6971" xr:uid="{00000000-0005-0000-0000-00007A4C0000}"/>
    <cellStyle name="40% - Accent5 8 3 2 3 2" xfId="14943" xr:uid="{00000000-0005-0000-0000-00007B4C0000}"/>
    <cellStyle name="40% - Accent5 8 3 2 3 3" xfId="22890" xr:uid="{00000000-0005-0000-0000-00007C4C0000}"/>
    <cellStyle name="40% - Accent5 8 3 2 4" xfId="11407" xr:uid="{00000000-0005-0000-0000-00007D4C0000}"/>
    <cellStyle name="40% - Accent5 8 3 2 5" xfId="19362" xr:uid="{00000000-0005-0000-0000-00007E4C0000}"/>
    <cellStyle name="40% - Accent5 8 3 2_Exh G" xfId="3291" xr:uid="{00000000-0005-0000-0000-00007F4C0000}"/>
    <cellStyle name="40% - Accent5 8 3 3" xfId="4260" xr:uid="{00000000-0005-0000-0000-0000804C0000}"/>
    <cellStyle name="40% - Accent5 8 3 3 2" xfId="7852" xr:uid="{00000000-0005-0000-0000-0000814C0000}"/>
    <cellStyle name="40% - Accent5 8 3 3 2 2" xfId="15823" xr:uid="{00000000-0005-0000-0000-0000824C0000}"/>
    <cellStyle name="40% - Accent5 8 3 3 2 3" xfId="23769" xr:uid="{00000000-0005-0000-0000-0000834C0000}"/>
    <cellStyle name="40% - Accent5 8 3 3 3" xfId="12285" xr:uid="{00000000-0005-0000-0000-0000844C0000}"/>
    <cellStyle name="40% - Accent5 8 3 3 4" xfId="20240" xr:uid="{00000000-0005-0000-0000-0000854C0000}"/>
    <cellStyle name="40% - Accent5 8 3 4" xfId="6080" xr:uid="{00000000-0005-0000-0000-0000864C0000}"/>
    <cellStyle name="40% - Accent5 8 3 4 2" xfId="14064" xr:uid="{00000000-0005-0000-0000-0000874C0000}"/>
    <cellStyle name="40% - Accent5 8 3 4 3" xfId="22012" xr:uid="{00000000-0005-0000-0000-0000884C0000}"/>
    <cellStyle name="40% - Accent5 8 3 5" xfId="9633" xr:uid="{00000000-0005-0000-0000-0000894C0000}"/>
    <cellStyle name="40% - Accent5 8 3 5 2" xfId="17591" xr:uid="{00000000-0005-0000-0000-00008A4C0000}"/>
    <cellStyle name="40% - Accent5 8 3 5 3" xfId="25535" xr:uid="{00000000-0005-0000-0000-00008B4C0000}"/>
    <cellStyle name="40% - Accent5 8 3 6" xfId="10529" xr:uid="{00000000-0005-0000-0000-00008C4C0000}"/>
    <cellStyle name="40% - Accent5 8 3 7" xfId="18484" xr:uid="{00000000-0005-0000-0000-00008D4C0000}"/>
    <cellStyle name="40% - Accent5 8 3_Exh G" xfId="3290" xr:uid="{00000000-0005-0000-0000-00008E4C0000}"/>
    <cellStyle name="40% - Accent5 8 4" xfId="992" xr:uid="{00000000-0005-0000-0000-00008F4C0000}"/>
    <cellStyle name="40% - Accent5 8 4 2" xfId="1907" xr:uid="{00000000-0005-0000-0000-0000904C0000}"/>
    <cellStyle name="40% - Accent5 8 4 2 2" xfId="5425" xr:uid="{00000000-0005-0000-0000-0000914C0000}"/>
    <cellStyle name="40% - Accent5 8 4 2 2 2" xfId="9016" xr:uid="{00000000-0005-0000-0000-0000924C0000}"/>
    <cellStyle name="40% - Accent5 8 4 2 2 2 2" xfId="16987" xr:uid="{00000000-0005-0000-0000-0000934C0000}"/>
    <cellStyle name="40% - Accent5 8 4 2 2 2 3" xfId="24933" xr:uid="{00000000-0005-0000-0000-0000944C0000}"/>
    <cellStyle name="40% - Accent5 8 4 2 2 3" xfId="13449" xr:uid="{00000000-0005-0000-0000-0000954C0000}"/>
    <cellStyle name="40% - Accent5 8 4 2 2 4" xfId="21404" xr:uid="{00000000-0005-0000-0000-0000964C0000}"/>
    <cellStyle name="40% - Accent5 8 4 2 3" xfId="7257" xr:uid="{00000000-0005-0000-0000-0000974C0000}"/>
    <cellStyle name="40% - Accent5 8 4 2 3 2" xfId="15229" xr:uid="{00000000-0005-0000-0000-0000984C0000}"/>
    <cellStyle name="40% - Accent5 8 4 2 3 3" xfId="23176" xr:uid="{00000000-0005-0000-0000-0000994C0000}"/>
    <cellStyle name="40% - Accent5 8 4 2 4" xfId="11693" xr:uid="{00000000-0005-0000-0000-00009A4C0000}"/>
    <cellStyle name="40% - Accent5 8 4 2 5" xfId="19648" xr:uid="{00000000-0005-0000-0000-00009B4C0000}"/>
    <cellStyle name="40% - Accent5 8 4 2_Exh G" xfId="3293" xr:uid="{00000000-0005-0000-0000-00009C4C0000}"/>
    <cellStyle name="40% - Accent5 8 4 3" xfId="4546" xr:uid="{00000000-0005-0000-0000-00009D4C0000}"/>
    <cellStyle name="40% - Accent5 8 4 3 2" xfId="8138" xr:uid="{00000000-0005-0000-0000-00009E4C0000}"/>
    <cellStyle name="40% - Accent5 8 4 3 2 2" xfId="16109" xr:uid="{00000000-0005-0000-0000-00009F4C0000}"/>
    <cellStyle name="40% - Accent5 8 4 3 2 3" xfId="24055" xr:uid="{00000000-0005-0000-0000-0000A04C0000}"/>
    <cellStyle name="40% - Accent5 8 4 3 3" xfId="12571" xr:uid="{00000000-0005-0000-0000-0000A14C0000}"/>
    <cellStyle name="40% - Accent5 8 4 3 4" xfId="20526" xr:uid="{00000000-0005-0000-0000-0000A24C0000}"/>
    <cellStyle name="40% - Accent5 8 4 4" xfId="6376" xr:uid="{00000000-0005-0000-0000-0000A34C0000}"/>
    <cellStyle name="40% - Accent5 8 4 4 2" xfId="14351" xr:uid="{00000000-0005-0000-0000-0000A44C0000}"/>
    <cellStyle name="40% - Accent5 8 4 4 3" xfId="22298" xr:uid="{00000000-0005-0000-0000-0000A54C0000}"/>
    <cellStyle name="40% - Accent5 8 4 5" xfId="9919" xr:uid="{00000000-0005-0000-0000-0000A64C0000}"/>
    <cellStyle name="40% - Accent5 8 4 5 2" xfId="17877" xr:uid="{00000000-0005-0000-0000-0000A74C0000}"/>
    <cellStyle name="40% - Accent5 8 4 5 3" xfId="25821" xr:uid="{00000000-0005-0000-0000-0000A84C0000}"/>
    <cellStyle name="40% - Accent5 8 4 6" xfId="10815" xr:uid="{00000000-0005-0000-0000-0000A94C0000}"/>
    <cellStyle name="40% - Accent5 8 4 7" xfId="18770" xr:uid="{00000000-0005-0000-0000-0000AA4C0000}"/>
    <cellStyle name="40% - Accent5 8 4_Exh G" xfId="3292" xr:uid="{00000000-0005-0000-0000-0000AB4C0000}"/>
    <cellStyle name="40% - Accent5 8 5" xfId="1606" xr:uid="{00000000-0005-0000-0000-0000AC4C0000}"/>
    <cellStyle name="40% - Accent5 8 5 2" xfId="5136" xr:uid="{00000000-0005-0000-0000-0000AD4C0000}"/>
    <cellStyle name="40% - Accent5 8 5 2 2" xfId="8727" xr:uid="{00000000-0005-0000-0000-0000AE4C0000}"/>
    <cellStyle name="40% - Accent5 8 5 2 2 2" xfId="16698" xr:uid="{00000000-0005-0000-0000-0000AF4C0000}"/>
    <cellStyle name="40% - Accent5 8 5 2 2 3" xfId="24644" xr:uid="{00000000-0005-0000-0000-0000B04C0000}"/>
    <cellStyle name="40% - Accent5 8 5 2 3" xfId="13160" xr:uid="{00000000-0005-0000-0000-0000B14C0000}"/>
    <cellStyle name="40% - Accent5 8 5 2 4" xfId="21115" xr:uid="{00000000-0005-0000-0000-0000B24C0000}"/>
    <cellStyle name="40% - Accent5 8 5 3" xfId="6968" xr:uid="{00000000-0005-0000-0000-0000B34C0000}"/>
    <cellStyle name="40% - Accent5 8 5 3 2" xfId="14940" xr:uid="{00000000-0005-0000-0000-0000B44C0000}"/>
    <cellStyle name="40% - Accent5 8 5 3 3" xfId="22887" xr:uid="{00000000-0005-0000-0000-0000B54C0000}"/>
    <cellStyle name="40% - Accent5 8 5 4" xfId="11404" xr:uid="{00000000-0005-0000-0000-0000B64C0000}"/>
    <cellStyle name="40% - Accent5 8 5 5" xfId="19359" xr:uid="{00000000-0005-0000-0000-0000B74C0000}"/>
    <cellStyle name="40% - Accent5 8 5_Exh G" xfId="3294" xr:uid="{00000000-0005-0000-0000-0000B84C0000}"/>
    <cellStyle name="40% - Accent5 8 6" xfId="4257" xr:uid="{00000000-0005-0000-0000-0000B94C0000}"/>
    <cellStyle name="40% - Accent5 8 6 2" xfId="7849" xr:uid="{00000000-0005-0000-0000-0000BA4C0000}"/>
    <cellStyle name="40% - Accent5 8 6 2 2" xfId="15820" xr:uid="{00000000-0005-0000-0000-0000BB4C0000}"/>
    <cellStyle name="40% - Accent5 8 6 2 3" xfId="23766" xr:uid="{00000000-0005-0000-0000-0000BC4C0000}"/>
    <cellStyle name="40% - Accent5 8 6 3" xfId="12282" xr:uid="{00000000-0005-0000-0000-0000BD4C0000}"/>
    <cellStyle name="40% - Accent5 8 6 4" xfId="20237" xr:uid="{00000000-0005-0000-0000-0000BE4C0000}"/>
    <cellStyle name="40% - Accent5 8 7" xfId="6077" xr:uid="{00000000-0005-0000-0000-0000BF4C0000}"/>
    <cellStyle name="40% - Accent5 8 7 2" xfId="14061" xr:uid="{00000000-0005-0000-0000-0000C04C0000}"/>
    <cellStyle name="40% - Accent5 8 7 3" xfId="22009" xr:uid="{00000000-0005-0000-0000-0000C14C0000}"/>
    <cellStyle name="40% - Accent5 8 8" xfId="9630" xr:uid="{00000000-0005-0000-0000-0000C24C0000}"/>
    <cellStyle name="40% - Accent5 8 8 2" xfId="17588" xr:uid="{00000000-0005-0000-0000-0000C34C0000}"/>
    <cellStyle name="40% - Accent5 8 8 3" xfId="25532" xr:uid="{00000000-0005-0000-0000-0000C44C0000}"/>
    <cellStyle name="40% - Accent5 8 9" xfId="10526" xr:uid="{00000000-0005-0000-0000-0000C54C0000}"/>
    <cellStyle name="40% - Accent5 8_Exh G" xfId="3285" xr:uid="{00000000-0005-0000-0000-0000C64C0000}"/>
    <cellStyle name="40% - Accent5 9" xfId="582" xr:uid="{00000000-0005-0000-0000-0000C74C0000}"/>
    <cellStyle name="40% - Accent5 9 10" xfId="18485" xr:uid="{00000000-0005-0000-0000-0000C84C0000}"/>
    <cellStyle name="40% - Accent5 9 2" xfId="583" xr:uid="{00000000-0005-0000-0000-0000C94C0000}"/>
    <cellStyle name="40% - Accent5 9 2 2" xfId="584" xr:uid="{00000000-0005-0000-0000-0000CA4C0000}"/>
    <cellStyle name="40% - Accent5 9 2 2 2" xfId="1612" xr:uid="{00000000-0005-0000-0000-0000CB4C0000}"/>
    <cellStyle name="40% - Accent5 9 2 2 2 2" xfId="5142" xr:uid="{00000000-0005-0000-0000-0000CC4C0000}"/>
    <cellStyle name="40% - Accent5 9 2 2 2 2 2" xfId="8733" xr:uid="{00000000-0005-0000-0000-0000CD4C0000}"/>
    <cellStyle name="40% - Accent5 9 2 2 2 2 2 2" xfId="16704" xr:uid="{00000000-0005-0000-0000-0000CE4C0000}"/>
    <cellStyle name="40% - Accent5 9 2 2 2 2 2 3" xfId="24650" xr:uid="{00000000-0005-0000-0000-0000CF4C0000}"/>
    <cellStyle name="40% - Accent5 9 2 2 2 2 3" xfId="13166" xr:uid="{00000000-0005-0000-0000-0000D04C0000}"/>
    <cellStyle name="40% - Accent5 9 2 2 2 2 4" xfId="21121" xr:uid="{00000000-0005-0000-0000-0000D14C0000}"/>
    <cellStyle name="40% - Accent5 9 2 2 2 3" xfId="6974" xr:uid="{00000000-0005-0000-0000-0000D24C0000}"/>
    <cellStyle name="40% - Accent5 9 2 2 2 3 2" xfId="14946" xr:uid="{00000000-0005-0000-0000-0000D34C0000}"/>
    <cellStyle name="40% - Accent5 9 2 2 2 3 3" xfId="22893" xr:uid="{00000000-0005-0000-0000-0000D44C0000}"/>
    <cellStyle name="40% - Accent5 9 2 2 2 4" xfId="11410" xr:uid="{00000000-0005-0000-0000-0000D54C0000}"/>
    <cellStyle name="40% - Accent5 9 2 2 2 5" xfId="19365" xr:uid="{00000000-0005-0000-0000-0000D64C0000}"/>
    <cellStyle name="40% - Accent5 9 2 2 2_Exh G" xfId="3298" xr:uid="{00000000-0005-0000-0000-0000D74C0000}"/>
    <cellStyle name="40% - Accent5 9 2 2 3" xfId="4263" xr:uid="{00000000-0005-0000-0000-0000D84C0000}"/>
    <cellStyle name="40% - Accent5 9 2 2 3 2" xfId="7855" xr:uid="{00000000-0005-0000-0000-0000D94C0000}"/>
    <cellStyle name="40% - Accent5 9 2 2 3 2 2" xfId="15826" xr:uid="{00000000-0005-0000-0000-0000DA4C0000}"/>
    <cellStyle name="40% - Accent5 9 2 2 3 2 3" xfId="23772" xr:uid="{00000000-0005-0000-0000-0000DB4C0000}"/>
    <cellStyle name="40% - Accent5 9 2 2 3 3" xfId="12288" xr:uid="{00000000-0005-0000-0000-0000DC4C0000}"/>
    <cellStyle name="40% - Accent5 9 2 2 3 4" xfId="20243" xr:uid="{00000000-0005-0000-0000-0000DD4C0000}"/>
    <cellStyle name="40% - Accent5 9 2 2 4" xfId="6083" xr:uid="{00000000-0005-0000-0000-0000DE4C0000}"/>
    <cellStyle name="40% - Accent5 9 2 2 4 2" xfId="14067" xr:uid="{00000000-0005-0000-0000-0000DF4C0000}"/>
    <cellStyle name="40% - Accent5 9 2 2 4 3" xfId="22015" xr:uid="{00000000-0005-0000-0000-0000E04C0000}"/>
    <cellStyle name="40% - Accent5 9 2 2 5" xfId="9636" xr:uid="{00000000-0005-0000-0000-0000E14C0000}"/>
    <cellStyle name="40% - Accent5 9 2 2 5 2" xfId="17594" xr:uid="{00000000-0005-0000-0000-0000E24C0000}"/>
    <cellStyle name="40% - Accent5 9 2 2 5 3" xfId="25538" xr:uid="{00000000-0005-0000-0000-0000E34C0000}"/>
    <cellStyle name="40% - Accent5 9 2 2 6" xfId="10532" xr:uid="{00000000-0005-0000-0000-0000E44C0000}"/>
    <cellStyle name="40% - Accent5 9 2 2 7" xfId="18487" xr:uid="{00000000-0005-0000-0000-0000E54C0000}"/>
    <cellStyle name="40% - Accent5 9 2 2_Exh G" xfId="3297" xr:uid="{00000000-0005-0000-0000-0000E64C0000}"/>
    <cellStyle name="40% - Accent5 9 2 3" xfId="1611" xr:uid="{00000000-0005-0000-0000-0000E74C0000}"/>
    <cellStyle name="40% - Accent5 9 2 3 2" xfId="5141" xr:uid="{00000000-0005-0000-0000-0000E84C0000}"/>
    <cellStyle name="40% - Accent5 9 2 3 2 2" xfId="8732" xr:uid="{00000000-0005-0000-0000-0000E94C0000}"/>
    <cellStyle name="40% - Accent5 9 2 3 2 2 2" xfId="16703" xr:uid="{00000000-0005-0000-0000-0000EA4C0000}"/>
    <cellStyle name="40% - Accent5 9 2 3 2 2 3" xfId="24649" xr:uid="{00000000-0005-0000-0000-0000EB4C0000}"/>
    <cellStyle name="40% - Accent5 9 2 3 2 3" xfId="13165" xr:uid="{00000000-0005-0000-0000-0000EC4C0000}"/>
    <cellStyle name="40% - Accent5 9 2 3 2 4" xfId="21120" xr:uid="{00000000-0005-0000-0000-0000ED4C0000}"/>
    <cellStyle name="40% - Accent5 9 2 3 3" xfId="6973" xr:uid="{00000000-0005-0000-0000-0000EE4C0000}"/>
    <cellStyle name="40% - Accent5 9 2 3 3 2" xfId="14945" xr:uid="{00000000-0005-0000-0000-0000EF4C0000}"/>
    <cellStyle name="40% - Accent5 9 2 3 3 3" xfId="22892" xr:uid="{00000000-0005-0000-0000-0000F04C0000}"/>
    <cellStyle name="40% - Accent5 9 2 3 4" xfId="11409" xr:uid="{00000000-0005-0000-0000-0000F14C0000}"/>
    <cellStyle name="40% - Accent5 9 2 3 5" xfId="19364" xr:uid="{00000000-0005-0000-0000-0000F24C0000}"/>
    <cellStyle name="40% - Accent5 9 2 3_Exh G" xfId="3299" xr:uid="{00000000-0005-0000-0000-0000F34C0000}"/>
    <cellStyle name="40% - Accent5 9 2 4" xfId="4262" xr:uid="{00000000-0005-0000-0000-0000F44C0000}"/>
    <cellStyle name="40% - Accent5 9 2 4 2" xfId="7854" xr:uid="{00000000-0005-0000-0000-0000F54C0000}"/>
    <cellStyle name="40% - Accent5 9 2 4 2 2" xfId="15825" xr:uid="{00000000-0005-0000-0000-0000F64C0000}"/>
    <cellStyle name="40% - Accent5 9 2 4 2 3" xfId="23771" xr:uid="{00000000-0005-0000-0000-0000F74C0000}"/>
    <cellStyle name="40% - Accent5 9 2 4 3" xfId="12287" xr:uid="{00000000-0005-0000-0000-0000F84C0000}"/>
    <cellStyle name="40% - Accent5 9 2 4 4" xfId="20242" xr:uid="{00000000-0005-0000-0000-0000F94C0000}"/>
    <cellStyle name="40% - Accent5 9 2 5" xfId="6082" xr:uid="{00000000-0005-0000-0000-0000FA4C0000}"/>
    <cellStyle name="40% - Accent5 9 2 5 2" xfId="14066" xr:uid="{00000000-0005-0000-0000-0000FB4C0000}"/>
    <cellStyle name="40% - Accent5 9 2 5 3" xfId="22014" xr:uid="{00000000-0005-0000-0000-0000FC4C0000}"/>
    <cellStyle name="40% - Accent5 9 2 6" xfId="9635" xr:uid="{00000000-0005-0000-0000-0000FD4C0000}"/>
    <cellStyle name="40% - Accent5 9 2 6 2" xfId="17593" xr:uid="{00000000-0005-0000-0000-0000FE4C0000}"/>
    <cellStyle name="40% - Accent5 9 2 6 3" xfId="25537" xr:uid="{00000000-0005-0000-0000-0000FF4C0000}"/>
    <cellStyle name="40% - Accent5 9 2 7" xfId="10531" xr:uid="{00000000-0005-0000-0000-0000004D0000}"/>
    <cellStyle name="40% - Accent5 9 2 8" xfId="18486" xr:uid="{00000000-0005-0000-0000-0000014D0000}"/>
    <cellStyle name="40% - Accent5 9 2_Exh G" xfId="3296" xr:uid="{00000000-0005-0000-0000-0000024D0000}"/>
    <cellStyle name="40% - Accent5 9 3" xfId="585" xr:uid="{00000000-0005-0000-0000-0000034D0000}"/>
    <cellStyle name="40% - Accent5 9 3 2" xfId="1613" xr:uid="{00000000-0005-0000-0000-0000044D0000}"/>
    <cellStyle name="40% - Accent5 9 3 2 2" xfId="5143" xr:uid="{00000000-0005-0000-0000-0000054D0000}"/>
    <cellStyle name="40% - Accent5 9 3 2 2 2" xfId="8734" xr:uid="{00000000-0005-0000-0000-0000064D0000}"/>
    <cellStyle name="40% - Accent5 9 3 2 2 2 2" xfId="16705" xr:uid="{00000000-0005-0000-0000-0000074D0000}"/>
    <cellStyle name="40% - Accent5 9 3 2 2 2 3" xfId="24651" xr:uid="{00000000-0005-0000-0000-0000084D0000}"/>
    <cellStyle name="40% - Accent5 9 3 2 2 3" xfId="13167" xr:uid="{00000000-0005-0000-0000-0000094D0000}"/>
    <cellStyle name="40% - Accent5 9 3 2 2 4" xfId="21122" xr:uid="{00000000-0005-0000-0000-00000A4D0000}"/>
    <cellStyle name="40% - Accent5 9 3 2 3" xfId="6975" xr:uid="{00000000-0005-0000-0000-00000B4D0000}"/>
    <cellStyle name="40% - Accent5 9 3 2 3 2" xfId="14947" xr:uid="{00000000-0005-0000-0000-00000C4D0000}"/>
    <cellStyle name="40% - Accent5 9 3 2 3 3" xfId="22894" xr:uid="{00000000-0005-0000-0000-00000D4D0000}"/>
    <cellStyle name="40% - Accent5 9 3 2 4" xfId="11411" xr:uid="{00000000-0005-0000-0000-00000E4D0000}"/>
    <cellStyle name="40% - Accent5 9 3 2 5" xfId="19366" xr:uid="{00000000-0005-0000-0000-00000F4D0000}"/>
    <cellStyle name="40% - Accent5 9 3 2_Exh G" xfId="3301" xr:uid="{00000000-0005-0000-0000-0000104D0000}"/>
    <cellStyle name="40% - Accent5 9 3 3" xfId="4264" xr:uid="{00000000-0005-0000-0000-0000114D0000}"/>
    <cellStyle name="40% - Accent5 9 3 3 2" xfId="7856" xr:uid="{00000000-0005-0000-0000-0000124D0000}"/>
    <cellStyle name="40% - Accent5 9 3 3 2 2" xfId="15827" xr:uid="{00000000-0005-0000-0000-0000134D0000}"/>
    <cellStyle name="40% - Accent5 9 3 3 2 3" xfId="23773" xr:uid="{00000000-0005-0000-0000-0000144D0000}"/>
    <cellStyle name="40% - Accent5 9 3 3 3" xfId="12289" xr:uid="{00000000-0005-0000-0000-0000154D0000}"/>
    <cellStyle name="40% - Accent5 9 3 3 4" xfId="20244" xr:uid="{00000000-0005-0000-0000-0000164D0000}"/>
    <cellStyle name="40% - Accent5 9 3 4" xfId="6084" xr:uid="{00000000-0005-0000-0000-0000174D0000}"/>
    <cellStyle name="40% - Accent5 9 3 4 2" xfId="14068" xr:uid="{00000000-0005-0000-0000-0000184D0000}"/>
    <cellStyle name="40% - Accent5 9 3 4 3" xfId="22016" xr:uid="{00000000-0005-0000-0000-0000194D0000}"/>
    <cellStyle name="40% - Accent5 9 3 5" xfId="9637" xr:uid="{00000000-0005-0000-0000-00001A4D0000}"/>
    <cellStyle name="40% - Accent5 9 3 5 2" xfId="17595" xr:uid="{00000000-0005-0000-0000-00001B4D0000}"/>
    <cellStyle name="40% - Accent5 9 3 5 3" xfId="25539" xr:uid="{00000000-0005-0000-0000-00001C4D0000}"/>
    <cellStyle name="40% - Accent5 9 3 6" xfId="10533" xr:uid="{00000000-0005-0000-0000-00001D4D0000}"/>
    <cellStyle name="40% - Accent5 9 3 7" xfId="18488" xr:uid="{00000000-0005-0000-0000-00001E4D0000}"/>
    <cellStyle name="40% - Accent5 9 3_Exh G" xfId="3300" xr:uid="{00000000-0005-0000-0000-00001F4D0000}"/>
    <cellStyle name="40% - Accent5 9 4" xfId="993" xr:uid="{00000000-0005-0000-0000-0000204D0000}"/>
    <cellStyle name="40% - Accent5 9 4 2" xfId="1908" xr:uid="{00000000-0005-0000-0000-0000214D0000}"/>
    <cellStyle name="40% - Accent5 9 4 2 2" xfId="5426" xr:uid="{00000000-0005-0000-0000-0000224D0000}"/>
    <cellStyle name="40% - Accent5 9 4 2 2 2" xfId="9017" xr:uid="{00000000-0005-0000-0000-0000234D0000}"/>
    <cellStyle name="40% - Accent5 9 4 2 2 2 2" xfId="16988" xr:uid="{00000000-0005-0000-0000-0000244D0000}"/>
    <cellStyle name="40% - Accent5 9 4 2 2 2 3" xfId="24934" xr:uid="{00000000-0005-0000-0000-0000254D0000}"/>
    <cellStyle name="40% - Accent5 9 4 2 2 3" xfId="13450" xr:uid="{00000000-0005-0000-0000-0000264D0000}"/>
    <cellStyle name="40% - Accent5 9 4 2 2 4" xfId="21405" xr:uid="{00000000-0005-0000-0000-0000274D0000}"/>
    <cellStyle name="40% - Accent5 9 4 2 3" xfId="7258" xr:uid="{00000000-0005-0000-0000-0000284D0000}"/>
    <cellStyle name="40% - Accent5 9 4 2 3 2" xfId="15230" xr:uid="{00000000-0005-0000-0000-0000294D0000}"/>
    <cellStyle name="40% - Accent5 9 4 2 3 3" xfId="23177" xr:uid="{00000000-0005-0000-0000-00002A4D0000}"/>
    <cellStyle name="40% - Accent5 9 4 2 4" xfId="11694" xr:uid="{00000000-0005-0000-0000-00002B4D0000}"/>
    <cellStyle name="40% - Accent5 9 4 2 5" xfId="19649" xr:uid="{00000000-0005-0000-0000-00002C4D0000}"/>
    <cellStyle name="40% - Accent5 9 4 2_Exh G" xfId="3303" xr:uid="{00000000-0005-0000-0000-00002D4D0000}"/>
    <cellStyle name="40% - Accent5 9 4 3" xfId="4547" xr:uid="{00000000-0005-0000-0000-00002E4D0000}"/>
    <cellStyle name="40% - Accent5 9 4 3 2" xfId="8139" xr:uid="{00000000-0005-0000-0000-00002F4D0000}"/>
    <cellStyle name="40% - Accent5 9 4 3 2 2" xfId="16110" xr:uid="{00000000-0005-0000-0000-0000304D0000}"/>
    <cellStyle name="40% - Accent5 9 4 3 2 3" xfId="24056" xr:uid="{00000000-0005-0000-0000-0000314D0000}"/>
    <cellStyle name="40% - Accent5 9 4 3 3" xfId="12572" xr:uid="{00000000-0005-0000-0000-0000324D0000}"/>
    <cellStyle name="40% - Accent5 9 4 3 4" xfId="20527" xr:uid="{00000000-0005-0000-0000-0000334D0000}"/>
    <cellStyle name="40% - Accent5 9 4 4" xfId="6377" xr:uid="{00000000-0005-0000-0000-0000344D0000}"/>
    <cellStyle name="40% - Accent5 9 4 4 2" xfId="14352" xr:uid="{00000000-0005-0000-0000-0000354D0000}"/>
    <cellStyle name="40% - Accent5 9 4 4 3" xfId="22299" xr:uid="{00000000-0005-0000-0000-0000364D0000}"/>
    <cellStyle name="40% - Accent5 9 4 5" xfId="9920" xr:uid="{00000000-0005-0000-0000-0000374D0000}"/>
    <cellStyle name="40% - Accent5 9 4 5 2" xfId="17878" xr:uid="{00000000-0005-0000-0000-0000384D0000}"/>
    <cellStyle name="40% - Accent5 9 4 5 3" xfId="25822" xr:uid="{00000000-0005-0000-0000-0000394D0000}"/>
    <cellStyle name="40% - Accent5 9 4 6" xfId="10816" xr:uid="{00000000-0005-0000-0000-00003A4D0000}"/>
    <cellStyle name="40% - Accent5 9 4 7" xfId="18771" xr:uid="{00000000-0005-0000-0000-00003B4D0000}"/>
    <cellStyle name="40% - Accent5 9 4_Exh G" xfId="3302" xr:uid="{00000000-0005-0000-0000-00003C4D0000}"/>
    <cellStyle name="40% - Accent5 9 5" xfId="1610" xr:uid="{00000000-0005-0000-0000-00003D4D0000}"/>
    <cellStyle name="40% - Accent5 9 5 2" xfId="5140" xr:uid="{00000000-0005-0000-0000-00003E4D0000}"/>
    <cellStyle name="40% - Accent5 9 5 2 2" xfId="8731" xr:uid="{00000000-0005-0000-0000-00003F4D0000}"/>
    <cellStyle name="40% - Accent5 9 5 2 2 2" xfId="16702" xr:uid="{00000000-0005-0000-0000-0000404D0000}"/>
    <cellStyle name="40% - Accent5 9 5 2 2 3" xfId="24648" xr:uid="{00000000-0005-0000-0000-0000414D0000}"/>
    <cellStyle name="40% - Accent5 9 5 2 3" xfId="13164" xr:uid="{00000000-0005-0000-0000-0000424D0000}"/>
    <cellStyle name="40% - Accent5 9 5 2 4" xfId="21119" xr:uid="{00000000-0005-0000-0000-0000434D0000}"/>
    <cellStyle name="40% - Accent5 9 5 3" xfId="6972" xr:uid="{00000000-0005-0000-0000-0000444D0000}"/>
    <cellStyle name="40% - Accent5 9 5 3 2" xfId="14944" xr:uid="{00000000-0005-0000-0000-0000454D0000}"/>
    <cellStyle name="40% - Accent5 9 5 3 3" xfId="22891" xr:uid="{00000000-0005-0000-0000-0000464D0000}"/>
    <cellStyle name="40% - Accent5 9 5 4" xfId="11408" xr:uid="{00000000-0005-0000-0000-0000474D0000}"/>
    <cellStyle name="40% - Accent5 9 5 5" xfId="19363" xr:uid="{00000000-0005-0000-0000-0000484D0000}"/>
    <cellStyle name="40% - Accent5 9 5_Exh G" xfId="3304" xr:uid="{00000000-0005-0000-0000-0000494D0000}"/>
    <cellStyle name="40% - Accent5 9 6" xfId="4261" xr:uid="{00000000-0005-0000-0000-00004A4D0000}"/>
    <cellStyle name="40% - Accent5 9 6 2" xfId="7853" xr:uid="{00000000-0005-0000-0000-00004B4D0000}"/>
    <cellStyle name="40% - Accent5 9 6 2 2" xfId="15824" xr:uid="{00000000-0005-0000-0000-00004C4D0000}"/>
    <cellStyle name="40% - Accent5 9 6 2 3" xfId="23770" xr:uid="{00000000-0005-0000-0000-00004D4D0000}"/>
    <cellStyle name="40% - Accent5 9 6 3" xfId="12286" xr:uid="{00000000-0005-0000-0000-00004E4D0000}"/>
    <cellStyle name="40% - Accent5 9 6 4" xfId="20241" xr:uid="{00000000-0005-0000-0000-00004F4D0000}"/>
    <cellStyle name="40% - Accent5 9 7" xfId="6081" xr:uid="{00000000-0005-0000-0000-0000504D0000}"/>
    <cellStyle name="40% - Accent5 9 7 2" xfId="14065" xr:uid="{00000000-0005-0000-0000-0000514D0000}"/>
    <cellStyle name="40% - Accent5 9 7 3" xfId="22013" xr:uid="{00000000-0005-0000-0000-0000524D0000}"/>
    <cellStyle name="40% - Accent5 9 8" xfId="9634" xr:uid="{00000000-0005-0000-0000-0000534D0000}"/>
    <cellStyle name="40% - Accent5 9 8 2" xfId="17592" xr:uid="{00000000-0005-0000-0000-0000544D0000}"/>
    <cellStyle name="40% - Accent5 9 8 3" xfId="25536" xr:uid="{00000000-0005-0000-0000-0000554D0000}"/>
    <cellStyle name="40% - Accent5 9 9" xfId="10530" xr:uid="{00000000-0005-0000-0000-0000564D0000}"/>
    <cellStyle name="40% - Accent5 9_Exh G" xfId="3295" xr:uid="{00000000-0005-0000-0000-0000574D0000}"/>
    <cellStyle name="40% - Accent6 10" xfId="586" xr:uid="{00000000-0005-0000-0000-0000584D0000}"/>
    <cellStyle name="40% - Accent6 10 10" xfId="18489" xr:uid="{00000000-0005-0000-0000-0000594D0000}"/>
    <cellStyle name="40% - Accent6 10 2" xfId="587" xr:uid="{00000000-0005-0000-0000-00005A4D0000}"/>
    <cellStyle name="40% - Accent6 10 2 2" xfId="588" xr:uid="{00000000-0005-0000-0000-00005B4D0000}"/>
    <cellStyle name="40% - Accent6 10 2 2 2" xfId="1616" xr:uid="{00000000-0005-0000-0000-00005C4D0000}"/>
    <cellStyle name="40% - Accent6 10 2 2 2 2" xfId="5146" xr:uid="{00000000-0005-0000-0000-00005D4D0000}"/>
    <cellStyle name="40% - Accent6 10 2 2 2 2 2" xfId="8737" xr:uid="{00000000-0005-0000-0000-00005E4D0000}"/>
    <cellStyle name="40% - Accent6 10 2 2 2 2 2 2" xfId="16708" xr:uid="{00000000-0005-0000-0000-00005F4D0000}"/>
    <cellStyle name="40% - Accent6 10 2 2 2 2 2 3" xfId="24654" xr:uid="{00000000-0005-0000-0000-0000604D0000}"/>
    <cellStyle name="40% - Accent6 10 2 2 2 2 3" xfId="13170" xr:uid="{00000000-0005-0000-0000-0000614D0000}"/>
    <cellStyle name="40% - Accent6 10 2 2 2 2 4" xfId="21125" xr:uid="{00000000-0005-0000-0000-0000624D0000}"/>
    <cellStyle name="40% - Accent6 10 2 2 2 3" xfId="6978" xr:uid="{00000000-0005-0000-0000-0000634D0000}"/>
    <cellStyle name="40% - Accent6 10 2 2 2 3 2" xfId="14950" xr:uid="{00000000-0005-0000-0000-0000644D0000}"/>
    <cellStyle name="40% - Accent6 10 2 2 2 3 3" xfId="22897" xr:uid="{00000000-0005-0000-0000-0000654D0000}"/>
    <cellStyle name="40% - Accent6 10 2 2 2 4" xfId="11414" xr:uid="{00000000-0005-0000-0000-0000664D0000}"/>
    <cellStyle name="40% - Accent6 10 2 2 2 5" xfId="19369" xr:uid="{00000000-0005-0000-0000-0000674D0000}"/>
    <cellStyle name="40% - Accent6 10 2 2 2_Exh G" xfId="3308" xr:uid="{00000000-0005-0000-0000-0000684D0000}"/>
    <cellStyle name="40% - Accent6 10 2 2 3" xfId="4267" xr:uid="{00000000-0005-0000-0000-0000694D0000}"/>
    <cellStyle name="40% - Accent6 10 2 2 3 2" xfId="7859" xr:uid="{00000000-0005-0000-0000-00006A4D0000}"/>
    <cellStyle name="40% - Accent6 10 2 2 3 2 2" xfId="15830" xr:uid="{00000000-0005-0000-0000-00006B4D0000}"/>
    <cellStyle name="40% - Accent6 10 2 2 3 2 3" xfId="23776" xr:uid="{00000000-0005-0000-0000-00006C4D0000}"/>
    <cellStyle name="40% - Accent6 10 2 2 3 3" xfId="12292" xr:uid="{00000000-0005-0000-0000-00006D4D0000}"/>
    <cellStyle name="40% - Accent6 10 2 2 3 4" xfId="20247" xr:uid="{00000000-0005-0000-0000-00006E4D0000}"/>
    <cellStyle name="40% - Accent6 10 2 2 4" xfId="6087" xr:uid="{00000000-0005-0000-0000-00006F4D0000}"/>
    <cellStyle name="40% - Accent6 10 2 2 4 2" xfId="14071" xr:uid="{00000000-0005-0000-0000-0000704D0000}"/>
    <cellStyle name="40% - Accent6 10 2 2 4 3" xfId="22019" xr:uid="{00000000-0005-0000-0000-0000714D0000}"/>
    <cellStyle name="40% - Accent6 10 2 2 5" xfId="9640" xr:uid="{00000000-0005-0000-0000-0000724D0000}"/>
    <cellStyle name="40% - Accent6 10 2 2 5 2" xfId="17598" xr:uid="{00000000-0005-0000-0000-0000734D0000}"/>
    <cellStyle name="40% - Accent6 10 2 2 5 3" xfId="25542" xr:uid="{00000000-0005-0000-0000-0000744D0000}"/>
    <cellStyle name="40% - Accent6 10 2 2 6" xfId="10536" xr:uid="{00000000-0005-0000-0000-0000754D0000}"/>
    <cellStyle name="40% - Accent6 10 2 2 7" xfId="18491" xr:uid="{00000000-0005-0000-0000-0000764D0000}"/>
    <cellStyle name="40% - Accent6 10 2 2_Exh G" xfId="3307" xr:uid="{00000000-0005-0000-0000-0000774D0000}"/>
    <cellStyle name="40% - Accent6 10 2 3" xfId="1615" xr:uid="{00000000-0005-0000-0000-0000784D0000}"/>
    <cellStyle name="40% - Accent6 10 2 3 2" xfId="5145" xr:uid="{00000000-0005-0000-0000-0000794D0000}"/>
    <cellStyle name="40% - Accent6 10 2 3 2 2" xfId="8736" xr:uid="{00000000-0005-0000-0000-00007A4D0000}"/>
    <cellStyle name="40% - Accent6 10 2 3 2 2 2" xfId="16707" xr:uid="{00000000-0005-0000-0000-00007B4D0000}"/>
    <cellStyle name="40% - Accent6 10 2 3 2 2 3" xfId="24653" xr:uid="{00000000-0005-0000-0000-00007C4D0000}"/>
    <cellStyle name="40% - Accent6 10 2 3 2 3" xfId="13169" xr:uid="{00000000-0005-0000-0000-00007D4D0000}"/>
    <cellStyle name="40% - Accent6 10 2 3 2 4" xfId="21124" xr:uid="{00000000-0005-0000-0000-00007E4D0000}"/>
    <cellStyle name="40% - Accent6 10 2 3 3" xfId="6977" xr:uid="{00000000-0005-0000-0000-00007F4D0000}"/>
    <cellStyle name="40% - Accent6 10 2 3 3 2" xfId="14949" xr:uid="{00000000-0005-0000-0000-0000804D0000}"/>
    <cellStyle name="40% - Accent6 10 2 3 3 3" xfId="22896" xr:uid="{00000000-0005-0000-0000-0000814D0000}"/>
    <cellStyle name="40% - Accent6 10 2 3 4" xfId="11413" xr:uid="{00000000-0005-0000-0000-0000824D0000}"/>
    <cellStyle name="40% - Accent6 10 2 3 5" xfId="19368" xr:uid="{00000000-0005-0000-0000-0000834D0000}"/>
    <cellStyle name="40% - Accent6 10 2 3_Exh G" xfId="3309" xr:uid="{00000000-0005-0000-0000-0000844D0000}"/>
    <cellStyle name="40% - Accent6 10 2 4" xfId="4266" xr:uid="{00000000-0005-0000-0000-0000854D0000}"/>
    <cellStyle name="40% - Accent6 10 2 4 2" xfId="7858" xr:uid="{00000000-0005-0000-0000-0000864D0000}"/>
    <cellStyle name="40% - Accent6 10 2 4 2 2" xfId="15829" xr:uid="{00000000-0005-0000-0000-0000874D0000}"/>
    <cellStyle name="40% - Accent6 10 2 4 2 3" xfId="23775" xr:uid="{00000000-0005-0000-0000-0000884D0000}"/>
    <cellStyle name="40% - Accent6 10 2 4 3" xfId="12291" xr:uid="{00000000-0005-0000-0000-0000894D0000}"/>
    <cellStyle name="40% - Accent6 10 2 4 4" xfId="20246" xr:uid="{00000000-0005-0000-0000-00008A4D0000}"/>
    <cellStyle name="40% - Accent6 10 2 5" xfId="6086" xr:uid="{00000000-0005-0000-0000-00008B4D0000}"/>
    <cellStyle name="40% - Accent6 10 2 5 2" xfId="14070" xr:uid="{00000000-0005-0000-0000-00008C4D0000}"/>
    <cellStyle name="40% - Accent6 10 2 5 3" xfId="22018" xr:uid="{00000000-0005-0000-0000-00008D4D0000}"/>
    <cellStyle name="40% - Accent6 10 2 6" xfId="9639" xr:uid="{00000000-0005-0000-0000-00008E4D0000}"/>
    <cellStyle name="40% - Accent6 10 2 6 2" xfId="17597" xr:uid="{00000000-0005-0000-0000-00008F4D0000}"/>
    <cellStyle name="40% - Accent6 10 2 6 3" xfId="25541" xr:uid="{00000000-0005-0000-0000-0000904D0000}"/>
    <cellStyle name="40% - Accent6 10 2 7" xfId="10535" xr:uid="{00000000-0005-0000-0000-0000914D0000}"/>
    <cellStyle name="40% - Accent6 10 2 8" xfId="18490" xr:uid="{00000000-0005-0000-0000-0000924D0000}"/>
    <cellStyle name="40% - Accent6 10 2_Exh G" xfId="3306" xr:uid="{00000000-0005-0000-0000-0000934D0000}"/>
    <cellStyle name="40% - Accent6 10 3" xfId="589" xr:uid="{00000000-0005-0000-0000-0000944D0000}"/>
    <cellStyle name="40% - Accent6 10 3 2" xfId="1617" xr:uid="{00000000-0005-0000-0000-0000954D0000}"/>
    <cellStyle name="40% - Accent6 10 3 2 2" xfId="5147" xr:uid="{00000000-0005-0000-0000-0000964D0000}"/>
    <cellStyle name="40% - Accent6 10 3 2 2 2" xfId="8738" xr:uid="{00000000-0005-0000-0000-0000974D0000}"/>
    <cellStyle name="40% - Accent6 10 3 2 2 2 2" xfId="16709" xr:uid="{00000000-0005-0000-0000-0000984D0000}"/>
    <cellStyle name="40% - Accent6 10 3 2 2 2 3" xfId="24655" xr:uid="{00000000-0005-0000-0000-0000994D0000}"/>
    <cellStyle name="40% - Accent6 10 3 2 2 3" xfId="13171" xr:uid="{00000000-0005-0000-0000-00009A4D0000}"/>
    <cellStyle name="40% - Accent6 10 3 2 2 4" xfId="21126" xr:uid="{00000000-0005-0000-0000-00009B4D0000}"/>
    <cellStyle name="40% - Accent6 10 3 2 3" xfId="6979" xr:uid="{00000000-0005-0000-0000-00009C4D0000}"/>
    <cellStyle name="40% - Accent6 10 3 2 3 2" xfId="14951" xr:uid="{00000000-0005-0000-0000-00009D4D0000}"/>
    <cellStyle name="40% - Accent6 10 3 2 3 3" xfId="22898" xr:uid="{00000000-0005-0000-0000-00009E4D0000}"/>
    <cellStyle name="40% - Accent6 10 3 2 4" xfId="11415" xr:uid="{00000000-0005-0000-0000-00009F4D0000}"/>
    <cellStyle name="40% - Accent6 10 3 2 5" xfId="19370" xr:uid="{00000000-0005-0000-0000-0000A04D0000}"/>
    <cellStyle name="40% - Accent6 10 3 2_Exh G" xfId="3311" xr:uid="{00000000-0005-0000-0000-0000A14D0000}"/>
    <cellStyle name="40% - Accent6 10 3 3" xfId="4268" xr:uid="{00000000-0005-0000-0000-0000A24D0000}"/>
    <cellStyle name="40% - Accent6 10 3 3 2" xfId="7860" xr:uid="{00000000-0005-0000-0000-0000A34D0000}"/>
    <cellStyle name="40% - Accent6 10 3 3 2 2" xfId="15831" xr:uid="{00000000-0005-0000-0000-0000A44D0000}"/>
    <cellStyle name="40% - Accent6 10 3 3 2 3" xfId="23777" xr:uid="{00000000-0005-0000-0000-0000A54D0000}"/>
    <cellStyle name="40% - Accent6 10 3 3 3" xfId="12293" xr:uid="{00000000-0005-0000-0000-0000A64D0000}"/>
    <cellStyle name="40% - Accent6 10 3 3 4" xfId="20248" xr:uid="{00000000-0005-0000-0000-0000A74D0000}"/>
    <cellStyle name="40% - Accent6 10 3 4" xfId="6088" xr:uid="{00000000-0005-0000-0000-0000A84D0000}"/>
    <cellStyle name="40% - Accent6 10 3 4 2" xfId="14072" xr:uid="{00000000-0005-0000-0000-0000A94D0000}"/>
    <cellStyle name="40% - Accent6 10 3 4 3" xfId="22020" xr:uid="{00000000-0005-0000-0000-0000AA4D0000}"/>
    <cellStyle name="40% - Accent6 10 3 5" xfId="9641" xr:uid="{00000000-0005-0000-0000-0000AB4D0000}"/>
    <cellStyle name="40% - Accent6 10 3 5 2" xfId="17599" xr:uid="{00000000-0005-0000-0000-0000AC4D0000}"/>
    <cellStyle name="40% - Accent6 10 3 5 3" xfId="25543" xr:uid="{00000000-0005-0000-0000-0000AD4D0000}"/>
    <cellStyle name="40% - Accent6 10 3 6" xfId="10537" xr:uid="{00000000-0005-0000-0000-0000AE4D0000}"/>
    <cellStyle name="40% - Accent6 10 3 7" xfId="18492" xr:uid="{00000000-0005-0000-0000-0000AF4D0000}"/>
    <cellStyle name="40% - Accent6 10 3_Exh G" xfId="3310" xr:uid="{00000000-0005-0000-0000-0000B04D0000}"/>
    <cellStyle name="40% - Accent6 10 4" xfId="994" xr:uid="{00000000-0005-0000-0000-0000B14D0000}"/>
    <cellStyle name="40% - Accent6 10 5" xfId="1614" xr:uid="{00000000-0005-0000-0000-0000B24D0000}"/>
    <cellStyle name="40% - Accent6 10 5 2" xfId="5144" xr:uid="{00000000-0005-0000-0000-0000B34D0000}"/>
    <cellStyle name="40% - Accent6 10 5 2 2" xfId="8735" xr:uid="{00000000-0005-0000-0000-0000B44D0000}"/>
    <cellStyle name="40% - Accent6 10 5 2 2 2" xfId="16706" xr:uid="{00000000-0005-0000-0000-0000B54D0000}"/>
    <cellStyle name="40% - Accent6 10 5 2 2 3" xfId="24652" xr:uid="{00000000-0005-0000-0000-0000B64D0000}"/>
    <cellStyle name="40% - Accent6 10 5 2 3" xfId="13168" xr:uid="{00000000-0005-0000-0000-0000B74D0000}"/>
    <cellStyle name="40% - Accent6 10 5 2 4" xfId="21123" xr:uid="{00000000-0005-0000-0000-0000B84D0000}"/>
    <cellStyle name="40% - Accent6 10 5 3" xfId="6976" xr:uid="{00000000-0005-0000-0000-0000B94D0000}"/>
    <cellStyle name="40% - Accent6 10 5 3 2" xfId="14948" xr:uid="{00000000-0005-0000-0000-0000BA4D0000}"/>
    <cellStyle name="40% - Accent6 10 5 3 3" xfId="22895" xr:uid="{00000000-0005-0000-0000-0000BB4D0000}"/>
    <cellStyle name="40% - Accent6 10 5 4" xfId="11412" xr:uid="{00000000-0005-0000-0000-0000BC4D0000}"/>
    <cellStyle name="40% - Accent6 10 5 5" xfId="19367" xr:uid="{00000000-0005-0000-0000-0000BD4D0000}"/>
    <cellStyle name="40% - Accent6 10 5_Exh G" xfId="3312" xr:uid="{00000000-0005-0000-0000-0000BE4D0000}"/>
    <cellStyle name="40% - Accent6 10 6" xfId="4265" xr:uid="{00000000-0005-0000-0000-0000BF4D0000}"/>
    <cellStyle name="40% - Accent6 10 6 2" xfId="7857" xr:uid="{00000000-0005-0000-0000-0000C04D0000}"/>
    <cellStyle name="40% - Accent6 10 6 2 2" xfId="15828" xr:uid="{00000000-0005-0000-0000-0000C14D0000}"/>
    <cellStyle name="40% - Accent6 10 6 2 3" xfId="23774" xr:uid="{00000000-0005-0000-0000-0000C24D0000}"/>
    <cellStyle name="40% - Accent6 10 6 3" xfId="12290" xr:uid="{00000000-0005-0000-0000-0000C34D0000}"/>
    <cellStyle name="40% - Accent6 10 6 4" xfId="20245" xr:uid="{00000000-0005-0000-0000-0000C44D0000}"/>
    <cellStyle name="40% - Accent6 10 7" xfId="6085" xr:uid="{00000000-0005-0000-0000-0000C54D0000}"/>
    <cellStyle name="40% - Accent6 10 7 2" xfId="14069" xr:uid="{00000000-0005-0000-0000-0000C64D0000}"/>
    <cellStyle name="40% - Accent6 10 7 3" xfId="22017" xr:uid="{00000000-0005-0000-0000-0000C74D0000}"/>
    <cellStyle name="40% - Accent6 10 8" xfId="9638" xr:uid="{00000000-0005-0000-0000-0000C84D0000}"/>
    <cellStyle name="40% - Accent6 10 8 2" xfId="17596" xr:uid="{00000000-0005-0000-0000-0000C94D0000}"/>
    <cellStyle name="40% - Accent6 10 8 3" xfId="25540" xr:uid="{00000000-0005-0000-0000-0000CA4D0000}"/>
    <cellStyle name="40% - Accent6 10 9" xfId="10534" xr:uid="{00000000-0005-0000-0000-0000CB4D0000}"/>
    <cellStyle name="40% - Accent6 10_Exh G" xfId="3305" xr:uid="{00000000-0005-0000-0000-0000CC4D0000}"/>
    <cellStyle name="40% - Accent6 11" xfId="590" xr:uid="{00000000-0005-0000-0000-0000CD4D0000}"/>
    <cellStyle name="40% - Accent6 11 2" xfId="591" xr:uid="{00000000-0005-0000-0000-0000CE4D0000}"/>
    <cellStyle name="40% - Accent6 11 2 2" xfId="592" xr:uid="{00000000-0005-0000-0000-0000CF4D0000}"/>
    <cellStyle name="40% - Accent6 11 2 2 2" xfId="1620" xr:uid="{00000000-0005-0000-0000-0000D04D0000}"/>
    <cellStyle name="40% - Accent6 11 2 2 2 2" xfId="5150" xr:uid="{00000000-0005-0000-0000-0000D14D0000}"/>
    <cellStyle name="40% - Accent6 11 2 2 2 2 2" xfId="8741" xr:uid="{00000000-0005-0000-0000-0000D24D0000}"/>
    <cellStyle name="40% - Accent6 11 2 2 2 2 2 2" xfId="16712" xr:uid="{00000000-0005-0000-0000-0000D34D0000}"/>
    <cellStyle name="40% - Accent6 11 2 2 2 2 2 3" xfId="24658" xr:uid="{00000000-0005-0000-0000-0000D44D0000}"/>
    <cellStyle name="40% - Accent6 11 2 2 2 2 3" xfId="13174" xr:uid="{00000000-0005-0000-0000-0000D54D0000}"/>
    <cellStyle name="40% - Accent6 11 2 2 2 2 4" xfId="21129" xr:uid="{00000000-0005-0000-0000-0000D64D0000}"/>
    <cellStyle name="40% - Accent6 11 2 2 2 3" xfId="6982" xr:uid="{00000000-0005-0000-0000-0000D74D0000}"/>
    <cellStyle name="40% - Accent6 11 2 2 2 3 2" xfId="14954" xr:uid="{00000000-0005-0000-0000-0000D84D0000}"/>
    <cellStyle name="40% - Accent6 11 2 2 2 3 3" xfId="22901" xr:uid="{00000000-0005-0000-0000-0000D94D0000}"/>
    <cellStyle name="40% - Accent6 11 2 2 2 4" xfId="11418" xr:uid="{00000000-0005-0000-0000-0000DA4D0000}"/>
    <cellStyle name="40% - Accent6 11 2 2 2 5" xfId="19373" xr:uid="{00000000-0005-0000-0000-0000DB4D0000}"/>
    <cellStyle name="40% - Accent6 11 2 2 2_Exh G" xfId="3316" xr:uid="{00000000-0005-0000-0000-0000DC4D0000}"/>
    <cellStyle name="40% - Accent6 11 2 2 3" xfId="4271" xr:uid="{00000000-0005-0000-0000-0000DD4D0000}"/>
    <cellStyle name="40% - Accent6 11 2 2 3 2" xfId="7863" xr:uid="{00000000-0005-0000-0000-0000DE4D0000}"/>
    <cellStyle name="40% - Accent6 11 2 2 3 2 2" xfId="15834" xr:uid="{00000000-0005-0000-0000-0000DF4D0000}"/>
    <cellStyle name="40% - Accent6 11 2 2 3 2 3" xfId="23780" xr:uid="{00000000-0005-0000-0000-0000E04D0000}"/>
    <cellStyle name="40% - Accent6 11 2 2 3 3" xfId="12296" xr:uid="{00000000-0005-0000-0000-0000E14D0000}"/>
    <cellStyle name="40% - Accent6 11 2 2 3 4" xfId="20251" xr:uid="{00000000-0005-0000-0000-0000E24D0000}"/>
    <cellStyle name="40% - Accent6 11 2 2 4" xfId="6091" xr:uid="{00000000-0005-0000-0000-0000E34D0000}"/>
    <cellStyle name="40% - Accent6 11 2 2 4 2" xfId="14075" xr:uid="{00000000-0005-0000-0000-0000E44D0000}"/>
    <cellStyle name="40% - Accent6 11 2 2 4 3" xfId="22023" xr:uid="{00000000-0005-0000-0000-0000E54D0000}"/>
    <cellStyle name="40% - Accent6 11 2 2 5" xfId="9644" xr:uid="{00000000-0005-0000-0000-0000E64D0000}"/>
    <cellStyle name="40% - Accent6 11 2 2 5 2" xfId="17602" xr:uid="{00000000-0005-0000-0000-0000E74D0000}"/>
    <cellStyle name="40% - Accent6 11 2 2 5 3" xfId="25546" xr:uid="{00000000-0005-0000-0000-0000E84D0000}"/>
    <cellStyle name="40% - Accent6 11 2 2 6" xfId="10540" xr:uid="{00000000-0005-0000-0000-0000E94D0000}"/>
    <cellStyle name="40% - Accent6 11 2 2 7" xfId="18495" xr:uid="{00000000-0005-0000-0000-0000EA4D0000}"/>
    <cellStyle name="40% - Accent6 11 2 2_Exh G" xfId="3315" xr:uid="{00000000-0005-0000-0000-0000EB4D0000}"/>
    <cellStyle name="40% - Accent6 11 2 3" xfId="1619" xr:uid="{00000000-0005-0000-0000-0000EC4D0000}"/>
    <cellStyle name="40% - Accent6 11 2 3 2" xfId="5149" xr:uid="{00000000-0005-0000-0000-0000ED4D0000}"/>
    <cellStyle name="40% - Accent6 11 2 3 2 2" xfId="8740" xr:uid="{00000000-0005-0000-0000-0000EE4D0000}"/>
    <cellStyle name="40% - Accent6 11 2 3 2 2 2" xfId="16711" xr:uid="{00000000-0005-0000-0000-0000EF4D0000}"/>
    <cellStyle name="40% - Accent6 11 2 3 2 2 3" xfId="24657" xr:uid="{00000000-0005-0000-0000-0000F04D0000}"/>
    <cellStyle name="40% - Accent6 11 2 3 2 3" xfId="13173" xr:uid="{00000000-0005-0000-0000-0000F14D0000}"/>
    <cellStyle name="40% - Accent6 11 2 3 2 4" xfId="21128" xr:uid="{00000000-0005-0000-0000-0000F24D0000}"/>
    <cellStyle name="40% - Accent6 11 2 3 3" xfId="6981" xr:uid="{00000000-0005-0000-0000-0000F34D0000}"/>
    <cellStyle name="40% - Accent6 11 2 3 3 2" xfId="14953" xr:uid="{00000000-0005-0000-0000-0000F44D0000}"/>
    <cellStyle name="40% - Accent6 11 2 3 3 3" xfId="22900" xr:uid="{00000000-0005-0000-0000-0000F54D0000}"/>
    <cellStyle name="40% - Accent6 11 2 3 4" xfId="11417" xr:uid="{00000000-0005-0000-0000-0000F64D0000}"/>
    <cellStyle name="40% - Accent6 11 2 3 5" xfId="19372" xr:uid="{00000000-0005-0000-0000-0000F74D0000}"/>
    <cellStyle name="40% - Accent6 11 2 3_Exh G" xfId="3317" xr:uid="{00000000-0005-0000-0000-0000F84D0000}"/>
    <cellStyle name="40% - Accent6 11 2 4" xfId="4270" xr:uid="{00000000-0005-0000-0000-0000F94D0000}"/>
    <cellStyle name="40% - Accent6 11 2 4 2" xfId="7862" xr:uid="{00000000-0005-0000-0000-0000FA4D0000}"/>
    <cellStyle name="40% - Accent6 11 2 4 2 2" xfId="15833" xr:uid="{00000000-0005-0000-0000-0000FB4D0000}"/>
    <cellStyle name="40% - Accent6 11 2 4 2 3" xfId="23779" xr:uid="{00000000-0005-0000-0000-0000FC4D0000}"/>
    <cellStyle name="40% - Accent6 11 2 4 3" xfId="12295" xr:uid="{00000000-0005-0000-0000-0000FD4D0000}"/>
    <cellStyle name="40% - Accent6 11 2 4 4" xfId="20250" xr:uid="{00000000-0005-0000-0000-0000FE4D0000}"/>
    <cellStyle name="40% - Accent6 11 2 5" xfId="6090" xr:uid="{00000000-0005-0000-0000-0000FF4D0000}"/>
    <cellStyle name="40% - Accent6 11 2 5 2" xfId="14074" xr:uid="{00000000-0005-0000-0000-0000004E0000}"/>
    <cellStyle name="40% - Accent6 11 2 5 3" xfId="22022" xr:uid="{00000000-0005-0000-0000-0000014E0000}"/>
    <cellStyle name="40% - Accent6 11 2 6" xfId="9643" xr:uid="{00000000-0005-0000-0000-0000024E0000}"/>
    <cellStyle name="40% - Accent6 11 2 6 2" xfId="17601" xr:uid="{00000000-0005-0000-0000-0000034E0000}"/>
    <cellStyle name="40% - Accent6 11 2 6 3" xfId="25545" xr:uid="{00000000-0005-0000-0000-0000044E0000}"/>
    <cellStyle name="40% - Accent6 11 2 7" xfId="10539" xr:uid="{00000000-0005-0000-0000-0000054E0000}"/>
    <cellStyle name="40% - Accent6 11 2 8" xfId="18494" xr:uid="{00000000-0005-0000-0000-0000064E0000}"/>
    <cellStyle name="40% - Accent6 11 2_Exh G" xfId="3314" xr:uid="{00000000-0005-0000-0000-0000074E0000}"/>
    <cellStyle name="40% - Accent6 11 3" xfId="593" xr:uid="{00000000-0005-0000-0000-0000084E0000}"/>
    <cellStyle name="40% - Accent6 11 3 2" xfId="1621" xr:uid="{00000000-0005-0000-0000-0000094E0000}"/>
    <cellStyle name="40% - Accent6 11 3 2 2" xfId="5151" xr:uid="{00000000-0005-0000-0000-00000A4E0000}"/>
    <cellStyle name="40% - Accent6 11 3 2 2 2" xfId="8742" xr:uid="{00000000-0005-0000-0000-00000B4E0000}"/>
    <cellStyle name="40% - Accent6 11 3 2 2 2 2" xfId="16713" xr:uid="{00000000-0005-0000-0000-00000C4E0000}"/>
    <cellStyle name="40% - Accent6 11 3 2 2 2 3" xfId="24659" xr:uid="{00000000-0005-0000-0000-00000D4E0000}"/>
    <cellStyle name="40% - Accent6 11 3 2 2 3" xfId="13175" xr:uid="{00000000-0005-0000-0000-00000E4E0000}"/>
    <cellStyle name="40% - Accent6 11 3 2 2 4" xfId="21130" xr:uid="{00000000-0005-0000-0000-00000F4E0000}"/>
    <cellStyle name="40% - Accent6 11 3 2 3" xfId="6983" xr:uid="{00000000-0005-0000-0000-0000104E0000}"/>
    <cellStyle name="40% - Accent6 11 3 2 3 2" xfId="14955" xr:uid="{00000000-0005-0000-0000-0000114E0000}"/>
    <cellStyle name="40% - Accent6 11 3 2 3 3" xfId="22902" xr:uid="{00000000-0005-0000-0000-0000124E0000}"/>
    <cellStyle name="40% - Accent6 11 3 2 4" xfId="11419" xr:uid="{00000000-0005-0000-0000-0000134E0000}"/>
    <cellStyle name="40% - Accent6 11 3 2 5" xfId="19374" xr:uid="{00000000-0005-0000-0000-0000144E0000}"/>
    <cellStyle name="40% - Accent6 11 3 2_Exh G" xfId="3319" xr:uid="{00000000-0005-0000-0000-0000154E0000}"/>
    <cellStyle name="40% - Accent6 11 3 3" xfId="4272" xr:uid="{00000000-0005-0000-0000-0000164E0000}"/>
    <cellStyle name="40% - Accent6 11 3 3 2" xfId="7864" xr:uid="{00000000-0005-0000-0000-0000174E0000}"/>
    <cellStyle name="40% - Accent6 11 3 3 2 2" xfId="15835" xr:uid="{00000000-0005-0000-0000-0000184E0000}"/>
    <cellStyle name="40% - Accent6 11 3 3 2 3" xfId="23781" xr:uid="{00000000-0005-0000-0000-0000194E0000}"/>
    <cellStyle name="40% - Accent6 11 3 3 3" xfId="12297" xr:uid="{00000000-0005-0000-0000-00001A4E0000}"/>
    <cellStyle name="40% - Accent6 11 3 3 4" xfId="20252" xr:uid="{00000000-0005-0000-0000-00001B4E0000}"/>
    <cellStyle name="40% - Accent6 11 3 4" xfId="6092" xr:uid="{00000000-0005-0000-0000-00001C4E0000}"/>
    <cellStyle name="40% - Accent6 11 3 4 2" xfId="14076" xr:uid="{00000000-0005-0000-0000-00001D4E0000}"/>
    <cellStyle name="40% - Accent6 11 3 4 3" xfId="22024" xr:uid="{00000000-0005-0000-0000-00001E4E0000}"/>
    <cellStyle name="40% - Accent6 11 3 5" xfId="9645" xr:uid="{00000000-0005-0000-0000-00001F4E0000}"/>
    <cellStyle name="40% - Accent6 11 3 5 2" xfId="17603" xr:uid="{00000000-0005-0000-0000-0000204E0000}"/>
    <cellStyle name="40% - Accent6 11 3 5 3" xfId="25547" xr:uid="{00000000-0005-0000-0000-0000214E0000}"/>
    <cellStyle name="40% - Accent6 11 3 6" xfId="10541" xr:uid="{00000000-0005-0000-0000-0000224E0000}"/>
    <cellStyle name="40% - Accent6 11 3 7" xfId="18496" xr:uid="{00000000-0005-0000-0000-0000234E0000}"/>
    <cellStyle name="40% - Accent6 11 3_Exh G" xfId="3318" xr:uid="{00000000-0005-0000-0000-0000244E0000}"/>
    <cellStyle name="40% - Accent6 11 4" xfId="1618" xr:uid="{00000000-0005-0000-0000-0000254E0000}"/>
    <cellStyle name="40% - Accent6 11 4 2" xfId="5148" xr:uid="{00000000-0005-0000-0000-0000264E0000}"/>
    <cellStyle name="40% - Accent6 11 4 2 2" xfId="8739" xr:uid="{00000000-0005-0000-0000-0000274E0000}"/>
    <cellStyle name="40% - Accent6 11 4 2 2 2" xfId="16710" xr:uid="{00000000-0005-0000-0000-0000284E0000}"/>
    <cellStyle name="40% - Accent6 11 4 2 2 3" xfId="24656" xr:uid="{00000000-0005-0000-0000-0000294E0000}"/>
    <cellStyle name="40% - Accent6 11 4 2 3" xfId="13172" xr:uid="{00000000-0005-0000-0000-00002A4E0000}"/>
    <cellStyle name="40% - Accent6 11 4 2 4" xfId="21127" xr:uid="{00000000-0005-0000-0000-00002B4E0000}"/>
    <cellStyle name="40% - Accent6 11 4 3" xfId="6980" xr:uid="{00000000-0005-0000-0000-00002C4E0000}"/>
    <cellStyle name="40% - Accent6 11 4 3 2" xfId="14952" xr:uid="{00000000-0005-0000-0000-00002D4E0000}"/>
    <cellStyle name="40% - Accent6 11 4 3 3" xfId="22899" xr:uid="{00000000-0005-0000-0000-00002E4E0000}"/>
    <cellStyle name="40% - Accent6 11 4 4" xfId="11416" xr:uid="{00000000-0005-0000-0000-00002F4E0000}"/>
    <cellStyle name="40% - Accent6 11 4 5" xfId="19371" xr:uid="{00000000-0005-0000-0000-0000304E0000}"/>
    <cellStyle name="40% - Accent6 11 4_Exh G" xfId="3320" xr:uid="{00000000-0005-0000-0000-0000314E0000}"/>
    <cellStyle name="40% - Accent6 11 5" xfId="4269" xr:uid="{00000000-0005-0000-0000-0000324E0000}"/>
    <cellStyle name="40% - Accent6 11 5 2" xfId="7861" xr:uid="{00000000-0005-0000-0000-0000334E0000}"/>
    <cellStyle name="40% - Accent6 11 5 2 2" xfId="15832" xr:uid="{00000000-0005-0000-0000-0000344E0000}"/>
    <cellStyle name="40% - Accent6 11 5 2 3" xfId="23778" xr:uid="{00000000-0005-0000-0000-0000354E0000}"/>
    <cellStyle name="40% - Accent6 11 5 3" xfId="12294" xr:uid="{00000000-0005-0000-0000-0000364E0000}"/>
    <cellStyle name="40% - Accent6 11 5 4" xfId="20249" xr:uid="{00000000-0005-0000-0000-0000374E0000}"/>
    <cellStyle name="40% - Accent6 11 6" xfId="6089" xr:uid="{00000000-0005-0000-0000-0000384E0000}"/>
    <cellStyle name="40% - Accent6 11 6 2" xfId="14073" xr:uid="{00000000-0005-0000-0000-0000394E0000}"/>
    <cellStyle name="40% - Accent6 11 6 3" xfId="22021" xr:uid="{00000000-0005-0000-0000-00003A4E0000}"/>
    <cellStyle name="40% - Accent6 11 7" xfId="9642" xr:uid="{00000000-0005-0000-0000-00003B4E0000}"/>
    <cellStyle name="40% - Accent6 11 7 2" xfId="17600" xr:uid="{00000000-0005-0000-0000-00003C4E0000}"/>
    <cellStyle name="40% - Accent6 11 7 3" xfId="25544" xr:uid="{00000000-0005-0000-0000-00003D4E0000}"/>
    <cellStyle name="40% - Accent6 11 8" xfId="10538" xr:uid="{00000000-0005-0000-0000-00003E4E0000}"/>
    <cellStyle name="40% - Accent6 11 9" xfId="18493" xr:uid="{00000000-0005-0000-0000-00003F4E0000}"/>
    <cellStyle name="40% - Accent6 11_Exh G" xfId="3313" xr:uid="{00000000-0005-0000-0000-0000404E0000}"/>
    <cellStyle name="40% - Accent6 12" xfId="594" xr:uid="{00000000-0005-0000-0000-0000414E0000}"/>
    <cellStyle name="40% - Accent6 12 2" xfId="595" xr:uid="{00000000-0005-0000-0000-0000424E0000}"/>
    <cellStyle name="40% - Accent6 12 2 2" xfId="596" xr:uid="{00000000-0005-0000-0000-0000434E0000}"/>
    <cellStyle name="40% - Accent6 12 2 2 2" xfId="1624" xr:uid="{00000000-0005-0000-0000-0000444E0000}"/>
    <cellStyle name="40% - Accent6 12 2 2 2 2" xfId="5154" xr:uid="{00000000-0005-0000-0000-0000454E0000}"/>
    <cellStyle name="40% - Accent6 12 2 2 2 2 2" xfId="8745" xr:uid="{00000000-0005-0000-0000-0000464E0000}"/>
    <cellStyle name="40% - Accent6 12 2 2 2 2 2 2" xfId="16716" xr:uid="{00000000-0005-0000-0000-0000474E0000}"/>
    <cellStyle name="40% - Accent6 12 2 2 2 2 2 3" xfId="24662" xr:uid="{00000000-0005-0000-0000-0000484E0000}"/>
    <cellStyle name="40% - Accent6 12 2 2 2 2 3" xfId="13178" xr:uid="{00000000-0005-0000-0000-0000494E0000}"/>
    <cellStyle name="40% - Accent6 12 2 2 2 2 4" xfId="21133" xr:uid="{00000000-0005-0000-0000-00004A4E0000}"/>
    <cellStyle name="40% - Accent6 12 2 2 2 3" xfId="6986" xr:uid="{00000000-0005-0000-0000-00004B4E0000}"/>
    <cellStyle name="40% - Accent6 12 2 2 2 3 2" xfId="14958" xr:uid="{00000000-0005-0000-0000-00004C4E0000}"/>
    <cellStyle name="40% - Accent6 12 2 2 2 3 3" xfId="22905" xr:uid="{00000000-0005-0000-0000-00004D4E0000}"/>
    <cellStyle name="40% - Accent6 12 2 2 2 4" xfId="11422" xr:uid="{00000000-0005-0000-0000-00004E4E0000}"/>
    <cellStyle name="40% - Accent6 12 2 2 2 5" xfId="19377" xr:uid="{00000000-0005-0000-0000-00004F4E0000}"/>
    <cellStyle name="40% - Accent6 12 2 2 2_Exh G" xfId="3324" xr:uid="{00000000-0005-0000-0000-0000504E0000}"/>
    <cellStyle name="40% - Accent6 12 2 2 3" xfId="4275" xr:uid="{00000000-0005-0000-0000-0000514E0000}"/>
    <cellStyle name="40% - Accent6 12 2 2 3 2" xfId="7867" xr:uid="{00000000-0005-0000-0000-0000524E0000}"/>
    <cellStyle name="40% - Accent6 12 2 2 3 2 2" xfId="15838" xr:uid="{00000000-0005-0000-0000-0000534E0000}"/>
    <cellStyle name="40% - Accent6 12 2 2 3 2 3" xfId="23784" xr:uid="{00000000-0005-0000-0000-0000544E0000}"/>
    <cellStyle name="40% - Accent6 12 2 2 3 3" xfId="12300" xr:uid="{00000000-0005-0000-0000-0000554E0000}"/>
    <cellStyle name="40% - Accent6 12 2 2 3 4" xfId="20255" xr:uid="{00000000-0005-0000-0000-0000564E0000}"/>
    <cellStyle name="40% - Accent6 12 2 2 4" xfId="6095" xr:uid="{00000000-0005-0000-0000-0000574E0000}"/>
    <cellStyle name="40% - Accent6 12 2 2 4 2" xfId="14079" xr:uid="{00000000-0005-0000-0000-0000584E0000}"/>
    <cellStyle name="40% - Accent6 12 2 2 4 3" xfId="22027" xr:uid="{00000000-0005-0000-0000-0000594E0000}"/>
    <cellStyle name="40% - Accent6 12 2 2 5" xfId="9648" xr:uid="{00000000-0005-0000-0000-00005A4E0000}"/>
    <cellStyle name="40% - Accent6 12 2 2 5 2" xfId="17606" xr:uid="{00000000-0005-0000-0000-00005B4E0000}"/>
    <cellStyle name="40% - Accent6 12 2 2 5 3" xfId="25550" xr:uid="{00000000-0005-0000-0000-00005C4E0000}"/>
    <cellStyle name="40% - Accent6 12 2 2 6" xfId="10544" xr:uid="{00000000-0005-0000-0000-00005D4E0000}"/>
    <cellStyle name="40% - Accent6 12 2 2 7" xfId="18499" xr:uid="{00000000-0005-0000-0000-00005E4E0000}"/>
    <cellStyle name="40% - Accent6 12 2 2_Exh G" xfId="3323" xr:uid="{00000000-0005-0000-0000-00005F4E0000}"/>
    <cellStyle name="40% - Accent6 12 2 3" xfId="1623" xr:uid="{00000000-0005-0000-0000-0000604E0000}"/>
    <cellStyle name="40% - Accent6 12 2 3 2" xfId="5153" xr:uid="{00000000-0005-0000-0000-0000614E0000}"/>
    <cellStyle name="40% - Accent6 12 2 3 2 2" xfId="8744" xr:uid="{00000000-0005-0000-0000-0000624E0000}"/>
    <cellStyle name="40% - Accent6 12 2 3 2 2 2" xfId="16715" xr:uid="{00000000-0005-0000-0000-0000634E0000}"/>
    <cellStyle name="40% - Accent6 12 2 3 2 2 3" xfId="24661" xr:uid="{00000000-0005-0000-0000-0000644E0000}"/>
    <cellStyle name="40% - Accent6 12 2 3 2 3" xfId="13177" xr:uid="{00000000-0005-0000-0000-0000654E0000}"/>
    <cellStyle name="40% - Accent6 12 2 3 2 4" xfId="21132" xr:uid="{00000000-0005-0000-0000-0000664E0000}"/>
    <cellStyle name="40% - Accent6 12 2 3 3" xfId="6985" xr:uid="{00000000-0005-0000-0000-0000674E0000}"/>
    <cellStyle name="40% - Accent6 12 2 3 3 2" xfId="14957" xr:uid="{00000000-0005-0000-0000-0000684E0000}"/>
    <cellStyle name="40% - Accent6 12 2 3 3 3" xfId="22904" xr:uid="{00000000-0005-0000-0000-0000694E0000}"/>
    <cellStyle name="40% - Accent6 12 2 3 4" xfId="11421" xr:uid="{00000000-0005-0000-0000-00006A4E0000}"/>
    <cellStyle name="40% - Accent6 12 2 3 5" xfId="19376" xr:uid="{00000000-0005-0000-0000-00006B4E0000}"/>
    <cellStyle name="40% - Accent6 12 2 3_Exh G" xfId="3325" xr:uid="{00000000-0005-0000-0000-00006C4E0000}"/>
    <cellStyle name="40% - Accent6 12 2 4" xfId="4274" xr:uid="{00000000-0005-0000-0000-00006D4E0000}"/>
    <cellStyle name="40% - Accent6 12 2 4 2" xfId="7866" xr:uid="{00000000-0005-0000-0000-00006E4E0000}"/>
    <cellStyle name="40% - Accent6 12 2 4 2 2" xfId="15837" xr:uid="{00000000-0005-0000-0000-00006F4E0000}"/>
    <cellStyle name="40% - Accent6 12 2 4 2 3" xfId="23783" xr:uid="{00000000-0005-0000-0000-0000704E0000}"/>
    <cellStyle name="40% - Accent6 12 2 4 3" xfId="12299" xr:uid="{00000000-0005-0000-0000-0000714E0000}"/>
    <cellStyle name="40% - Accent6 12 2 4 4" xfId="20254" xr:uid="{00000000-0005-0000-0000-0000724E0000}"/>
    <cellStyle name="40% - Accent6 12 2 5" xfId="6094" xr:uid="{00000000-0005-0000-0000-0000734E0000}"/>
    <cellStyle name="40% - Accent6 12 2 5 2" xfId="14078" xr:uid="{00000000-0005-0000-0000-0000744E0000}"/>
    <cellStyle name="40% - Accent6 12 2 5 3" xfId="22026" xr:uid="{00000000-0005-0000-0000-0000754E0000}"/>
    <cellStyle name="40% - Accent6 12 2 6" xfId="9647" xr:uid="{00000000-0005-0000-0000-0000764E0000}"/>
    <cellStyle name="40% - Accent6 12 2 6 2" xfId="17605" xr:uid="{00000000-0005-0000-0000-0000774E0000}"/>
    <cellStyle name="40% - Accent6 12 2 6 3" xfId="25549" xr:uid="{00000000-0005-0000-0000-0000784E0000}"/>
    <cellStyle name="40% - Accent6 12 2 7" xfId="10543" xr:uid="{00000000-0005-0000-0000-0000794E0000}"/>
    <cellStyle name="40% - Accent6 12 2 8" xfId="18498" xr:uid="{00000000-0005-0000-0000-00007A4E0000}"/>
    <cellStyle name="40% - Accent6 12 2_Exh G" xfId="3322" xr:uid="{00000000-0005-0000-0000-00007B4E0000}"/>
    <cellStyle name="40% - Accent6 12 3" xfId="597" xr:uid="{00000000-0005-0000-0000-00007C4E0000}"/>
    <cellStyle name="40% - Accent6 12 3 2" xfId="1625" xr:uid="{00000000-0005-0000-0000-00007D4E0000}"/>
    <cellStyle name="40% - Accent6 12 3 2 2" xfId="5155" xr:uid="{00000000-0005-0000-0000-00007E4E0000}"/>
    <cellStyle name="40% - Accent6 12 3 2 2 2" xfId="8746" xr:uid="{00000000-0005-0000-0000-00007F4E0000}"/>
    <cellStyle name="40% - Accent6 12 3 2 2 2 2" xfId="16717" xr:uid="{00000000-0005-0000-0000-0000804E0000}"/>
    <cellStyle name="40% - Accent6 12 3 2 2 2 3" xfId="24663" xr:uid="{00000000-0005-0000-0000-0000814E0000}"/>
    <cellStyle name="40% - Accent6 12 3 2 2 3" xfId="13179" xr:uid="{00000000-0005-0000-0000-0000824E0000}"/>
    <cellStyle name="40% - Accent6 12 3 2 2 4" xfId="21134" xr:uid="{00000000-0005-0000-0000-0000834E0000}"/>
    <cellStyle name="40% - Accent6 12 3 2 3" xfId="6987" xr:uid="{00000000-0005-0000-0000-0000844E0000}"/>
    <cellStyle name="40% - Accent6 12 3 2 3 2" xfId="14959" xr:uid="{00000000-0005-0000-0000-0000854E0000}"/>
    <cellStyle name="40% - Accent6 12 3 2 3 3" xfId="22906" xr:uid="{00000000-0005-0000-0000-0000864E0000}"/>
    <cellStyle name="40% - Accent6 12 3 2 4" xfId="11423" xr:uid="{00000000-0005-0000-0000-0000874E0000}"/>
    <cellStyle name="40% - Accent6 12 3 2 5" xfId="19378" xr:uid="{00000000-0005-0000-0000-0000884E0000}"/>
    <cellStyle name="40% - Accent6 12 3 2_Exh G" xfId="3327" xr:uid="{00000000-0005-0000-0000-0000894E0000}"/>
    <cellStyle name="40% - Accent6 12 3 3" xfId="4276" xr:uid="{00000000-0005-0000-0000-00008A4E0000}"/>
    <cellStyle name="40% - Accent6 12 3 3 2" xfId="7868" xr:uid="{00000000-0005-0000-0000-00008B4E0000}"/>
    <cellStyle name="40% - Accent6 12 3 3 2 2" xfId="15839" xr:uid="{00000000-0005-0000-0000-00008C4E0000}"/>
    <cellStyle name="40% - Accent6 12 3 3 2 3" xfId="23785" xr:uid="{00000000-0005-0000-0000-00008D4E0000}"/>
    <cellStyle name="40% - Accent6 12 3 3 3" xfId="12301" xr:uid="{00000000-0005-0000-0000-00008E4E0000}"/>
    <cellStyle name="40% - Accent6 12 3 3 4" xfId="20256" xr:uid="{00000000-0005-0000-0000-00008F4E0000}"/>
    <cellStyle name="40% - Accent6 12 3 4" xfId="6096" xr:uid="{00000000-0005-0000-0000-0000904E0000}"/>
    <cellStyle name="40% - Accent6 12 3 4 2" xfId="14080" xr:uid="{00000000-0005-0000-0000-0000914E0000}"/>
    <cellStyle name="40% - Accent6 12 3 4 3" xfId="22028" xr:uid="{00000000-0005-0000-0000-0000924E0000}"/>
    <cellStyle name="40% - Accent6 12 3 5" xfId="9649" xr:uid="{00000000-0005-0000-0000-0000934E0000}"/>
    <cellStyle name="40% - Accent6 12 3 5 2" xfId="17607" xr:uid="{00000000-0005-0000-0000-0000944E0000}"/>
    <cellStyle name="40% - Accent6 12 3 5 3" xfId="25551" xr:uid="{00000000-0005-0000-0000-0000954E0000}"/>
    <cellStyle name="40% - Accent6 12 3 6" xfId="10545" xr:uid="{00000000-0005-0000-0000-0000964E0000}"/>
    <cellStyle name="40% - Accent6 12 3 7" xfId="18500" xr:uid="{00000000-0005-0000-0000-0000974E0000}"/>
    <cellStyle name="40% - Accent6 12 3_Exh G" xfId="3326" xr:uid="{00000000-0005-0000-0000-0000984E0000}"/>
    <cellStyle name="40% - Accent6 12 4" xfId="1622" xr:uid="{00000000-0005-0000-0000-0000994E0000}"/>
    <cellStyle name="40% - Accent6 12 4 2" xfId="5152" xr:uid="{00000000-0005-0000-0000-00009A4E0000}"/>
    <cellStyle name="40% - Accent6 12 4 2 2" xfId="8743" xr:uid="{00000000-0005-0000-0000-00009B4E0000}"/>
    <cellStyle name="40% - Accent6 12 4 2 2 2" xfId="16714" xr:uid="{00000000-0005-0000-0000-00009C4E0000}"/>
    <cellStyle name="40% - Accent6 12 4 2 2 3" xfId="24660" xr:uid="{00000000-0005-0000-0000-00009D4E0000}"/>
    <cellStyle name="40% - Accent6 12 4 2 3" xfId="13176" xr:uid="{00000000-0005-0000-0000-00009E4E0000}"/>
    <cellStyle name="40% - Accent6 12 4 2 4" xfId="21131" xr:uid="{00000000-0005-0000-0000-00009F4E0000}"/>
    <cellStyle name="40% - Accent6 12 4 3" xfId="6984" xr:uid="{00000000-0005-0000-0000-0000A04E0000}"/>
    <cellStyle name="40% - Accent6 12 4 3 2" xfId="14956" xr:uid="{00000000-0005-0000-0000-0000A14E0000}"/>
    <cellStyle name="40% - Accent6 12 4 3 3" xfId="22903" xr:uid="{00000000-0005-0000-0000-0000A24E0000}"/>
    <cellStyle name="40% - Accent6 12 4 4" xfId="11420" xr:uid="{00000000-0005-0000-0000-0000A34E0000}"/>
    <cellStyle name="40% - Accent6 12 4 5" xfId="19375" xr:uid="{00000000-0005-0000-0000-0000A44E0000}"/>
    <cellStyle name="40% - Accent6 12 4_Exh G" xfId="3328" xr:uid="{00000000-0005-0000-0000-0000A54E0000}"/>
    <cellStyle name="40% - Accent6 12 5" xfId="4273" xr:uid="{00000000-0005-0000-0000-0000A64E0000}"/>
    <cellStyle name="40% - Accent6 12 5 2" xfId="7865" xr:uid="{00000000-0005-0000-0000-0000A74E0000}"/>
    <cellStyle name="40% - Accent6 12 5 2 2" xfId="15836" xr:uid="{00000000-0005-0000-0000-0000A84E0000}"/>
    <cellStyle name="40% - Accent6 12 5 2 3" xfId="23782" xr:uid="{00000000-0005-0000-0000-0000A94E0000}"/>
    <cellStyle name="40% - Accent6 12 5 3" xfId="12298" xr:uid="{00000000-0005-0000-0000-0000AA4E0000}"/>
    <cellStyle name="40% - Accent6 12 5 4" xfId="20253" xr:uid="{00000000-0005-0000-0000-0000AB4E0000}"/>
    <cellStyle name="40% - Accent6 12 6" xfId="6093" xr:uid="{00000000-0005-0000-0000-0000AC4E0000}"/>
    <cellStyle name="40% - Accent6 12 6 2" xfId="14077" xr:uid="{00000000-0005-0000-0000-0000AD4E0000}"/>
    <cellStyle name="40% - Accent6 12 6 3" xfId="22025" xr:uid="{00000000-0005-0000-0000-0000AE4E0000}"/>
    <cellStyle name="40% - Accent6 12 7" xfId="9646" xr:uid="{00000000-0005-0000-0000-0000AF4E0000}"/>
    <cellStyle name="40% - Accent6 12 7 2" xfId="17604" xr:uid="{00000000-0005-0000-0000-0000B04E0000}"/>
    <cellStyle name="40% - Accent6 12 7 3" xfId="25548" xr:uid="{00000000-0005-0000-0000-0000B14E0000}"/>
    <cellStyle name="40% - Accent6 12 8" xfId="10542" xr:uid="{00000000-0005-0000-0000-0000B24E0000}"/>
    <cellStyle name="40% - Accent6 12 9" xfId="18497" xr:uid="{00000000-0005-0000-0000-0000B34E0000}"/>
    <cellStyle name="40% - Accent6 12_Exh G" xfId="3321" xr:uid="{00000000-0005-0000-0000-0000B44E0000}"/>
    <cellStyle name="40% - Accent6 13" xfId="598" xr:uid="{00000000-0005-0000-0000-0000B54E0000}"/>
    <cellStyle name="40% - Accent6 13 2" xfId="599" xr:uid="{00000000-0005-0000-0000-0000B64E0000}"/>
    <cellStyle name="40% - Accent6 13 2 2" xfId="600" xr:uid="{00000000-0005-0000-0000-0000B74E0000}"/>
    <cellStyle name="40% - Accent6 13 2 2 2" xfId="1628" xr:uid="{00000000-0005-0000-0000-0000B84E0000}"/>
    <cellStyle name="40% - Accent6 13 2 2 2 2" xfId="5158" xr:uid="{00000000-0005-0000-0000-0000B94E0000}"/>
    <cellStyle name="40% - Accent6 13 2 2 2 2 2" xfId="8749" xr:uid="{00000000-0005-0000-0000-0000BA4E0000}"/>
    <cellStyle name="40% - Accent6 13 2 2 2 2 2 2" xfId="16720" xr:uid="{00000000-0005-0000-0000-0000BB4E0000}"/>
    <cellStyle name="40% - Accent6 13 2 2 2 2 2 3" xfId="24666" xr:uid="{00000000-0005-0000-0000-0000BC4E0000}"/>
    <cellStyle name="40% - Accent6 13 2 2 2 2 3" xfId="13182" xr:uid="{00000000-0005-0000-0000-0000BD4E0000}"/>
    <cellStyle name="40% - Accent6 13 2 2 2 2 4" xfId="21137" xr:uid="{00000000-0005-0000-0000-0000BE4E0000}"/>
    <cellStyle name="40% - Accent6 13 2 2 2 3" xfId="6990" xr:uid="{00000000-0005-0000-0000-0000BF4E0000}"/>
    <cellStyle name="40% - Accent6 13 2 2 2 3 2" xfId="14962" xr:uid="{00000000-0005-0000-0000-0000C04E0000}"/>
    <cellStyle name="40% - Accent6 13 2 2 2 3 3" xfId="22909" xr:uid="{00000000-0005-0000-0000-0000C14E0000}"/>
    <cellStyle name="40% - Accent6 13 2 2 2 4" xfId="11426" xr:uid="{00000000-0005-0000-0000-0000C24E0000}"/>
    <cellStyle name="40% - Accent6 13 2 2 2 5" xfId="19381" xr:uid="{00000000-0005-0000-0000-0000C34E0000}"/>
    <cellStyle name="40% - Accent6 13 2 2 2_Exh G" xfId="3332" xr:uid="{00000000-0005-0000-0000-0000C44E0000}"/>
    <cellStyle name="40% - Accent6 13 2 2 3" xfId="4279" xr:uid="{00000000-0005-0000-0000-0000C54E0000}"/>
    <cellStyle name="40% - Accent6 13 2 2 3 2" xfId="7871" xr:uid="{00000000-0005-0000-0000-0000C64E0000}"/>
    <cellStyle name="40% - Accent6 13 2 2 3 2 2" xfId="15842" xr:uid="{00000000-0005-0000-0000-0000C74E0000}"/>
    <cellStyle name="40% - Accent6 13 2 2 3 2 3" xfId="23788" xr:uid="{00000000-0005-0000-0000-0000C84E0000}"/>
    <cellStyle name="40% - Accent6 13 2 2 3 3" xfId="12304" xr:uid="{00000000-0005-0000-0000-0000C94E0000}"/>
    <cellStyle name="40% - Accent6 13 2 2 3 4" xfId="20259" xr:uid="{00000000-0005-0000-0000-0000CA4E0000}"/>
    <cellStyle name="40% - Accent6 13 2 2 4" xfId="6099" xr:uid="{00000000-0005-0000-0000-0000CB4E0000}"/>
    <cellStyle name="40% - Accent6 13 2 2 4 2" xfId="14083" xr:uid="{00000000-0005-0000-0000-0000CC4E0000}"/>
    <cellStyle name="40% - Accent6 13 2 2 4 3" xfId="22031" xr:uid="{00000000-0005-0000-0000-0000CD4E0000}"/>
    <cellStyle name="40% - Accent6 13 2 2 5" xfId="9652" xr:uid="{00000000-0005-0000-0000-0000CE4E0000}"/>
    <cellStyle name="40% - Accent6 13 2 2 5 2" xfId="17610" xr:uid="{00000000-0005-0000-0000-0000CF4E0000}"/>
    <cellStyle name="40% - Accent6 13 2 2 5 3" xfId="25554" xr:uid="{00000000-0005-0000-0000-0000D04E0000}"/>
    <cellStyle name="40% - Accent6 13 2 2 6" xfId="10548" xr:uid="{00000000-0005-0000-0000-0000D14E0000}"/>
    <cellStyle name="40% - Accent6 13 2 2 7" xfId="18503" xr:uid="{00000000-0005-0000-0000-0000D24E0000}"/>
    <cellStyle name="40% - Accent6 13 2 2_Exh G" xfId="3331" xr:uid="{00000000-0005-0000-0000-0000D34E0000}"/>
    <cellStyle name="40% - Accent6 13 2 3" xfId="1627" xr:uid="{00000000-0005-0000-0000-0000D44E0000}"/>
    <cellStyle name="40% - Accent6 13 2 3 2" xfId="5157" xr:uid="{00000000-0005-0000-0000-0000D54E0000}"/>
    <cellStyle name="40% - Accent6 13 2 3 2 2" xfId="8748" xr:uid="{00000000-0005-0000-0000-0000D64E0000}"/>
    <cellStyle name="40% - Accent6 13 2 3 2 2 2" xfId="16719" xr:uid="{00000000-0005-0000-0000-0000D74E0000}"/>
    <cellStyle name="40% - Accent6 13 2 3 2 2 3" xfId="24665" xr:uid="{00000000-0005-0000-0000-0000D84E0000}"/>
    <cellStyle name="40% - Accent6 13 2 3 2 3" xfId="13181" xr:uid="{00000000-0005-0000-0000-0000D94E0000}"/>
    <cellStyle name="40% - Accent6 13 2 3 2 4" xfId="21136" xr:uid="{00000000-0005-0000-0000-0000DA4E0000}"/>
    <cellStyle name="40% - Accent6 13 2 3 3" xfId="6989" xr:uid="{00000000-0005-0000-0000-0000DB4E0000}"/>
    <cellStyle name="40% - Accent6 13 2 3 3 2" xfId="14961" xr:uid="{00000000-0005-0000-0000-0000DC4E0000}"/>
    <cellStyle name="40% - Accent6 13 2 3 3 3" xfId="22908" xr:uid="{00000000-0005-0000-0000-0000DD4E0000}"/>
    <cellStyle name="40% - Accent6 13 2 3 4" xfId="11425" xr:uid="{00000000-0005-0000-0000-0000DE4E0000}"/>
    <cellStyle name="40% - Accent6 13 2 3 5" xfId="19380" xr:uid="{00000000-0005-0000-0000-0000DF4E0000}"/>
    <cellStyle name="40% - Accent6 13 2 3_Exh G" xfId="3333" xr:uid="{00000000-0005-0000-0000-0000E04E0000}"/>
    <cellStyle name="40% - Accent6 13 2 4" xfId="4278" xr:uid="{00000000-0005-0000-0000-0000E14E0000}"/>
    <cellStyle name="40% - Accent6 13 2 4 2" xfId="7870" xr:uid="{00000000-0005-0000-0000-0000E24E0000}"/>
    <cellStyle name="40% - Accent6 13 2 4 2 2" xfId="15841" xr:uid="{00000000-0005-0000-0000-0000E34E0000}"/>
    <cellStyle name="40% - Accent6 13 2 4 2 3" xfId="23787" xr:uid="{00000000-0005-0000-0000-0000E44E0000}"/>
    <cellStyle name="40% - Accent6 13 2 4 3" xfId="12303" xr:uid="{00000000-0005-0000-0000-0000E54E0000}"/>
    <cellStyle name="40% - Accent6 13 2 4 4" xfId="20258" xr:uid="{00000000-0005-0000-0000-0000E64E0000}"/>
    <cellStyle name="40% - Accent6 13 2 5" xfId="6098" xr:uid="{00000000-0005-0000-0000-0000E74E0000}"/>
    <cellStyle name="40% - Accent6 13 2 5 2" xfId="14082" xr:uid="{00000000-0005-0000-0000-0000E84E0000}"/>
    <cellStyle name="40% - Accent6 13 2 5 3" xfId="22030" xr:uid="{00000000-0005-0000-0000-0000E94E0000}"/>
    <cellStyle name="40% - Accent6 13 2 6" xfId="9651" xr:uid="{00000000-0005-0000-0000-0000EA4E0000}"/>
    <cellStyle name="40% - Accent6 13 2 6 2" xfId="17609" xr:uid="{00000000-0005-0000-0000-0000EB4E0000}"/>
    <cellStyle name="40% - Accent6 13 2 6 3" xfId="25553" xr:uid="{00000000-0005-0000-0000-0000EC4E0000}"/>
    <cellStyle name="40% - Accent6 13 2 7" xfId="10547" xr:uid="{00000000-0005-0000-0000-0000ED4E0000}"/>
    <cellStyle name="40% - Accent6 13 2 8" xfId="18502" xr:uid="{00000000-0005-0000-0000-0000EE4E0000}"/>
    <cellStyle name="40% - Accent6 13 2_Exh G" xfId="3330" xr:uid="{00000000-0005-0000-0000-0000EF4E0000}"/>
    <cellStyle name="40% - Accent6 13 3" xfId="601" xr:uid="{00000000-0005-0000-0000-0000F04E0000}"/>
    <cellStyle name="40% - Accent6 13 3 2" xfId="1629" xr:uid="{00000000-0005-0000-0000-0000F14E0000}"/>
    <cellStyle name="40% - Accent6 13 3 2 2" xfId="5159" xr:uid="{00000000-0005-0000-0000-0000F24E0000}"/>
    <cellStyle name="40% - Accent6 13 3 2 2 2" xfId="8750" xr:uid="{00000000-0005-0000-0000-0000F34E0000}"/>
    <cellStyle name="40% - Accent6 13 3 2 2 2 2" xfId="16721" xr:uid="{00000000-0005-0000-0000-0000F44E0000}"/>
    <cellStyle name="40% - Accent6 13 3 2 2 2 3" xfId="24667" xr:uid="{00000000-0005-0000-0000-0000F54E0000}"/>
    <cellStyle name="40% - Accent6 13 3 2 2 3" xfId="13183" xr:uid="{00000000-0005-0000-0000-0000F64E0000}"/>
    <cellStyle name="40% - Accent6 13 3 2 2 4" xfId="21138" xr:uid="{00000000-0005-0000-0000-0000F74E0000}"/>
    <cellStyle name="40% - Accent6 13 3 2 3" xfId="6991" xr:uid="{00000000-0005-0000-0000-0000F84E0000}"/>
    <cellStyle name="40% - Accent6 13 3 2 3 2" xfId="14963" xr:uid="{00000000-0005-0000-0000-0000F94E0000}"/>
    <cellStyle name="40% - Accent6 13 3 2 3 3" xfId="22910" xr:uid="{00000000-0005-0000-0000-0000FA4E0000}"/>
    <cellStyle name="40% - Accent6 13 3 2 4" xfId="11427" xr:uid="{00000000-0005-0000-0000-0000FB4E0000}"/>
    <cellStyle name="40% - Accent6 13 3 2 5" xfId="19382" xr:uid="{00000000-0005-0000-0000-0000FC4E0000}"/>
    <cellStyle name="40% - Accent6 13 3 2_Exh G" xfId="3335" xr:uid="{00000000-0005-0000-0000-0000FD4E0000}"/>
    <cellStyle name="40% - Accent6 13 3 3" xfId="4280" xr:uid="{00000000-0005-0000-0000-0000FE4E0000}"/>
    <cellStyle name="40% - Accent6 13 3 3 2" xfId="7872" xr:uid="{00000000-0005-0000-0000-0000FF4E0000}"/>
    <cellStyle name="40% - Accent6 13 3 3 2 2" xfId="15843" xr:uid="{00000000-0005-0000-0000-0000004F0000}"/>
    <cellStyle name="40% - Accent6 13 3 3 2 3" xfId="23789" xr:uid="{00000000-0005-0000-0000-0000014F0000}"/>
    <cellStyle name="40% - Accent6 13 3 3 3" xfId="12305" xr:uid="{00000000-0005-0000-0000-0000024F0000}"/>
    <cellStyle name="40% - Accent6 13 3 3 4" xfId="20260" xr:uid="{00000000-0005-0000-0000-0000034F0000}"/>
    <cellStyle name="40% - Accent6 13 3 4" xfId="6100" xr:uid="{00000000-0005-0000-0000-0000044F0000}"/>
    <cellStyle name="40% - Accent6 13 3 4 2" xfId="14084" xr:uid="{00000000-0005-0000-0000-0000054F0000}"/>
    <cellStyle name="40% - Accent6 13 3 4 3" xfId="22032" xr:uid="{00000000-0005-0000-0000-0000064F0000}"/>
    <cellStyle name="40% - Accent6 13 3 5" xfId="9653" xr:uid="{00000000-0005-0000-0000-0000074F0000}"/>
    <cellStyle name="40% - Accent6 13 3 5 2" xfId="17611" xr:uid="{00000000-0005-0000-0000-0000084F0000}"/>
    <cellStyle name="40% - Accent6 13 3 5 3" xfId="25555" xr:uid="{00000000-0005-0000-0000-0000094F0000}"/>
    <cellStyle name="40% - Accent6 13 3 6" xfId="10549" xr:uid="{00000000-0005-0000-0000-00000A4F0000}"/>
    <cellStyle name="40% - Accent6 13 3 7" xfId="18504" xr:uid="{00000000-0005-0000-0000-00000B4F0000}"/>
    <cellStyle name="40% - Accent6 13 3_Exh G" xfId="3334" xr:uid="{00000000-0005-0000-0000-00000C4F0000}"/>
    <cellStyle name="40% - Accent6 13 4" xfId="1626" xr:uid="{00000000-0005-0000-0000-00000D4F0000}"/>
    <cellStyle name="40% - Accent6 13 4 2" xfId="5156" xr:uid="{00000000-0005-0000-0000-00000E4F0000}"/>
    <cellStyle name="40% - Accent6 13 4 2 2" xfId="8747" xr:uid="{00000000-0005-0000-0000-00000F4F0000}"/>
    <cellStyle name="40% - Accent6 13 4 2 2 2" xfId="16718" xr:uid="{00000000-0005-0000-0000-0000104F0000}"/>
    <cellStyle name="40% - Accent6 13 4 2 2 3" xfId="24664" xr:uid="{00000000-0005-0000-0000-0000114F0000}"/>
    <cellStyle name="40% - Accent6 13 4 2 3" xfId="13180" xr:uid="{00000000-0005-0000-0000-0000124F0000}"/>
    <cellStyle name="40% - Accent6 13 4 2 4" xfId="21135" xr:uid="{00000000-0005-0000-0000-0000134F0000}"/>
    <cellStyle name="40% - Accent6 13 4 3" xfId="6988" xr:uid="{00000000-0005-0000-0000-0000144F0000}"/>
    <cellStyle name="40% - Accent6 13 4 3 2" xfId="14960" xr:uid="{00000000-0005-0000-0000-0000154F0000}"/>
    <cellStyle name="40% - Accent6 13 4 3 3" xfId="22907" xr:uid="{00000000-0005-0000-0000-0000164F0000}"/>
    <cellStyle name="40% - Accent6 13 4 4" xfId="11424" xr:uid="{00000000-0005-0000-0000-0000174F0000}"/>
    <cellStyle name="40% - Accent6 13 4 5" xfId="19379" xr:uid="{00000000-0005-0000-0000-0000184F0000}"/>
    <cellStyle name="40% - Accent6 13 4_Exh G" xfId="3336" xr:uid="{00000000-0005-0000-0000-0000194F0000}"/>
    <cellStyle name="40% - Accent6 13 5" xfId="4277" xr:uid="{00000000-0005-0000-0000-00001A4F0000}"/>
    <cellStyle name="40% - Accent6 13 5 2" xfId="7869" xr:uid="{00000000-0005-0000-0000-00001B4F0000}"/>
    <cellStyle name="40% - Accent6 13 5 2 2" xfId="15840" xr:uid="{00000000-0005-0000-0000-00001C4F0000}"/>
    <cellStyle name="40% - Accent6 13 5 2 3" xfId="23786" xr:uid="{00000000-0005-0000-0000-00001D4F0000}"/>
    <cellStyle name="40% - Accent6 13 5 3" xfId="12302" xr:uid="{00000000-0005-0000-0000-00001E4F0000}"/>
    <cellStyle name="40% - Accent6 13 5 4" xfId="20257" xr:uid="{00000000-0005-0000-0000-00001F4F0000}"/>
    <cellStyle name="40% - Accent6 13 6" xfId="6097" xr:uid="{00000000-0005-0000-0000-0000204F0000}"/>
    <cellStyle name="40% - Accent6 13 6 2" xfId="14081" xr:uid="{00000000-0005-0000-0000-0000214F0000}"/>
    <cellStyle name="40% - Accent6 13 6 3" xfId="22029" xr:uid="{00000000-0005-0000-0000-0000224F0000}"/>
    <cellStyle name="40% - Accent6 13 7" xfId="9650" xr:uid="{00000000-0005-0000-0000-0000234F0000}"/>
    <cellStyle name="40% - Accent6 13 7 2" xfId="17608" xr:uid="{00000000-0005-0000-0000-0000244F0000}"/>
    <cellStyle name="40% - Accent6 13 7 3" xfId="25552" xr:uid="{00000000-0005-0000-0000-0000254F0000}"/>
    <cellStyle name="40% - Accent6 13 8" xfId="10546" xr:uid="{00000000-0005-0000-0000-0000264F0000}"/>
    <cellStyle name="40% - Accent6 13 9" xfId="18501" xr:uid="{00000000-0005-0000-0000-0000274F0000}"/>
    <cellStyle name="40% - Accent6 13_Exh G" xfId="3329" xr:uid="{00000000-0005-0000-0000-0000284F0000}"/>
    <cellStyle name="40% - Accent6 14" xfId="602" xr:uid="{00000000-0005-0000-0000-0000294F0000}"/>
    <cellStyle name="40% - Accent6 14 2" xfId="603" xr:uid="{00000000-0005-0000-0000-00002A4F0000}"/>
    <cellStyle name="40% - Accent6 14 2 2" xfId="1631" xr:uid="{00000000-0005-0000-0000-00002B4F0000}"/>
    <cellStyle name="40% - Accent6 14 2 2 2" xfId="5161" xr:uid="{00000000-0005-0000-0000-00002C4F0000}"/>
    <cellStyle name="40% - Accent6 14 2 2 2 2" xfId="8752" xr:uid="{00000000-0005-0000-0000-00002D4F0000}"/>
    <cellStyle name="40% - Accent6 14 2 2 2 2 2" xfId="16723" xr:uid="{00000000-0005-0000-0000-00002E4F0000}"/>
    <cellStyle name="40% - Accent6 14 2 2 2 2 3" xfId="24669" xr:uid="{00000000-0005-0000-0000-00002F4F0000}"/>
    <cellStyle name="40% - Accent6 14 2 2 2 3" xfId="13185" xr:uid="{00000000-0005-0000-0000-0000304F0000}"/>
    <cellStyle name="40% - Accent6 14 2 2 2 4" xfId="21140" xr:uid="{00000000-0005-0000-0000-0000314F0000}"/>
    <cellStyle name="40% - Accent6 14 2 2 3" xfId="6993" xr:uid="{00000000-0005-0000-0000-0000324F0000}"/>
    <cellStyle name="40% - Accent6 14 2 2 3 2" xfId="14965" xr:uid="{00000000-0005-0000-0000-0000334F0000}"/>
    <cellStyle name="40% - Accent6 14 2 2 3 3" xfId="22912" xr:uid="{00000000-0005-0000-0000-0000344F0000}"/>
    <cellStyle name="40% - Accent6 14 2 2 4" xfId="11429" xr:uid="{00000000-0005-0000-0000-0000354F0000}"/>
    <cellStyle name="40% - Accent6 14 2 2 5" xfId="19384" xr:uid="{00000000-0005-0000-0000-0000364F0000}"/>
    <cellStyle name="40% - Accent6 14 2 2_Exh G" xfId="3339" xr:uid="{00000000-0005-0000-0000-0000374F0000}"/>
    <cellStyle name="40% - Accent6 14 2 3" xfId="4282" xr:uid="{00000000-0005-0000-0000-0000384F0000}"/>
    <cellStyle name="40% - Accent6 14 2 3 2" xfId="7874" xr:uid="{00000000-0005-0000-0000-0000394F0000}"/>
    <cellStyle name="40% - Accent6 14 2 3 2 2" xfId="15845" xr:uid="{00000000-0005-0000-0000-00003A4F0000}"/>
    <cellStyle name="40% - Accent6 14 2 3 2 3" xfId="23791" xr:uid="{00000000-0005-0000-0000-00003B4F0000}"/>
    <cellStyle name="40% - Accent6 14 2 3 3" xfId="12307" xr:uid="{00000000-0005-0000-0000-00003C4F0000}"/>
    <cellStyle name="40% - Accent6 14 2 3 4" xfId="20262" xr:uid="{00000000-0005-0000-0000-00003D4F0000}"/>
    <cellStyle name="40% - Accent6 14 2 4" xfId="6102" xr:uid="{00000000-0005-0000-0000-00003E4F0000}"/>
    <cellStyle name="40% - Accent6 14 2 4 2" xfId="14086" xr:uid="{00000000-0005-0000-0000-00003F4F0000}"/>
    <cellStyle name="40% - Accent6 14 2 4 3" xfId="22034" xr:uid="{00000000-0005-0000-0000-0000404F0000}"/>
    <cellStyle name="40% - Accent6 14 2 5" xfId="9655" xr:uid="{00000000-0005-0000-0000-0000414F0000}"/>
    <cellStyle name="40% - Accent6 14 2 5 2" xfId="17613" xr:uid="{00000000-0005-0000-0000-0000424F0000}"/>
    <cellStyle name="40% - Accent6 14 2 5 3" xfId="25557" xr:uid="{00000000-0005-0000-0000-0000434F0000}"/>
    <cellStyle name="40% - Accent6 14 2 6" xfId="10551" xr:uid="{00000000-0005-0000-0000-0000444F0000}"/>
    <cellStyle name="40% - Accent6 14 2 7" xfId="18506" xr:uid="{00000000-0005-0000-0000-0000454F0000}"/>
    <cellStyle name="40% - Accent6 14 2_Exh G" xfId="3338" xr:uid="{00000000-0005-0000-0000-0000464F0000}"/>
    <cellStyle name="40% - Accent6 14 3" xfId="1630" xr:uid="{00000000-0005-0000-0000-0000474F0000}"/>
    <cellStyle name="40% - Accent6 14 3 2" xfId="5160" xr:uid="{00000000-0005-0000-0000-0000484F0000}"/>
    <cellStyle name="40% - Accent6 14 3 2 2" xfId="8751" xr:uid="{00000000-0005-0000-0000-0000494F0000}"/>
    <cellStyle name="40% - Accent6 14 3 2 2 2" xfId="16722" xr:uid="{00000000-0005-0000-0000-00004A4F0000}"/>
    <cellStyle name="40% - Accent6 14 3 2 2 3" xfId="24668" xr:uid="{00000000-0005-0000-0000-00004B4F0000}"/>
    <cellStyle name="40% - Accent6 14 3 2 3" xfId="13184" xr:uid="{00000000-0005-0000-0000-00004C4F0000}"/>
    <cellStyle name="40% - Accent6 14 3 2 4" xfId="21139" xr:uid="{00000000-0005-0000-0000-00004D4F0000}"/>
    <cellStyle name="40% - Accent6 14 3 3" xfId="6992" xr:uid="{00000000-0005-0000-0000-00004E4F0000}"/>
    <cellStyle name="40% - Accent6 14 3 3 2" xfId="14964" xr:uid="{00000000-0005-0000-0000-00004F4F0000}"/>
    <cellStyle name="40% - Accent6 14 3 3 3" xfId="22911" xr:uid="{00000000-0005-0000-0000-0000504F0000}"/>
    <cellStyle name="40% - Accent6 14 3 4" xfId="11428" xr:uid="{00000000-0005-0000-0000-0000514F0000}"/>
    <cellStyle name="40% - Accent6 14 3 5" xfId="19383" xr:uid="{00000000-0005-0000-0000-0000524F0000}"/>
    <cellStyle name="40% - Accent6 14 3_Exh G" xfId="3340" xr:uid="{00000000-0005-0000-0000-0000534F0000}"/>
    <cellStyle name="40% - Accent6 14 4" xfId="4281" xr:uid="{00000000-0005-0000-0000-0000544F0000}"/>
    <cellStyle name="40% - Accent6 14 4 2" xfId="7873" xr:uid="{00000000-0005-0000-0000-0000554F0000}"/>
    <cellStyle name="40% - Accent6 14 4 2 2" xfId="15844" xr:uid="{00000000-0005-0000-0000-0000564F0000}"/>
    <cellStyle name="40% - Accent6 14 4 2 3" xfId="23790" xr:uid="{00000000-0005-0000-0000-0000574F0000}"/>
    <cellStyle name="40% - Accent6 14 4 3" xfId="12306" xr:uid="{00000000-0005-0000-0000-0000584F0000}"/>
    <cellStyle name="40% - Accent6 14 4 4" xfId="20261" xr:uid="{00000000-0005-0000-0000-0000594F0000}"/>
    <cellStyle name="40% - Accent6 14 5" xfId="6101" xr:uid="{00000000-0005-0000-0000-00005A4F0000}"/>
    <cellStyle name="40% - Accent6 14 5 2" xfId="14085" xr:uid="{00000000-0005-0000-0000-00005B4F0000}"/>
    <cellStyle name="40% - Accent6 14 5 3" xfId="22033" xr:uid="{00000000-0005-0000-0000-00005C4F0000}"/>
    <cellStyle name="40% - Accent6 14 6" xfId="9654" xr:uid="{00000000-0005-0000-0000-00005D4F0000}"/>
    <cellStyle name="40% - Accent6 14 6 2" xfId="17612" xr:uid="{00000000-0005-0000-0000-00005E4F0000}"/>
    <cellStyle name="40% - Accent6 14 6 3" xfId="25556" xr:uid="{00000000-0005-0000-0000-00005F4F0000}"/>
    <cellStyle name="40% - Accent6 14 7" xfId="10550" xr:uid="{00000000-0005-0000-0000-0000604F0000}"/>
    <cellStyle name="40% - Accent6 14 8" xfId="18505" xr:uid="{00000000-0005-0000-0000-0000614F0000}"/>
    <cellStyle name="40% - Accent6 14_Exh G" xfId="3337" xr:uid="{00000000-0005-0000-0000-0000624F0000}"/>
    <cellStyle name="40% - Accent6 15" xfId="604" xr:uid="{00000000-0005-0000-0000-0000634F0000}"/>
    <cellStyle name="40% - Accent6 15 2" xfId="1632" xr:uid="{00000000-0005-0000-0000-0000644F0000}"/>
    <cellStyle name="40% - Accent6 15 2 2" xfId="5162" xr:uid="{00000000-0005-0000-0000-0000654F0000}"/>
    <cellStyle name="40% - Accent6 15 2 2 2" xfId="8753" xr:uid="{00000000-0005-0000-0000-0000664F0000}"/>
    <cellStyle name="40% - Accent6 15 2 2 2 2" xfId="16724" xr:uid="{00000000-0005-0000-0000-0000674F0000}"/>
    <cellStyle name="40% - Accent6 15 2 2 2 3" xfId="24670" xr:uid="{00000000-0005-0000-0000-0000684F0000}"/>
    <cellStyle name="40% - Accent6 15 2 2 3" xfId="13186" xr:uid="{00000000-0005-0000-0000-0000694F0000}"/>
    <cellStyle name="40% - Accent6 15 2 2 4" xfId="21141" xr:uid="{00000000-0005-0000-0000-00006A4F0000}"/>
    <cellStyle name="40% - Accent6 15 2 3" xfId="6994" xr:uid="{00000000-0005-0000-0000-00006B4F0000}"/>
    <cellStyle name="40% - Accent6 15 2 3 2" xfId="14966" xr:uid="{00000000-0005-0000-0000-00006C4F0000}"/>
    <cellStyle name="40% - Accent6 15 2 3 3" xfId="22913" xr:uid="{00000000-0005-0000-0000-00006D4F0000}"/>
    <cellStyle name="40% - Accent6 15 2 4" xfId="11430" xr:uid="{00000000-0005-0000-0000-00006E4F0000}"/>
    <cellStyle name="40% - Accent6 15 2 5" xfId="19385" xr:uid="{00000000-0005-0000-0000-00006F4F0000}"/>
    <cellStyle name="40% - Accent6 15 2_Exh G" xfId="3342" xr:uid="{00000000-0005-0000-0000-0000704F0000}"/>
    <cellStyle name="40% - Accent6 15 3" xfId="4283" xr:uid="{00000000-0005-0000-0000-0000714F0000}"/>
    <cellStyle name="40% - Accent6 15 3 2" xfId="7875" xr:uid="{00000000-0005-0000-0000-0000724F0000}"/>
    <cellStyle name="40% - Accent6 15 3 2 2" xfId="15846" xr:uid="{00000000-0005-0000-0000-0000734F0000}"/>
    <cellStyle name="40% - Accent6 15 3 2 3" xfId="23792" xr:uid="{00000000-0005-0000-0000-0000744F0000}"/>
    <cellStyle name="40% - Accent6 15 3 3" xfId="12308" xr:uid="{00000000-0005-0000-0000-0000754F0000}"/>
    <cellStyle name="40% - Accent6 15 3 4" xfId="20263" xr:uid="{00000000-0005-0000-0000-0000764F0000}"/>
    <cellStyle name="40% - Accent6 15 4" xfId="6103" xr:uid="{00000000-0005-0000-0000-0000774F0000}"/>
    <cellStyle name="40% - Accent6 15 4 2" xfId="14087" xr:uid="{00000000-0005-0000-0000-0000784F0000}"/>
    <cellStyle name="40% - Accent6 15 4 3" xfId="22035" xr:uid="{00000000-0005-0000-0000-0000794F0000}"/>
    <cellStyle name="40% - Accent6 15 5" xfId="9656" xr:uid="{00000000-0005-0000-0000-00007A4F0000}"/>
    <cellStyle name="40% - Accent6 15 5 2" xfId="17614" xr:uid="{00000000-0005-0000-0000-00007B4F0000}"/>
    <cellStyle name="40% - Accent6 15 5 3" xfId="25558" xr:uid="{00000000-0005-0000-0000-00007C4F0000}"/>
    <cellStyle name="40% - Accent6 15 6" xfId="10552" xr:uid="{00000000-0005-0000-0000-00007D4F0000}"/>
    <cellStyle name="40% - Accent6 15 7" xfId="18507" xr:uid="{00000000-0005-0000-0000-00007E4F0000}"/>
    <cellStyle name="40% - Accent6 15_Exh G" xfId="3341" xr:uid="{00000000-0005-0000-0000-00007F4F0000}"/>
    <cellStyle name="40% - Accent6 16" xfId="854" xr:uid="{00000000-0005-0000-0000-0000804F0000}"/>
    <cellStyle name="40% - Accent6 16 2" xfId="1793" xr:uid="{00000000-0005-0000-0000-0000814F0000}"/>
    <cellStyle name="40% - Accent6 16 2 2" xfId="5314" xr:uid="{00000000-0005-0000-0000-0000824F0000}"/>
    <cellStyle name="40% - Accent6 16 2 2 2" xfId="8905" xr:uid="{00000000-0005-0000-0000-0000834F0000}"/>
    <cellStyle name="40% - Accent6 16 2 2 2 2" xfId="16876" xr:uid="{00000000-0005-0000-0000-0000844F0000}"/>
    <cellStyle name="40% - Accent6 16 2 2 2 3" xfId="24822" xr:uid="{00000000-0005-0000-0000-0000854F0000}"/>
    <cellStyle name="40% - Accent6 16 2 2 3" xfId="13338" xr:uid="{00000000-0005-0000-0000-0000864F0000}"/>
    <cellStyle name="40% - Accent6 16 2 2 4" xfId="21293" xr:uid="{00000000-0005-0000-0000-0000874F0000}"/>
    <cellStyle name="40% - Accent6 16 2 3" xfId="7146" xr:uid="{00000000-0005-0000-0000-0000884F0000}"/>
    <cellStyle name="40% - Accent6 16 2 3 2" xfId="15118" xr:uid="{00000000-0005-0000-0000-0000894F0000}"/>
    <cellStyle name="40% - Accent6 16 2 3 3" xfId="23065" xr:uid="{00000000-0005-0000-0000-00008A4F0000}"/>
    <cellStyle name="40% - Accent6 16 2 4" xfId="11582" xr:uid="{00000000-0005-0000-0000-00008B4F0000}"/>
    <cellStyle name="40% - Accent6 16 2 5" xfId="19537" xr:uid="{00000000-0005-0000-0000-00008C4F0000}"/>
    <cellStyle name="40% - Accent6 16 2_Exh G" xfId="3344" xr:uid="{00000000-0005-0000-0000-00008D4F0000}"/>
    <cellStyle name="40% - Accent6 16 3" xfId="4435" xr:uid="{00000000-0005-0000-0000-00008E4F0000}"/>
    <cellStyle name="40% - Accent6 16 3 2" xfId="8027" xr:uid="{00000000-0005-0000-0000-00008F4F0000}"/>
    <cellStyle name="40% - Accent6 16 3 2 2" xfId="15998" xr:uid="{00000000-0005-0000-0000-0000904F0000}"/>
    <cellStyle name="40% - Accent6 16 3 2 3" xfId="23944" xr:uid="{00000000-0005-0000-0000-0000914F0000}"/>
    <cellStyle name="40% - Accent6 16 3 3" xfId="12460" xr:uid="{00000000-0005-0000-0000-0000924F0000}"/>
    <cellStyle name="40% - Accent6 16 3 4" xfId="20415" xr:uid="{00000000-0005-0000-0000-0000934F0000}"/>
    <cellStyle name="40% - Accent6 16 4" xfId="6265" xr:uid="{00000000-0005-0000-0000-0000944F0000}"/>
    <cellStyle name="40% - Accent6 16 4 2" xfId="14240" xr:uid="{00000000-0005-0000-0000-0000954F0000}"/>
    <cellStyle name="40% - Accent6 16 4 3" xfId="22187" xr:uid="{00000000-0005-0000-0000-0000964F0000}"/>
    <cellStyle name="40% - Accent6 16 5" xfId="9808" xr:uid="{00000000-0005-0000-0000-0000974F0000}"/>
    <cellStyle name="40% - Accent6 16 5 2" xfId="17766" xr:uid="{00000000-0005-0000-0000-0000984F0000}"/>
    <cellStyle name="40% - Accent6 16 5 3" xfId="25710" xr:uid="{00000000-0005-0000-0000-0000994F0000}"/>
    <cellStyle name="40% - Accent6 16 6" xfId="10704" xr:uid="{00000000-0005-0000-0000-00009A4F0000}"/>
    <cellStyle name="40% - Accent6 16 7" xfId="18659" xr:uid="{00000000-0005-0000-0000-00009B4F0000}"/>
    <cellStyle name="40% - Accent6 16_Exh G" xfId="3343" xr:uid="{00000000-0005-0000-0000-00009C4F0000}"/>
    <cellStyle name="40% - Accent6 2" xfId="605" xr:uid="{00000000-0005-0000-0000-00009D4F0000}"/>
    <cellStyle name="40% - Accent6 2 10" xfId="18508" xr:uid="{00000000-0005-0000-0000-00009E4F0000}"/>
    <cellStyle name="40% - Accent6 2 2" xfId="606" xr:uid="{00000000-0005-0000-0000-00009F4F0000}"/>
    <cellStyle name="40% - Accent6 2 2 2" xfId="607" xr:uid="{00000000-0005-0000-0000-0000A04F0000}"/>
    <cellStyle name="40% - Accent6 2 2 2 2" xfId="1635" xr:uid="{00000000-0005-0000-0000-0000A14F0000}"/>
    <cellStyle name="40% - Accent6 2 2 2 2 2" xfId="5165" xr:uid="{00000000-0005-0000-0000-0000A24F0000}"/>
    <cellStyle name="40% - Accent6 2 2 2 2 2 2" xfId="8756" xr:uid="{00000000-0005-0000-0000-0000A34F0000}"/>
    <cellStyle name="40% - Accent6 2 2 2 2 2 2 2" xfId="16727" xr:uid="{00000000-0005-0000-0000-0000A44F0000}"/>
    <cellStyle name="40% - Accent6 2 2 2 2 2 2 3" xfId="24673" xr:uid="{00000000-0005-0000-0000-0000A54F0000}"/>
    <cellStyle name="40% - Accent6 2 2 2 2 2 3" xfId="13189" xr:uid="{00000000-0005-0000-0000-0000A64F0000}"/>
    <cellStyle name="40% - Accent6 2 2 2 2 2 4" xfId="21144" xr:uid="{00000000-0005-0000-0000-0000A74F0000}"/>
    <cellStyle name="40% - Accent6 2 2 2 2 3" xfId="6997" xr:uid="{00000000-0005-0000-0000-0000A84F0000}"/>
    <cellStyle name="40% - Accent6 2 2 2 2 3 2" xfId="14969" xr:uid="{00000000-0005-0000-0000-0000A94F0000}"/>
    <cellStyle name="40% - Accent6 2 2 2 2 3 3" xfId="22916" xr:uid="{00000000-0005-0000-0000-0000AA4F0000}"/>
    <cellStyle name="40% - Accent6 2 2 2 2 4" xfId="11433" xr:uid="{00000000-0005-0000-0000-0000AB4F0000}"/>
    <cellStyle name="40% - Accent6 2 2 2 2 5" xfId="19388" xr:uid="{00000000-0005-0000-0000-0000AC4F0000}"/>
    <cellStyle name="40% - Accent6 2 2 2 2_Exh G" xfId="3348" xr:uid="{00000000-0005-0000-0000-0000AD4F0000}"/>
    <cellStyle name="40% - Accent6 2 2 2 3" xfId="4286" xr:uid="{00000000-0005-0000-0000-0000AE4F0000}"/>
    <cellStyle name="40% - Accent6 2 2 2 3 2" xfId="7878" xr:uid="{00000000-0005-0000-0000-0000AF4F0000}"/>
    <cellStyle name="40% - Accent6 2 2 2 3 2 2" xfId="15849" xr:uid="{00000000-0005-0000-0000-0000B04F0000}"/>
    <cellStyle name="40% - Accent6 2 2 2 3 2 3" xfId="23795" xr:uid="{00000000-0005-0000-0000-0000B14F0000}"/>
    <cellStyle name="40% - Accent6 2 2 2 3 3" xfId="12311" xr:uid="{00000000-0005-0000-0000-0000B24F0000}"/>
    <cellStyle name="40% - Accent6 2 2 2 3 4" xfId="20266" xr:uid="{00000000-0005-0000-0000-0000B34F0000}"/>
    <cellStyle name="40% - Accent6 2 2 2 4" xfId="6106" xr:uid="{00000000-0005-0000-0000-0000B44F0000}"/>
    <cellStyle name="40% - Accent6 2 2 2 4 2" xfId="14090" xr:uid="{00000000-0005-0000-0000-0000B54F0000}"/>
    <cellStyle name="40% - Accent6 2 2 2 4 3" xfId="22038" xr:uid="{00000000-0005-0000-0000-0000B64F0000}"/>
    <cellStyle name="40% - Accent6 2 2 2 5" xfId="9659" xr:uid="{00000000-0005-0000-0000-0000B74F0000}"/>
    <cellStyle name="40% - Accent6 2 2 2 5 2" xfId="17617" xr:uid="{00000000-0005-0000-0000-0000B84F0000}"/>
    <cellStyle name="40% - Accent6 2 2 2 5 3" xfId="25561" xr:uid="{00000000-0005-0000-0000-0000B94F0000}"/>
    <cellStyle name="40% - Accent6 2 2 2 6" xfId="10555" xr:uid="{00000000-0005-0000-0000-0000BA4F0000}"/>
    <cellStyle name="40% - Accent6 2 2 2 7" xfId="18510" xr:uid="{00000000-0005-0000-0000-0000BB4F0000}"/>
    <cellStyle name="40% - Accent6 2 2 2_Exh G" xfId="3347" xr:uid="{00000000-0005-0000-0000-0000BC4F0000}"/>
    <cellStyle name="40% - Accent6 2 2 3" xfId="996" xr:uid="{00000000-0005-0000-0000-0000BD4F0000}"/>
    <cellStyle name="40% - Accent6 2 2 3 2" xfId="1910" xr:uid="{00000000-0005-0000-0000-0000BE4F0000}"/>
    <cellStyle name="40% - Accent6 2 2 3 2 2" xfId="5428" xr:uid="{00000000-0005-0000-0000-0000BF4F0000}"/>
    <cellStyle name="40% - Accent6 2 2 3 2 2 2" xfId="9019" xr:uid="{00000000-0005-0000-0000-0000C04F0000}"/>
    <cellStyle name="40% - Accent6 2 2 3 2 2 2 2" xfId="16990" xr:uid="{00000000-0005-0000-0000-0000C14F0000}"/>
    <cellStyle name="40% - Accent6 2 2 3 2 2 2 3" xfId="24936" xr:uid="{00000000-0005-0000-0000-0000C24F0000}"/>
    <cellStyle name="40% - Accent6 2 2 3 2 2 3" xfId="13452" xr:uid="{00000000-0005-0000-0000-0000C34F0000}"/>
    <cellStyle name="40% - Accent6 2 2 3 2 2 4" xfId="21407" xr:uid="{00000000-0005-0000-0000-0000C44F0000}"/>
    <cellStyle name="40% - Accent6 2 2 3 2 3" xfId="7260" xr:uid="{00000000-0005-0000-0000-0000C54F0000}"/>
    <cellStyle name="40% - Accent6 2 2 3 2 3 2" xfId="15232" xr:uid="{00000000-0005-0000-0000-0000C64F0000}"/>
    <cellStyle name="40% - Accent6 2 2 3 2 3 3" xfId="23179" xr:uid="{00000000-0005-0000-0000-0000C74F0000}"/>
    <cellStyle name="40% - Accent6 2 2 3 2 4" xfId="11696" xr:uid="{00000000-0005-0000-0000-0000C84F0000}"/>
    <cellStyle name="40% - Accent6 2 2 3 2 5" xfId="19651" xr:uid="{00000000-0005-0000-0000-0000C94F0000}"/>
    <cellStyle name="40% - Accent6 2 2 3 2_Exh G" xfId="3350" xr:uid="{00000000-0005-0000-0000-0000CA4F0000}"/>
    <cellStyle name="40% - Accent6 2 2 3 3" xfId="4549" xr:uid="{00000000-0005-0000-0000-0000CB4F0000}"/>
    <cellStyle name="40% - Accent6 2 2 3 3 2" xfId="8141" xr:uid="{00000000-0005-0000-0000-0000CC4F0000}"/>
    <cellStyle name="40% - Accent6 2 2 3 3 2 2" xfId="16112" xr:uid="{00000000-0005-0000-0000-0000CD4F0000}"/>
    <cellStyle name="40% - Accent6 2 2 3 3 2 3" xfId="24058" xr:uid="{00000000-0005-0000-0000-0000CE4F0000}"/>
    <cellStyle name="40% - Accent6 2 2 3 3 3" xfId="12574" xr:uid="{00000000-0005-0000-0000-0000CF4F0000}"/>
    <cellStyle name="40% - Accent6 2 2 3 3 4" xfId="20529" xr:uid="{00000000-0005-0000-0000-0000D04F0000}"/>
    <cellStyle name="40% - Accent6 2 2 3 4" xfId="6379" xr:uid="{00000000-0005-0000-0000-0000D14F0000}"/>
    <cellStyle name="40% - Accent6 2 2 3 4 2" xfId="14354" xr:uid="{00000000-0005-0000-0000-0000D24F0000}"/>
    <cellStyle name="40% - Accent6 2 2 3 4 3" xfId="22301" xr:uid="{00000000-0005-0000-0000-0000D34F0000}"/>
    <cellStyle name="40% - Accent6 2 2 3 5" xfId="9922" xr:uid="{00000000-0005-0000-0000-0000D44F0000}"/>
    <cellStyle name="40% - Accent6 2 2 3 5 2" xfId="17880" xr:uid="{00000000-0005-0000-0000-0000D54F0000}"/>
    <cellStyle name="40% - Accent6 2 2 3 5 3" xfId="25824" xr:uid="{00000000-0005-0000-0000-0000D64F0000}"/>
    <cellStyle name="40% - Accent6 2 2 3 6" xfId="10818" xr:uid="{00000000-0005-0000-0000-0000D74F0000}"/>
    <cellStyle name="40% - Accent6 2 2 3 7" xfId="18773" xr:uid="{00000000-0005-0000-0000-0000D84F0000}"/>
    <cellStyle name="40% - Accent6 2 2 3_Exh G" xfId="3349" xr:uid="{00000000-0005-0000-0000-0000D94F0000}"/>
    <cellStyle name="40% - Accent6 2 2 4" xfId="1634" xr:uid="{00000000-0005-0000-0000-0000DA4F0000}"/>
    <cellStyle name="40% - Accent6 2 2 4 2" xfId="5164" xr:uid="{00000000-0005-0000-0000-0000DB4F0000}"/>
    <cellStyle name="40% - Accent6 2 2 4 2 2" xfId="8755" xr:uid="{00000000-0005-0000-0000-0000DC4F0000}"/>
    <cellStyle name="40% - Accent6 2 2 4 2 2 2" xfId="16726" xr:uid="{00000000-0005-0000-0000-0000DD4F0000}"/>
    <cellStyle name="40% - Accent6 2 2 4 2 2 3" xfId="24672" xr:uid="{00000000-0005-0000-0000-0000DE4F0000}"/>
    <cellStyle name="40% - Accent6 2 2 4 2 3" xfId="13188" xr:uid="{00000000-0005-0000-0000-0000DF4F0000}"/>
    <cellStyle name="40% - Accent6 2 2 4 2 4" xfId="21143" xr:uid="{00000000-0005-0000-0000-0000E04F0000}"/>
    <cellStyle name="40% - Accent6 2 2 4 3" xfId="6996" xr:uid="{00000000-0005-0000-0000-0000E14F0000}"/>
    <cellStyle name="40% - Accent6 2 2 4 3 2" xfId="14968" xr:uid="{00000000-0005-0000-0000-0000E24F0000}"/>
    <cellStyle name="40% - Accent6 2 2 4 3 3" xfId="22915" xr:uid="{00000000-0005-0000-0000-0000E34F0000}"/>
    <cellStyle name="40% - Accent6 2 2 4 4" xfId="11432" xr:uid="{00000000-0005-0000-0000-0000E44F0000}"/>
    <cellStyle name="40% - Accent6 2 2 4 5" xfId="19387" xr:uid="{00000000-0005-0000-0000-0000E54F0000}"/>
    <cellStyle name="40% - Accent6 2 2 4_Exh G" xfId="3351" xr:uid="{00000000-0005-0000-0000-0000E64F0000}"/>
    <cellStyle name="40% - Accent6 2 2 5" xfId="4285" xr:uid="{00000000-0005-0000-0000-0000E74F0000}"/>
    <cellStyle name="40% - Accent6 2 2 5 2" xfId="7877" xr:uid="{00000000-0005-0000-0000-0000E84F0000}"/>
    <cellStyle name="40% - Accent6 2 2 5 2 2" xfId="15848" xr:uid="{00000000-0005-0000-0000-0000E94F0000}"/>
    <cellStyle name="40% - Accent6 2 2 5 2 3" xfId="23794" xr:uid="{00000000-0005-0000-0000-0000EA4F0000}"/>
    <cellStyle name="40% - Accent6 2 2 5 3" xfId="12310" xr:uid="{00000000-0005-0000-0000-0000EB4F0000}"/>
    <cellStyle name="40% - Accent6 2 2 5 4" xfId="20265" xr:uid="{00000000-0005-0000-0000-0000EC4F0000}"/>
    <cellStyle name="40% - Accent6 2 2 6" xfId="6105" xr:uid="{00000000-0005-0000-0000-0000ED4F0000}"/>
    <cellStyle name="40% - Accent6 2 2 6 2" xfId="14089" xr:uid="{00000000-0005-0000-0000-0000EE4F0000}"/>
    <cellStyle name="40% - Accent6 2 2 6 3" xfId="22037" xr:uid="{00000000-0005-0000-0000-0000EF4F0000}"/>
    <cellStyle name="40% - Accent6 2 2 7" xfId="9658" xr:uid="{00000000-0005-0000-0000-0000F04F0000}"/>
    <cellStyle name="40% - Accent6 2 2 7 2" xfId="17616" xr:uid="{00000000-0005-0000-0000-0000F14F0000}"/>
    <cellStyle name="40% - Accent6 2 2 7 3" xfId="25560" xr:uid="{00000000-0005-0000-0000-0000F24F0000}"/>
    <cellStyle name="40% - Accent6 2 2 8" xfId="10554" xr:uid="{00000000-0005-0000-0000-0000F34F0000}"/>
    <cellStyle name="40% - Accent6 2 2 9" xfId="18509" xr:uid="{00000000-0005-0000-0000-0000F44F0000}"/>
    <cellStyle name="40% - Accent6 2 2_Exh G" xfId="3346" xr:uid="{00000000-0005-0000-0000-0000F54F0000}"/>
    <cellStyle name="40% - Accent6 2 3" xfId="608" xr:uid="{00000000-0005-0000-0000-0000F64F0000}"/>
    <cellStyle name="40% - Accent6 2 3 2" xfId="1636" xr:uid="{00000000-0005-0000-0000-0000F74F0000}"/>
    <cellStyle name="40% - Accent6 2 3 2 2" xfId="5166" xr:uid="{00000000-0005-0000-0000-0000F84F0000}"/>
    <cellStyle name="40% - Accent6 2 3 2 2 2" xfId="8757" xr:uid="{00000000-0005-0000-0000-0000F94F0000}"/>
    <cellStyle name="40% - Accent6 2 3 2 2 2 2" xfId="16728" xr:uid="{00000000-0005-0000-0000-0000FA4F0000}"/>
    <cellStyle name="40% - Accent6 2 3 2 2 2 3" xfId="24674" xr:uid="{00000000-0005-0000-0000-0000FB4F0000}"/>
    <cellStyle name="40% - Accent6 2 3 2 2 3" xfId="13190" xr:uid="{00000000-0005-0000-0000-0000FC4F0000}"/>
    <cellStyle name="40% - Accent6 2 3 2 2 4" xfId="21145" xr:uid="{00000000-0005-0000-0000-0000FD4F0000}"/>
    <cellStyle name="40% - Accent6 2 3 2 3" xfId="6998" xr:uid="{00000000-0005-0000-0000-0000FE4F0000}"/>
    <cellStyle name="40% - Accent6 2 3 2 3 2" xfId="14970" xr:uid="{00000000-0005-0000-0000-0000FF4F0000}"/>
    <cellStyle name="40% - Accent6 2 3 2 3 3" xfId="22917" xr:uid="{00000000-0005-0000-0000-000000500000}"/>
    <cellStyle name="40% - Accent6 2 3 2 4" xfId="11434" xr:uid="{00000000-0005-0000-0000-000001500000}"/>
    <cellStyle name="40% - Accent6 2 3 2 5" xfId="19389" xr:uid="{00000000-0005-0000-0000-000002500000}"/>
    <cellStyle name="40% - Accent6 2 3 2_Exh G" xfId="3353" xr:uid="{00000000-0005-0000-0000-000003500000}"/>
    <cellStyle name="40% - Accent6 2 3 3" xfId="4287" xr:uid="{00000000-0005-0000-0000-000004500000}"/>
    <cellStyle name="40% - Accent6 2 3 3 2" xfId="7879" xr:uid="{00000000-0005-0000-0000-000005500000}"/>
    <cellStyle name="40% - Accent6 2 3 3 2 2" xfId="15850" xr:uid="{00000000-0005-0000-0000-000006500000}"/>
    <cellStyle name="40% - Accent6 2 3 3 2 3" xfId="23796" xr:uid="{00000000-0005-0000-0000-000007500000}"/>
    <cellStyle name="40% - Accent6 2 3 3 3" xfId="12312" xr:uid="{00000000-0005-0000-0000-000008500000}"/>
    <cellStyle name="40% - Accent6 2 3 3 4" xfId="20267" xr:uid="{00000000-0005-0000-0000-000009500000}"/>
    <cellStyle name="40% - Accent6 2 3 4" xfId="6107" xr:uid="{00000000-0005-0000-0000-00000A500000}"/>
    <cellStyle name="40% - Accent6 2 3 4 2" xfId="14091" xr:uid="{00000000-0005-0000-0000-00000B500000}"/>
    <cellStyle name="40% - Accent6 2 3 4 3" xfId="22039" xr:uid="{00000000-0005-0000-0000-00000C500000}"/>
    <cellStyle name="40% - Accent6 2 3 5" xfId="9660" xr:uid="{00000000-0005-0000-0000-00000D500000}"/>
    <cellStyle name="40% - Accent6 2 3 5 2" xfId="17618" xr:uid="{00000000-0005-0000-0000-00000E500000}"/>
    <cellStyle name="40% - Accent6 2 3 5 3" xfId="25562" xr:uid="{00000000-0005-0000-0000-00000F500000}"/>
    <cellStyle name="40% - Accent6 2 3 6" xfId="10556" xr:uid="{00000000-0005-0000-0000-000010500000}"/>
    <cellStyle name="40% - Accent6 2 3 7" xfId="18511" xr:uid="{00000000-0005-0000-0000-000011500000}"/>
    <cellStyle name="40% - Accent6 2 3_Exh G" xfId="3352" xr:uid="{00000000-0005-0000-0000-000012500000}"/>
    <cellStyle name="40% - Accent6 2 4" xfId="995" xr:uid="{00000000-0005-0000-0000-000013500000}"/>
    <cellStyle name="40% - Accent6 2 4 2" xfId="1909" xr:uid="{00000000-0005-0000-0000-000014500000}"/>
    <cellStyle name="40% - Accent6 2 4 2 2" xfId="5427" xr:uid="{00000000-0005-0000-0000-000015500000}"/>
    <cellStyle name="40% - Accent6 2 4 2 2 2" xfId="9018" xr:uid="{00000000-0005-0000-0000-000016500000}"/>
    <cellStyle name="40% - Accent6 2 4 2 2 2 2" xfId="16989" xr:uid="{00000000-0005-0000-0000-000017500000}"/>
    <cellStyle name="40% - Accent6 2 4 2 2 2 3" xfId="24935" xr:uid="{00000000-0005-0000-0000-000018500000}"/>
    <cellStyle name="40% - Accent6 2 4 2 2 3" xfId="13451" xr:uid="{00000000-0005-0000-0000-000019500000}"/>
    <cellStyle name="40% - Accent6 2 4 2 2 4" xfId="21406" xr:uid="{00000000-0005-0000-0000-00001A500000}"/>
    <cellStyle name="40% - Accent6 2 4 2 3" xfId="7259" xr:uid="{00000000-0005-0000-0000-00001B500000}"/>
    <cellStyle name="40% - Accent6 2 4 2 3 2" xfId="15231" xr:uid="{00000000-0005-0000-0000-00001C500000}"/>
    <cellStyle name="40% - Accent6 2 4 2 3 3" xfId="23178" xr:uid="{00000000-0005-0000-0000-00001D500000}"/>
    <cellStyle name="40% - Accent6 2 4 2 4" xfId="11695" xr:uid="{00000000-0005-0000-0000-00001E500000}"/>
    <cellStyle name="40% - Accent6 2 4 2 5" xfId="19650" xr:uid="{00000000-0005-0000-0000-00001F500000}"/>
    <cellStyle name="40% - Accent6 2 4 2_Exh G" xfId="3355" xr:uid="{00000000-0005-0000-0000-000020500000}"/>
    <cellStyle name="40% - Accent6 2 4 3" xfId="4548" xr:uid="{00000000-0005-0000-0000-000021500000}"/>
    <cellStyle name="40% - Accent6 2 4 3 2" xfId="8140" xr:uid="{00000000-0005-0000-0000-000022500000}"/>
    <cellStyle name="40% - Accent6 2 4 3 2 2" xfId="16111" xr:uid="{00000000-0005-0000-0000-000023500000}"/>
    <cellStyle name="40% - Accent6 2 4 3 2 3" xfId="24057" xr:uid="{00000000-0005-0000-0000-000024500000}"/>
    <cellStyle name="40% - Accent6 2 4 3 3" xfId="12573" xr:uid="{00000000-0005-0000-0000-000025500000}"/>
    <cellStyle name="40% - Accent6 2 4 3 4" xfId="20528" xr:uid="{00000000-0005-0000-0000-000026500000}"/>
    <cellStyle name="40% - Accent6 2 4 4" xfId="6378" xr:uid="{00000000-0005-0000-0000-000027500000}"/>
    <cellStyle name="40% - Accent6 2 4 4 2" xfId="14353" xr:uid="{00000000-0005-0000-0000-000028500000}"/>
    <cellStyle name="40% - Accent6 2 4 4 3" xfId="22300" xr:uid="{00000000-0005-0000-0000-000029500000}"/>
    <cellStyle name="40% - Accent6 2 4 5" xfId="9921" xr:uid="{00000000-0005-0000-0000-00002A500000}"/>
    <cellStyle name="40% - Accent6 2 4 5 2" xfId="17879" xr:uid="{00000000-0005-0000-0000-00002B500000}"/>
    <cellStyle name="40% - Accent6 2 4 5 3" xfId="25823" xr:uid="{00000000-0005-0000-0000-00002C500000}"/>
    <cellStyle name="40% - Accent6 2 4 6" xfId="10817" xr:uid="{00000000-0005-0000-0000-00002D500000}"/>
    <cellStyle name="40% - Accent6 2 4 7" xfId="18772" xr:uid="{00000000-0005-0000-0000-00002E500000}"/>
    <cellStyle name="40% - Accent6 2 4_Exh G" xfId="3354" xr:uid="{00000000-0005-0000-0000-00002F500000}"/>
    <cellStyle name="40% - Accent6 2 5" xfId="1633" xr:uid="{00000000-0005-0000-0000-000030500000}"/>
    <cellStyle name="40% - Accent6 2 5 2" xfId="5163" xr:uid="{00000000-0005-0000-0000-000031500000}"/>
    <cellStyle name="40% - Accent6 2 5 2 2" xfId="8754" xr:uid="{00000000-0005-0000-0000-000032500000}"/>
    <cellStyle name="40% - Accent6 2 5 2 2 2" xfId="16725" xr:uid="{00000000-0005-0000-0000-000033500000}"/>
    <cellStyle name="40% - Accent6 2 5 2 2 3" xfId="24671" xr:uid="{00000000-0005-0000-0000-000034500000}"/>
    <cellStyle name="40% - Accent6 2 5 2 3" xfId="13187" xr:uid="{00000000-0005-0000-0000-000035500000}"/>
    <cellStyle name="40% - Accent6 2 5 2 4" xfId="21142" xr:uid="{00000000-0005-0000-0000-000036500000}"/>
    <cellStyle name="40% - Accent6 2 5 3" xfId="6995" xr:uid="{00000000-0005-0000-0000-000037500000}"/>
    <cellStyle name="40% - Accent6 2 5 3 2" xfId="14967" xr:uid="{00000000-0005-0000-0000-000038500000}"/>
    <cellStyle name="40% - Accent6 2 5 3 3" xfId="22914" xr:uid="{00000000-0005-0000-0000-000039500000}"/>
    <cellStyle name="40% - Accent6 2 5 4" xfId="11431" xr:uid="{00000000-0005-0000-0000-00003A500000}"/>
    <cellStyle name="40% - Accent6 2 5 5" xfId="19386" xr:uid="{00000000-0005-0000-0000-00003B500000}"/>
    <cellStyle name="40% - Accent6 2 5_Exh G" xfId="3356" xr:uid="{00000000-0005-0000-0000-00003C500000}"/>
    <cellStyle name="40% - Accent6 2 6" xfId="4284" xr:uid="{00000000-0005-0000-0000-00003D500000}"/>
    <cellStyle name="40% - Accent6 2 6 2" xfId="7876" xr:uid="{00000000-0005-0000-0000-00003E500000}"/>
    <cellStyle name="40% - Accent6 2 6 2 2" xfId="15847" xr:uid="{00000000-0005-0000-0000-00003F500000}"/>
    <cellStyle name="40% - Accent6 2 6 2 3" xfId="23793" xr:uid="{00000000-0005-0000-0000-000040500000}"/>
    <cellStyle name="40% - Accent6 2 6 3" xfId="12309" xr:uid="{00000000-0005-0000-0000-000041500000}"/>
    <cellStyle name="40% - Accent6 2 6 4" xfId="20264" xr:uid="{00000000-0005-0000-0000-000042500000}"/>
    <cellStyle name="40% - Accent6 2 7" xfId="6104" xr:uid="{00000000-0005-0000-0000-000043500000}"/>
    <cellStyle name="40% - Accent6 2 7 2" xfId="14088" xr:uid="{00000000-0005-0000-0000-000044500000}"/>
    <cellStyle name="40% - Accent6 2 7 3" xfId="22036" xr:uid="{00000000-0005-0000-0000-000045500000}"/>
    <cellStyle name="40% - Accent6 2 8" xfId="9657" xr:uid="{00000000-0005-0000-0000-000046500000}"/>
    <cellStyle name="40% - Accent6 2 8 2" xfId="17615" xr:uid="{00000000-0005-0000-0000-000047500000}"/>
    <cellStyle name="40% - Accent6 2 8 3" xfId="25559" xr:uid="{00000000-0005-0000-0000-000048500000}"/>
    <cellStyle name="40% - Accent6 2 9" xfId="10553" xr:uid="{00000000-0005-0000-0000-000049500000}"/>
    <cellStyle name="40% - Accent6 2_Exh G" xfId="3345" xr:uid="{00000000-0005-0000-0000-00004A500000}"/>
    <cellStyle name="40% - Accent6 3" xfId="609" xr:uid="{00000000-0005-0000-0000-00004B500000}"/>
    <cellStyle name="40% - Accent6 3 10" xfId="18512" xr:uid="{00000000-0005-0000-0000-00004C500000}"/>
    <cellStyle name="40% - Accent6 3 2" xfId="610" xr:uid="{00000000-0005-0000-0000-00004D500000}"/>
    <cellStyle name="40% - Accent6 3 2 2" xfId="611" xr:uid="{00000000-0005-0000-0000-00004E500000}"/>
    <cellStyle name="40% - Accent6 3 2 2 2" xfId="1639" xr:uid="{00000000-0005-0000-0000-00004F500000}"/>
    <cellStyle name="40% - Accent6 3 2 2 2 2" xfId="5169" xr:uid="{00000000-0005-0000-0000-000050500000}"/>
    <cellStyle name="40% - Accent6 3 2 2 2 2 2" xfId="8760" xr:uid="{00000000-0005-0000-0000-000051500000}"/>
    <cellStyle name="40% - Accent6 3 2 2 2 2 2 2" xfId="16731" xr:uid="{00000000-0005-0000-0000-000052500000}"/>
    <cellStyle name="40% - Accent6 3 2 2 2 2 2 3" xfId="24677" xr:uid="{00000000-0005-0000-0000-000053500000}"/>
    <cellStyle name="40% - Accent6 3 2 2 2 2 3" xfId="13193" xr:uid="{00000000-0005-0000-0000-000054500000}"/>
    <cellStyle name="40% - Accent6 3 2 2 2 2 4" xfId="21148" xr:uid="{00000000-0005-0000-0000-000055500000}"/>
    <cellStyle name="40% - Accent6 3 2 2 2 3" xfId="7001" xr:uid="{00000000-0005-0000-0000-000056500000}"/>
    <cellStyle name="40% - Accent6 3 2 2 2 3 2" xfId="14973" xr:uid="{00000000-0005-0000-0000-000057500000}"/>
    <cellStyle name="40% - Accent6 3 2 2 2 3 3" xfId="22920" xr:uid="{00000000-0005-0000-0000-000058500000}"/>
    <cellStyle name="40% - Accent6 3 2 2 2 4" xfId="11437" xr:uid="{00000000-0005-0000-0000-000059500000}"/>
    <cellStyle name="40% - Accent6 3 2 2 2 5" xfId="19392" xr:uid="{00000000-0005-0000-0000-00005A500000}"/>
    <cellStyle name="40% - Accent6 3 2 2 2_Exh G" xfId="3360" xr:uid="{00000000-0005-0000-0000-00005B500000}"/>
    <cellStyle name="40% - Accent6 3 2 2 3" xfId="4290" xr:uid="{00000000-0005-0000-0000-00005C500000}"/>
    <cellStyle name="40% - Accent6 3 2 2 3 2" xfId="7882" xr:uid="{00000000-0005-0000-0000-00005D500000}"/>
    <cellStyle name="40% - Accent6 3 2 2 3 2 2" xfId="15853" xr:uid="{00000000-0005-0000-0000-00005E500000}"/>
    <cellStyle name="40% - Accent6 3 2 2 3 2 3" xfId="23799" xr:uid="{00000000-0005-0000-0000-00005F500000}"/>
    <cellStyle name="40% - Accent6 3 2 2 3 3" xfId="12315" xr:uid="{00000000-0005-0000-0000-000060500000}"/>
    <cellStyle name="40% - Accent6 3 2 2 3 4" xfId="20270" xr:uid="{00000000-0005-0000-0000-000061500000}"/>
    <cellStyle name="40% - Accent6 3 2 2 4" xfId="6110" xr:uid="{00000000-0005-0000-0000-000062500000}"/>
    <cellStyle name="40% - Accent6 3 2 2 4 2" xfId="14094" xr:uid="{00000000-0005-0000-0000-000063500000}"/>
    <cellStyle name="40% - Accent6 3 2 2 4 3" xfId="22042" xr:uid="{00000000-0005-0000-0000-000064500000}"/>
    <cellStyle name="40% - Accent6 3 2 2 5" xfId="9663" xr:uid="{00000000-0005-0000-0000-000065500000}"/>
    <cellStyle name="40% - Accent6 3 2 2 5 2" xfId="17621" xr:uid="{00000000-0005-0000-0000-000066500000}"/>
    <cellStyle name="40% - Accent6 3 2 2 5 3" xfId="25565" xr:uid="{00000000-0005-0000-0000-000067500000}"/>
    <cellStyle name="40% - Accent6 3 2 2 6" xfId="10559" xr:uid="{00000000-0005-0000-0000-000068500000}"/>
    <cellStyle name="40% - Accent6 3 2 2 7" xfId="18514" xr:uid="{00000000-0005-0000-0000-000069500000}"/>
    <cellStyle name="40% - Accent6 3 2 2_Exh G" xfId="3359" xr:uid="{00000000-0005-0000-0000-00006A500000}"/>
    <cellStyle name="40% - Accent6 3 2 3" xfId="998" xr:uid="{00000000-0005-0000-0000-00006B500000}"/>
    <cellStyle name="40% - Accent6 3 2 3 2" xfId="1912" xr:uid="{00000000-0005-0000-0000-00006C500000}"/>
    <cellStyle name="40% - Accent6 3 2 3 2 2" xfId="5430" xr:uid="{00000000-0005-0000-0000-00006D500000}"/>
    <cellStyle name="40% - Accent6 3 2 3 2 2 2" xfId="9021" xr:uid="{00000000-0005-0000-0000-00006E500000}"/>
    <cellStyle name="40% - Accent6 3 2 3 2 2 2 2" xfId="16992" xr:uid="{00000000-0005-0000-0000-00006F500000}"/>
    <cellStyle name="40% - Accent6 3 2 3 2 2 2 3" xfId="24938" xr:uid="{00000000-0005-0000-0000-000070500000}"/>
    <cellStyle name="40% - Accent6 3 2 3 2 2 3" xfId="13454" xr:uid="{00000000-0005-0000-0000-000071500000}"/>
    <cellStyle name="40% - Accent6 3 2 3 2 2 4" xfId="21409" xr:uid="{00000000-0005-0000-0000-000072500000}"/>
    <cellStyle name="40% - Accent6 3 2 3 2 3" xfId="7262" xr:uid="{00000000-0005-0000-0000-000073500000}"/>
    <cellStyle name="40% - Accent6 3 2 3 2 3 2" xfId="15234" xr:uid="{00000000-0005-0000-0000-000074500000}"/>
    <cellStyle name="40% - Accent6 3 2 3 2 3 3" xfId="23181" xr:uid="{00000000-0005-0000-0000-000075500000}"/>
    <cellStyle name="40% - Accent6 3 2 3 2 4" xfId="11698" xr:uid="{00000000-0005-0000-0000-000076500000}"/>
    <cellStyle name="40% - Accent6 3 2 3 2 5" xfId="19653" xr:uid="{00000000-0005-0000-0000-000077500000}"/>
    <cellStyle name="40% - Accent6 3 2 3 2_Exh G" xfId="3362" xr:uid="{00000000-0005-0000-0000-000078500000}"/>
    <cellStyle name="40% - Accent6 3 2 3 3" xfId="4551" xr:uid="{00000000-0005-0000-0000-000079500000}"/>
    <cellStyle name="40% - Accent6 3 2 3 3 2" xfId="8143" xr:uid="{00000000-0005-0000-0000-00007A500000}"/>
    <cellStyle name="40% - Accent6 3 2 3 3 2 2" xfId="16114" xr:uid="{00000000-0005-0000-0000-00007B500000}"/>
    <cellStyle name="40% - Accent6 3 2 3 3 2 3" xfId="24060" xr:uid="{00000000-0005-0000-0000-00007C500000}"/>
    <cellStyle name="40% - Accent6 3 2 3 3 3" xfId="12576" xr:uid="{00000000-0005-0000-0000-00007D500000}"/>
    <cellStyle name="40% - Accent6 3 2 3 3 4" xfId="20531" xr:uid="{00000000-0005-0000-0000-00007E500000}"/>
    <cellStyle name="40% - Accent6 3 2 3 4" xfId="6381" xr:uid="{00000000-0005-0000-0000-00007F500000}"/>
    <cellStyle name="40% - Accent6 3 2 3 4 2" xfId="14356" xr:uid="{00000000-0005-0000-0000-000080500000}"/>
    <cellStyle name="40% - Accent6 3 2 3 4 3" xfId="22303" xr:uid="{00000000-0005-0000-0000-000081500000}"/>
    <cellStyle name="40% - Accent6 3 2 3 5" xfId="9924" xr:uid="{00000000-0005-0000-0000-000082500000}"/>
    <cellStyle name="40% - Accent6 3 2 3 5 2" xfId="17882" xr:uid="{00000000-0005-0000-0000-000083500000}"/>
    <cellStyle name="40% - Accent6 3 2 3 5 3" xfId="25826" xr:uid="{00000000-0005-0000-0000-000084500000}"/>
    <cellStyle name="40% - Accent6 3 2 3 6" xfId="10820" xr:uid="{00000000-0005-0000-0000-000085500000}"/>
    <cellStyle name="40% - Accent6 3 2 3 7" xfId="18775" xr:uid="{00000000-0005-0000-0000-000086500000}"/>
    <cellStyle name="40% - Accent6 3 2 3_Exh G" xfId="3361" xr:uid="{00000000-0005-0000-0000-000087500000}"/>
    <cellStyle name="40% - Accent6 3 2 4" xfId="1638" xr:uid="{00000000-0005-0000-0000-000088500000}"/>
    <cellStyle name="40% - Accent6 3 2 4 2" xfId="5168" xr:uid="{00000000-0005-0000-0000-000089500000}"/>
    <cellStyle name="40% - Accent6 3 2 4 2 2" xfId="8759" xr:uid="{00000000-0005-0000-0000-00008A500000}"/>
    <cellStyle name="40% - Accent6 3 2 4 2 2 2" xfId="16730" xr:uid="{00000000-0005-0000-0000-00008B500000}"/>
    <cellStyle name="40% - Accent6 3 2 4 2 2 3" xfId="24676" xr:uid="{00000000-0005-0000-0000-00008C500000}"/>
    <cellStyle name="40% - Accent6 3 2 4 2 3" xfId="13192" xr:uid="{00000000-0005-0000-0000-00008D500000}"/>
    <cellStyle name="40% - Accent6 3 2 4 2 4" xfId="21147" xr:uid="{00000000-0005-0000-0000-00008E500000}"/>
    <cellStyle name="40% - Accent6 3 2 4 3" xfId="7000" xr:uid="{00000000-0005-0000-0000-00008F500000}"/>
    <cellStyle name="40% - Accent6 3 2 4 3 2" xfId="14972" xr:uid="{00000000-0005-0000-0000-000090500000}"/>
    <cellStyle name="40% - Accent6 3 2 4 3 3" xfId="22919" xr:uid="{00000000-0005-0000-0000-000091500000}"/>
    <cellStyle name="40% - Accent6 3 2 4 4" xfId="11436" xr:uid="{00000000-0005-0000-0000-000092500000}"/>
    <cellStyle name="40% - Accent6 3 2 4 5" xfId="19391" xr:uid="{00000000-0005-0000-0000-000093500000}"/>
    <cellStyle name="40% - Accent6 3 2 4_Exh G" xfId="3363" xr:uid="{00000000-0005-0000-0000-000094500000}"/>
    <cellStyle name="40% - Accent6 3 2 5" xfId="4289" xr:uid="{00000000-0005-0000-0000-000095500000}"/>
    <cellStyle name="40% - Accent6 3 2 5 2" xfId="7881" xr:uid="{00000000-0005-0000-0000-000096500000}"/>
    <cellStyle name="40% - Accent6 3 2 5 2 2" xfId="15852" xr:uid="{00000000-0005-0000-0000-000097500000}"/>
    <cellStyle name="40% - Accent6 3 2 5 2 3" xfId="23798" xr:uid="{00000000-0005-0000-0000-000098500000}"/>
    <cellStyle name="40% - Accent6 3 2 5 3" xfId="12314" xr:uid="{00000000-0005-0000-0000-000099500000}"/>
    <cellStyle name="40% - Accent6 3 2 5 4" xfId="20269" xr:uid="{00000000-0005-0000-0000-00009A500000}"/>
    <cellStyle name="40% - Accent6 3 2 6" xfId="6109" xr:uid="{00000000-0005-0000-0000-00009B500000}"/>
    <cellStyle name="40% - Accent6 3 2 6 2" xfId="14093" xr:uid="{00000000-0005-0000-0000-00009C500000}"/>
    <cellStyle name="40% - Accent6 3 2 6 3" xfId="22041" xr:uid="{00000000-0005-0000-0000-00009D500000}"/>
    <cellStyle name="40% - Accent6 3 2 7" xfId="9662" xr:uid="{00000000-0005-0000-0000-00009E500000}"/>
    <cellStyle name="40% - Accent6 3 2 7 2" xfId="17620" xr:uid="{00000000-0005-0000-0000-00009F500000}"/>
    <cellStyle name="40% - Accent6 3 2 7 3" xfId="25564" xr:uid="{00000000-0005-0000-0000-0000A0500000}"/>
    <cellStyle name="40% - Accent6 3 2 8" xfId="10558" xr:uid="{00000000-0005-0000-0000-0000A1500000}"/>
    <cellStyle name="40% - Accent6 3 2 9" xfId="18513" xr:uid="{00000000-0005-0000-0000-0000A2500000}"/>
    <cellStyle name="40% - Accent6 3 2_Exh G" xfId="3358" xr:uid="{00000000-0005-0000-0000-0000A3500000}"/>
    <cellStyle name="40% - Accent6 3 3" xfId="612" xr:uid="{00000000-0005-0000-0000-0000A4500000}"/>
    <cellStyle name="40% - Accent6 3 3 2" xfId="1640" xr:uid="{00000000-0005-0000-0000-0000A5500000}"/>
    <cellStyle name="40% - Accent6 3 3 2 2" xfId="5170" xr:uid="{00000000-0005-0000-0000-0000A6500000}"/>
    <cellStyle name="40% - Accent6 3 3 2 2 2" xfId="8761" xr:uid="{00000000-0005-0000-0000-0000A7500000}"/>
    <cellStyle name="40% - Accent6 3 3 2 2 2 2" xfId="16732" xr:uid="{00000000-0005-0000-0000-0000A8500000}"/>
    <cellStyle name="40% - Accent6 3 3 2 2 2 3" xfId="24678" xr:uid="{00000000-0005-0000-0000-0000A9500000}"/>
    <cellStyle name="40% - Accent6 3 3 2 2 3" xfId="13194" xr:uid="{00000000-0005-0000-0000-0000AA500000}"/>
    <cellStyle name="40% - Accent6 3 3 2 2 4" xfId="21149" xr:uid="{00000000-0005-0000-0000-0000AB500000}"/>
    <cellStyle name="40% - Accent6 3 3 2 3" xfId="7002" xr:uid="{00000000-0005-0000-0000-0000AC500000}"/>
    <cellStyle name="40% - Accent6 3 3 2 3 2" xfId="14974" xr:uid="{00000000-0005-0000-0000-0000AD500000}"/>
    <cellStyle name="40% - Accent6 3 3 2 3 3" xfId="22921" xr:uid="{00000000-0005-0000-0000-0000AE500000}"/>
    <cellStyle name="40% - Accent6 3 3 2 4" xfId="11438" xr:uid="{00000000-0005-0000-0000-0000AF500000}"/>
    <cellStyle name="40% - Accent6 3 3 2 5" xfId="19393" xr:uid="{00000000-0005-0000-0000-0000B0500000}"/>
    <cellStyle name="40% - Accent6 3 3 2_Exh G" xfId="3365" xr:uid="{00000000-0005-0000-0000-0000B1500000}"/>
    <cellStyle name="40% - Accent6 3 3 3" xfId="4291" xr:uid="{00000000-0005-0000-0000-0000B2500000}"/>
    <cellStyle name="40% - Accent6 3 3 3 2" xfId="7883" xr:uid="{00000000-0005-0000-0000-0000B3500000}"/>
    <cellStyle name="40% - Accent6 3 3 3 2 2" xfId="15854" xr:uid="{00000000-0005-0000-0000-0000B4500000}"/>
    <cellStyle name="40% - Accent6 3 3 3 2 3" xfId="23800" xr:uid="{00000000-0005-0000-0000-0000B5500000}"/>
    <cellStyle name="40% - Accent6 3 3 3 3" xfId="12316" xr:uid="{00000000-0005-0000-0000-0000B6500000}"/>
    <cellStyle name="40% - Accent6 3 3 3 4" xfId="20271" xr:uid="{00000000-0005-0000-0000-0000B7500000}"/>
    <cellStyle name="40% - Accent6 3 3 4" xfId="6111" xr:uid="{00000000-0005-0000-0000-0000B8500000}"/>
    <cellStyle name="40% - Accent6 3 3 4 2" xfId="14095" xr:uid="{00000000-0005-0000-0000-0000B9500000}"/>
    <cellStyle name="40% - Accent6 3 3 4 3" xfId="22043" xr:uid="{00000000-0005-0000-0000-0000BA500000}"/>
    <cellStyle name="40% - Accent6 3 3 5" xfId="9664" xr:uid="{00000000-0005-0000-0000-0000BB500000}"/>
    <cellStyle name="40% - Accent6 3 3 5 2" xfId="17622" xr:uid="{00000000-0005-0000-0000-0000BC500000}"/>
    <cellStyle name="40% - Accent6 3 3 5 3" xfId="25566" xr:uid="{00000000-0005-0000-0000-0000BD500000}"/>
    <cellStyle name="40% - Accent6 3 3 6" xfId="10560" xr:uid="{00000000-0005-0000-0000-0000BE500000}"/>
    <cellStyle name="40% - Accent6 3 3 7" xfId="18515" xr:uid="{00000000-0005-0000-0000-0000BF500000}"/>
    <cellStyle name="40% - Accent6 3 3_Exh G" xfId="3364" xr:uid="{00000000-0005-0000-0000-0000C0500000}"/>
    <cellStyle name="40% - Accent6 3 4" xfId="997" xr:uid="{00000000-0005-0000-0000-0000C1500000}"/>
    <cellStyle name="40% - Accent6 3 4 2" xfId="1911" xr:uid="{00000000-0005-0000-0000-0000C2500000}"/>
    <cellStyle name="40% - Accent6 3 4 2 2" xfId="5429" xr:uid="{00000000-0005-0000-0000-0000C3500000}"/>
    <cellStyle name="40% - Accent6 3 4 2 2 2" xfId="9020" xr:uid="{00000000-0005-0000-0000-0000C4500000}"/>
    <cellStyle name="40% - Accent6 3 4 2 2 2 2" xfId="16991" xr:uid="{00000000-0005-0000-0000-0000C5500000}"/>
    <cellStyle name="40% - Accent6 3 4 2 2 2 3" xfId="24937" xr:uid="{00000000-0005-0000-0000-0000C6500000}"/>
    <cellStyle name="40% - Accent6 3 4 2 2 3" xfId="13453" xr:uid="{00000000-0005-0000-0000-0000C7500000}"/>
    <cellStyle name="40% - Accent6 3 4 2 2 4" xfId="21408" xr:uid="{00000000-0005-0000-0000-0000C8500000}"/>
    <cellStyle name="40% - Accent6 3 4 2 3" xfId="7261" xr:uid="{00000000-0005-0000-0000-0000C9500000}"/>
    <cellStyle name="40% - Accent6 3 4 2 3 2" xfId="15233" xr:uid="{00000000-0005-0000-0000-0000CA500000}"/>
    <cellStyle name="40% - Accent6 3 4 2 3 3" xfId="23180" xr:uid="{00000000-0005-0000-0000-0000CB500000}"/>
    <cellStyle name="40% - Accent6 3 4 2 4" xfId="11697" xr:uid="{00000000-0005-0000-0000-0000CC500000}"/>
    <cellStyle name="40% - Accent6 3 4 2 5" xfId="19652" xr:uid="{00000000-0005-0000-0000-0000CD500000}"/>
    <cellStyle name="40% - Accent6 3 4 2_Exh G" xfId="3367" xr:uid="{00000000-0005-0000-0000-0000CE500000}"/>
    <cellStyle name="40% - Accent6 3 4 3" xfId="4550" xr:uid="{00000000-0005-0000-0000-0000CF500000}"/>
    <cellStyle name="40% - Accent6 3 4 3 2" xfId="8142" xr:uid="{00000000-0005-0000-0000-0000D0500000}"/>
    <cellStyle name="40% - Accent6 3 4 3 2 2" xfId="16113" xr:uid="{00000000-0005-0000-0000-0000D1500000}"/>
    <cellStyle name="40% - Accent6 3 4 3 2 3" xfId="24059" xr:uid="{00000000-0005-0000-0000-0000D2500000}"/>
    <cellStyle name="40% - Accent6 3 4 3 3" xfId="12575" xr:uid="{00000000-0005-0000-0000-0000D3500000}"/>
    <cellStyle name="40% - Accent6 3 4 3 4" xfId="20530" xr:uid="{00000000-0005-0000-0000-0000D4500000}"/>
    <cellStyle name="40% - Accent6 3 4 4" xfId="6380" xr:uid="{00000000-0005-0000-0000-0000D5500000}"/>
    <cellStyle name="40% - Accent6 3 4 4 2" xfId="14355" xr:uid="{00000000-0005-0000-0000-0000D6500000}"/>
    <cellStyle name="40% - Accent6 3 4 4 3" xfId="22302" xr:uid="{00000000-0005-0000-0000-0000D7500000}"/>
    <cellStyle name="40% - Accent6 3 4 5" xfId="9923" xr:uid="{00000000-0005-0000-0000-0000D8500000}"/>
    <cellStyle name="40% - Accent6 3 4 5 2" xfId="17881" xr:uid="{00000000-0005-0000-0000-0000D9500000}"/>
    <cellStyle name="40% - Accent6 3 4 5 3" xfId="25825" xr:uid="{00000000-0005-0000-0000-0000DA500000}"/>
    <cellStyle name="40% - Accent6 3 4 6" xfId="10819" xr:uid="{00000000-0005-0000-0000-0000DB500000}"/>
    <cellStyle name="40% - Accent6 3 4 7" xfId="18774" xr:uid="{00000000-0005-0000-0000-0000DC500000}"/>
    <cellStyle name="40% - Accent6 3 4_Exh G" xfId="3366" xr:uid="{00000000-0005-0000-0000-0000DD500000}"/>
    <cellStyle name="40% - Accent6 3 5" xfId="1637" xr:uid="{00000000-0005-0000-0000-0000DE500000}"/>
    <cellStyle name="40% - Accent6 3 5 2" xfId="5167" xr:uid="{00000000-0005-0000-0000-0000DF500000}"/>
    <cellStyle name="40% - Accent6 3 5 2 2" xfId="8758" xr:uid="{00000000-0005-0000-0000-0000E0500000}"/>
    <cellStyle name="40% - Accent6 3 5 2 2 2" xfId="16729" xr:uid="{00000000-0005-0000-0000-0000E1500000}"/>
    <cellStyle name="40% - Accent6 3 5 2 2 3" xfId="24675" xr:uid="{00000000-0005-0000-0000-0000E2500000}"/>
    <cellStyle name="40% - Accent6 3 5 2 3" xfId="13191" xr:uid="{00000000-0005-0000-0000-0000E3500000}"/>
    <cellStyle name="40% - Accent6 3 5 2 4" xfId="21146" xr:uid="{00000000-0005-0000-0000-0000E4500000}"/>
    <cellStyle name="40% - Accent6 3 5 3" xfId="6999" xr:uid="{00000000-0005-0000-0000-0000E5500000}"/>
    <cellStyle name="40% - Accent6 3 5 3 2" xfId="14971" xr:uid="{00000000-0005-0000-0000-0000E6500000}"/>
    <cellStyle name="40% - Accent6 3 5 3 3" xfId="22918" xr:uid="{00000000-0005-0000-0000-0000E7500000}"/>
    <cellStyle name="40% - Accent6 3 5 4" xfId="11435" xr:uid="{00000000-0005-0000-0000-0000E8500000}"/>
    <cellStyle name="40% - Accent6 3 5 5" xfId="19390" xr:uid="{00000000-0005-0000-0000-0000E9500000}"/>
    <cellStyle name="40% - Accent6 3 5_Exh G" xfId="3368" xr:uid="{00000000-0005-0000-0000-0000EA500000}"/>
    <cellStyle name="40% - Accent6 3 6" xfId="4288" xr:uid="{00000000-0005-0000-0000-0000EB500000}"/>
    <cellStyle name="40% - Accent6 3 6 2" xfId="7880" xr:uid="{00000000-0005-0000-0000-0000EC500000}"/>
    <cellStyle name="40% - Accent6 3 6 2 2" xfId="15851" xr:uid="{00000000-0005-0000-0000-0000ED500000}"/>
    <cellStyle name="40% - Accent6 3 6 2 3" xfId="23797" xr:uid="{00000000-0005-0000-0000-0000EE500000}"/>
    <cellStyle name="40% - Accent6 3 6 3" xfId="12313" xr:uid="{00000000-0005-0000-0000-0000EF500000}"/>
    <cellStyle name="40% - Accent6 3 6 4" xfId="20268" xr:uid="{00000000-0005-0000-0000-0000F0500000}"/>
    <cellStyle name="40% - Accent6 3 7" xfId="6108" xr:uid="{00000000-0005-0000-0000-0000F1500000}"/>
    <cellStyle name="40% - Accent6 3 7 2" xfId="14092" xr:uid="{00000000-0005-0000-0000-0000F2500000}"/>
    <cellStyle name="40% - Accent6 3 7 3" xfId="22040" xr:uid="{00000000-0005-0000-0000-0000F3500000}"/>
    <cellStyle name="40% - Accent6 3 8" xfId="9661" xr:uid="{00000000-0005-0000-0000-0000F4500000}"/>
    <cellStyle name="40% - Accent6 3 8 2" xfId="17619" xr:uid="{00000000-0005-0000-0000-0000F5500000}"/>
    <cellStyle name="40% - Accent6 3 8 3" xfId="25563" xr:uid="{00000000-0005-0000-0000-0000F6500000}"/>
    <cellStyle name="40% - Accent6 3 9" xfId="10557" xr:uid="{00000000-0005-0000-0000-0000F7500000}"/>
    <cellStyle name="40% - Accent6 3_Exh G" xfId="3357" xr:uid="{00000000-0005-0000-0000-0000F8500000}"/>
    <cellStyle name="40% - Accent6 4" xfId="613" xr:uid="{00000000-0005-0000-0000-0000F9500000}"/>
    <cellStyle name="40% - Accent6 4 10" xfId="18516" xr:uid="{00000000-0005-0000-0000-0000FA500000}"/>
    <cellStyle name="40% - Accent6 4 2" xfId="614" xr:uid="{00000000-0005-0000-0000-0000FB500000}"/>
    <cellStyle name="40% - Accent6 4 2 2" xfId="615" xr:uid="{00000000-0005-0000-0000-0000FC500000}"/>
    <cellStyle name="40% - Accent6 4 2 2 2" xfId="1643" xr:uid="{00000000-0005-0000-0000-0000FD500000}"/>
    <cellStyle name="40% - Accent6 4 2 2 2 2" xfId="5173" xr:uid="{00000000-0005-0000-0000-0000FE500000}"/>
    <cellStyle name="40% - Accent6 4 2 2 2 2 2" xfId="8764" xr:uid="{00000000-0005-0000-0000-0000FF500000}"/>
    <cellStyle name="40% - Accent6 4 2 2 2 2 2 2" xfId="16735" xr:uid="{00000000-0005-0000-0000-000000510000}"/>
    <cellStyle name="40% - Accent6 4 2 2 2 2 2 3" xfId="24681" xr:uid="{00000000-0005-0000-0000-000001510000}"/>
    <cellStyle name="40% - Accent6 4 2 2 2 2 3" xfId="13197" xr:uid="{00000000-0005-0000-0000-000002510000}"/>
    <cellStyle name="40% - Accent6 4 2 2 2 2 4" xfId="21152" xr:uid="{00000000-0005-0000-0000-000003510000}"/>
    <cellStyle name="40% - Accent6 4 2 2 2 3" xfId="7005" xr:uid="{00000000-0005-0000-0000-000004510000}"/>
    <cellStyle name="40% - Accent6 4 2 2 2 3 2" xfId="14977" xr:uid="{00000000-0005-0000-0000-000005510000}"/>
    <cellStyle name="40% - Accent6 4 2 2 2 3 3" xfId="22924" xr:uid="{00000000-0005-0000-0000-000006510000}"/>
    <cellStyle name="40% - Accent6 4 2 2 2 4" xfId="11441" xr:uid="{00000000-0005-0000-0000-000007510000}"/>
    <cellStyle name="40% - Accent6 4 2 2 2 5" xfId="19396" xr:uid="{00000000-0005-0000-0000-000008510000}"/>
    <cellStyle name="40% - Accent6 4 2 2 2_Exh G" xfId="3372" xr:uid="{00000000-0005-0000-0000-000009510000}"/>
    <cellStyle name="40% - Accent6 4 2 2 3" xfId="4294" xr:uid="{00000000-0005-0000-0000-00000A510000}"/>
    <cellStyle name="40% - Accent6 4 2 2 3 2" xfId="7886" xr:uid="{00000000-0005-0000-0000-00000B510000}"/>
    <cellStyle name="40% - Accent6 4 2 2 3 2 2" xfId="15857" xr:uid="{00000000-0005-0000-0000-00000C510000}"/>
    <cellStyle name="40% - Accent6 4 2 2 3 2 3" xfId="23803" xr:uid="{00000000-0005-0000-0000-00000D510000}"/>
    <cellStyle name="40% - Accent6 4 2 2 3 3" xfId="12319" xr:uid="{00000000-0005-0000-0000-00000E510000}"/>
    <cellStyle name="40% - Accent6 4 2 2 3 4" xfId="20274" xr:uid="{00000000-0005-0000-0000-00000F510000}"/>
    <cellStyle name="40% - Accent6 4 2 2 4" xfId="6114" xr:uid="{00000000-0005-0000-0000-000010510000}"/>
    <cellStyle name="40% - Accent6 4 2 2 4 2" xfId="14098" xr:uid="{00000000-0005-0000-0000-000011510000}"/>
    <cellStyle name="40% - Accent6 4 2 2 4 3" xfId="22046" xr:uid="{00000000-0005-0000-0000-000012510000}"/>
    <cellStyle name="40% - Accent6 4 2 2 5" xfId="9667" xr:uid="{00000000-0005-0000-0000-000013510000}"/>
    <cellStyle name="40% - Accent6 4 2 2 5 2" xfId="17625" xr:uid="{00000000-0005-0000-0000-000014510000}"/>
    <cellStyle name="40% - Accent6 4 2 2 5 3" xfId="25569" xr:uid="{00000000-0005-0000-0000-000015510000}"/>
    <cellStyle name="40% - Accent6 4 2 2 6" xfId="10563" xr:uid="{00000000-0005-0000-0000-000016510000}"/>
    <cellStyle name="40% - Accent6 4 2 2 7" xfId="18518" xr:uid="{00000000-0005-0000-0000-000017510000}"/>
    <cellStyle name="40% - Accent6 4 2 2_Exh G" xfId="3371" xr:uid="{00000000-0005-0000-0000-000018510000}"/>
    <cellStyle name="40% - Accent6 4 2 3" xfId="1000" xr:uid="{00000000-0005-0000-0000-000019510000}"/>
    <cellStyle name="40% - Accent6 4 2 3 2" xfId="1914" xr:uid="{00000000-0005-0000-0000-00001A510000}"/>
    <cellStyle name="40% - Accent6 4 2 3 2 2" xfId="5432" xr:uid="{00000000-0005-0000-0000-00001B510000}"/>
    <cellStyle name="40% - Accent6 4 2 3 2 2 2" xfId="9023" xr:uid="{00000000-0005-0000-0000-00001C510000}"/>
    <cellStyle name="40% - Accent6 4 2 3 2 2 2 2" xfId="16994" xr:uid="{00000000-0005-0000-0000-00001D510000}"/>
    <cellStyle name="40% - Accent6 4 2 3 2 2 2 3" xfId="24940" xr:uid="{00000000-0005-0000-0000-00001E510000}"/>
    <cellStyle name="40% - Accent6 4 2 3 2 2 3" xfId="13456" xr:uid="{00000000-0005-0000-0000-00001F510000}"/>
    <cellStyle name="40% - Accent6 4 2 3 2 2 4" xfId="21411" xr:uid="{00000000-0005-0000-0000-000020510000}"/>
    <cellStyle name="40% - Accent6 4 2 3 2 3" xfId="7264" xr:uid="{00000000-0005-0000-0000-000021510000}"/>
    <cellStyle name="40% - Accent6 4 2 3 2 3 2" xfId="15236" xr:uid="{00000000-0005-0000-0000-000022510000}"/>
    <cellStyle name="40% - Accent6 4 2 3 2 3 3" xfId="23183" xr:uid="{00000000-0005-0000-0000-000023510000}"/>
    <cellStyle name="40% - Accent6 4 2 3 2 4" xfId="11700" xr:uid="{00000000-0005-0000-0000-000024510000}"/>
    <cellStyle name="40% - Accent6 4 2 3 2 5" xfId="19655" xr:uid="{00000000-0005-0000-0000-000025510000}"/>
    <cellStyle name="40% - Accent6 4 2 3 2_Exh G" xfId="3374" xr:uid="{00000000-0005-0000-0000-000026510000}"/>
    <cellStyle name="40% - Accent6 4 2 3 3" xfId="4553" xr:uid="{00000000-0005-0000-0000-000027510000}"/>
    <cellStyle name="40% - Accent6 4 2 3 3 2" xfId="8145" xr:uid="{00000000-0005-0000-0000-000028510000}"/>
    <cellStyle name="40% - Accent6 4 2 3 3 2 2" xfId="16116" xr:uid="{00000000-0005-0000-0000-000029510000}"/>
    <cellStyle name="40% - Accent6 4 2 3 3 2 3" xfId="24062" xr:uid="{00000000-0005-0000-0000-00002A510000}"/>
    <cellStyle name="40% - Accent6 4 2 3 3 3" xfId="12578" xr:uid="{00000000-0005-0000-0000-00002B510000}"/>
    <cellStyle name="40% - Accent6 4 2 3 3 4" xfId="20533" xr:uid="{00000000-0005-0000-0000-00002C510000}"/>
    <cellStyle name="40% - Accent6 4 2 3 4" xfId="6383" xr:uid="{00000000-0005-0000-0000-00002D510000}"/>
    <cellStyle name="40% - Accent6 4 2 3 4 2" xfId="14358" xr:uid="{00000000-0005-0000-0000-00002E510000}"/>
    <cellStyle name="40% - Accent6 4 2 3 4 3" xfId="22305" xr:uid="{00000000-0005-0000-0000-00002F510000}"/>
    <cellStyle name="40% - Accent6 4 2 3 5" xfId="9926" xr:uid="{00000000-0005-0000-0000-000030510000}"/>
    <cellStyle name="40% - Accent6 4 2 3 5 2" xfId="17884" xr:uid="{00000000-0005-0000-0000-000031510000}"/>
    <cellStyle name="40% - Accent6 4 2 3 5 3" xfId="25828" xr:uid="{00000000-0005-0000-0000-000032510000}"/>
    <cellStyle name="40% - Accent6 4 2 3 6" xfId="10822" xr:uid="{00000000-0005-0000-0000-000033510000}"/>
    <cellStyle name="40% - Accent6 4 2 3 7" xfId="18777" xr:uid="{00000000-0005-0000-0000-000034510000}"/>
    <cellStyle name="40% - Accent6 4 2 3_Exh G" xfId="3373" xr:uid="{00000000-0005-0000-0000-000035510000}"/>
    <cellStyle name="40% - Accent6 4 2 4" xfId="1642" xr:uid="{00000000-0005-0000-0000-000036510000}"/>
    <cellStyle name="40% - Accent6 4 2 4 2" xfId="5172" xr:uid="{00000000-0005-0000-0000-000037510000}"/>
    <cellStyle name="40% - Accent6 4 2 4 2 2" xfId="8763" xr:uid="{00000000-0005-0000-0000-000038510000}"/>
    <cellStyle name="40% - Accent6 4 2 4 2 2 2" xfId="16734" xr:uid="{00000000-0005-0000-0000-000039510000}"/>
    <cellStyle name="40% - Accent6 4 2 4 2 2 3" xfId="24680" xr:uid="{00000000-0005-0000-0000-00003A510000}"/>
    <cellStyle name="40% - Accent6 4 2 4 2 3" xfId="13196" xr:uid="{00000000-0005-0000-0000-00003B510000}"/>
    <cellStyle name="40% - Accent6 4 2 4 2 4" xfId="21151" xr:uid="{00000000-0005-0000-0000-00003C510000}"/>
    <cellStyle name="40% - Accent6 4 2 4 3" xfId="7004" xr:uid="{00000000-0005-0000-0000-00003D510000}"/>
    <cellStyle name="40% - Accent6 4 2 4 3 2" xfId="14976" xr:uid="{00000000-0005-0000-0000-00003E510000}"/>
    <cellStyle name="40% - Accent6 4 2 4 3 3" xfId="22923" xr:uid="{00000000-0005-0000-0000-00003F510000}"/>
    <cellStyle name="40% - Accent6 4 2 4 4" xfId="11440" xr:uid="{00000000-0005-0000-0000-000040510000}"/>
    <cellStyle name="40% - Accent6 4 2 4 5" xfId="19395" xr:uid="{00000000-0005-0000-0000-000041510000}"/>
    <cellStyle name="40% - Accent6 4 2 4_Exh G" xfId="3375" xr:uid="{00000000-0005-0000-0000-000042510000}"/>
    <cellStyle name="40% - Accent6 4 2 5" xfId="4293" xr:uid="{00000000-0005-0000-0000-000043510000}"/>
    <cellStyle name="40% - Accent6 4 2 5 2" xfId="7885" xr:uid="{00000000-0005-0000-0000-000044510000}"/>
    <cellStyle name="40% - Accent6 4 2 5 2 2" xfId="15856" xr:uid="{00000000-0005-0000-0000-000045510000}"/>
    <cellStyle name="40% - Accent6 4 2 5 2 3" xfId="23802" xr:uid="{00000000-0005-0000-0000-000046510000}"/>
    <cellStyle name="40% - Accent6 4 2 5 3" xfId="12318" xr:uid="{00000000-0005-0000-0000-000047510000}"/>
    <cellStyle name="40% - Accent6 4 2 5 4" xfId="20273" xr:uid="{00000000-0005-0000-0000-000048510000}"/>
    <cellStyle name="40% - Accent6 4 2 6" xfId="6113" xr:uid="{00000000-0005-0000-0000-000049510000}"/>
    <cellStyle name="40% - Accent6 4 2 6 2" xfId="14097" xr:uid="{00000000-0005-0000-0000-00004A510000}"/>
    <cellStyle name="40% - Accent6 4 2 6 3" xfId="22045" xr:uid="{00000000-0005-0000-0000-00004B510000}"/>
    <cellStyle name="40% - Accent6 4 2 7" xfId="9666" xr:uid="{00000000-0005-0000-0000-00004C510000}"/>
    <cellStyle name="40% - Accent6 4 2 7 2" xfId="17624" xr:uid="{00000000-0005-0000-0000-00004D510000}"/>
    <cellStyle name="40% - Accent6 4 2 7 3" xfId="25568" xr:uid="{00000000-0005-0000-0000-00004E510000}"/>
    <cellStyle name="40% - Accent6 4 2 8" xfId="10562" xr:uid="{00000000-0005-0000-0000-00004F510000}"/>
    <cellStyle name="40% - Accent6 4 2 9" xfId="18517" xr:uid="{00000000-0005-0000-0000-000050510000}"/>
    <cellStyle name="40% - Accent6 4 2_Exh G" xfId="3370" xr:uid="{00000000-0005-0000-0000-000051510000}"/>
    <cellStyle name="40% - Accent6 4 3" xfId="616" xr:uid="{00000000-0005-0000-0000-000052510000}"/>
    <cellStyle name="40% - Accent6 4 3 2" xfId="1644" xr:uid="{00000000-0005-0000-0000-000053510000}"/>
    <cellStyle name="40% - Accent6 4 3 2 2" xfId="5174" xr:uid="{00000000-0005-0000-0000-000054510000}"/>
    <cellStyle name="40% - Accent6 4 3 2 2 2" xfId="8765" xr:uid="{00000000-0005-0000-0000-000055510000}"/>
    <cellStyle name="40% - Accent6 4 3 2 2 2 2" xfId="16736" xr:uid="{00000000-0005-0000-0000-000056510000}"/>
    <cellStyle name="40% - Accent6 4 3 2 2 2 3" xfId="24682" xr:uid="{00000000-0005-0000-0000-000057510000}"/>
    <cellStyle name="40% - Accent6 4 3 2 2 3" xfId="13198" xr:uid="{00000000-0005-0000-0000-000058510000}"/>
    <cellStyle name="40% - Accent6 4 3 2 2 4" xfId="21153" xr:uid="{00000000-0005-0000-0000-000059510000}"/>
    <cellStyle name="40% - Accent6 4 3 2 3" xfId="7006" xr:uid="{00000000-0005-0000-0000-00005A510000}"/>
    <cellStyle name="40% - Accent6 4 3 2 3 2" xfId="14978" xr:uid="{00000000-0005-0000-0000-00005B510000}"/>
    <cellStyle name="40% - Accent6 4 3 2 3 3" xfId="22925" xr:uid="{00000000-0005-0000-0000-00005C510000}"/>
    <cellStyle name="40% - Accent6 4 3 2 4" xfId="11442" xr:uid="{00000000-0005-0000-0000-00005D510000}"/>
    <cellStyle name="40% - Accent6 4 3 2 5" xfId="19397" xr:uid="{00000000-0005-0000-0000-00005E510000}"/>
    <cellStyle name="40% - Accent6 4 3 2_Exh G" xfId="3377" xr:uid="{00000000-0005-0000-0000-00005F510000}"/>
    <cellStyle name="40% - Accent6 4 3 3" xfId="4295" xr:uid="{00000000-0005-0000-0000-000060510000}"/>
    <cellStyle name="40% - Accent6 4 3 3 2" xfId="7887" xr:uid="{00000000-0005-0000-0000-000061510000}"/>
    <cellStyle name="40% - Accent6 4 3 3 2 2" xfId="15858" xr:uid="{00000000-0005-0000-0000-000062510000}"/>
    <cellStyle name="40% - Accent6 4 3 3 2 3" xfId="23804" xr:uid="{00000000-0005-0000-0000-000063510000}"/>
    <cellStyle name="40% - Accent6 4 3 3 3" xfId="12320" xr:uid="{00000000-0005-0000-0000-000064510000}"/>
    <cellStyle name="40% - Accent6 4 3 3 4" xfId="20275" xr:uid="{00000000-0005-0000-0000-000065510000}"/>
    <cellStyle name="40% - Accent6 4 3 4" xfId="6115" xr:uid="{00000000-0005-0000-0000-000066510000}"/>
    <cellStyle name="40% - Accent6 4 3 4 2" xfId="14099" xr:uid="{00000000-0005-0000-0000-000067510000}"/>
    <cellStyle name="40% - Accent6 4 3 4 3" xfId="22047" xr:uid="{00000000-0005-0000-0000-000068510000}"/>
    <cellStyle name="40% - Accent6 4 3 5" xfId="9668" xr:uid="{00000000-0005-0000-0000-000069510000}"/>
    <cellStyle name="40% - Accent6 4 3 5 2" xfId="17626" xr:uid="{00000000-0005-0000-0000-00006A510000}"/>
    <cellStyle name="40% - Accent6 4 3 5 3" xfId="25570" xr:uid="{00000000-0005-0000-0000-00006B510000}"/>
    <cellStyle name="40% - Accent6 4 3 6" xfId="10564" xr:uid="{00000000-0005-0000-0000-00006C510000}"/>
    <cellStyle name="40% - Accent6 4 3 7" xfId="18519" xr:uid="{00000000-0005-0000-0000-00006D510000}"/>
    <cellStyle name="40% - Accent6 4 3_Exh G" xfId="3376" xr:uid="{00000000-0005-0000-0000-00006E510000}"/>
    <cellStyle name="40% - Accent6 4 4" xfId="999" xr:uid="{00000000-0005-0000-0000-00006F510000}"/>
    <cellStyle name="40% - Accent6 4 4 2" xfId="1913" xr:uid="{00000000-0005-0000-0000-000070510000}"/>
    <cellStyle name="40% - Accent6 4 4 2 2" xfId="5431" xr:uid="{00000000-0005-0000-0000-000071510000}"/>
    <cellStyle name="40% - Accent6 4 4 2 2 2" xfId="9022" xr:uid="{00000000-0005-0000-0000-000072510000}"/>
    <cellStyle name="40% - Accent6 4 4 2 2 2 2" xfId="16993" xr:uid="{00000000-0005-0000-0000-000073510000}"/>
    <cellStyle name="40% - Accent6 4 4 2 2 2 3" xfId="24939" xr:uid="{00000000-0005-0000-0000-000074510000}"/>
    <cellStyle name="40% - Accent6 4 4 2 2 3" xfId="13455" xr:uid="{00000000-0005-0000-0000-000075510000}"/>
    <cellStyle name="40% - Accent6 4 4 2 2 4" xfId="21410" xr:uid="{00000000-0005-0000-0000-000076510000}"/>
    <cellStyle name="40% - Accent6 4 4 2 3" xfId="7263" xr:uid="{00000000-0005-0000-0000-000077510000}"/>
    <cellStyle name="40% - Accent6 4 4 2 3 2" xfId="15235" xr:uid="{00000000-0005-0000-0000-000078510000}"/>
    <cellStyle name="40% - Accent6 4 4 2 3 3" xfId="23182" xr:uid="{00000000-0005-0000-0000-000079510000}"/>
    <cellStyle name="40% - Accent6 4 4 2 4" xfId="11699" xr:uid="{00000000-0005-0000-0000-00007A510000}"/>
    <cellStyle name="40% - Accent6 4 4 2 5" xfId="19654" xr:uid="{00000000-0005-0000-0000-00007B510000}"/>
    <cellStyle name="40% - Accent6 4 4 2_Exh G" xfId="3379" xr:uid="{00000000-0005-0000-0000-00007C510000}"/>
    <cellStyle name="40% - Accent6 4 4 3" xfId="4552" xr:uid="{00000000-0005-0000-0000-00007D510000}"/>
    <cellStyle name="40% - Accent6 4 4 3 2" xfId="8144" xr:uid="{00000000-0005-0000-0000-00007E510000}"/>
    <cellStyle name="40% - Accent6 4 4 3 2 2" xfId="16115" xr:uid="{00000000-0005-0000-0000-00007F510000}"/>
    <cellStyle name="40% - Accent6 4 4 3 2 3" xfId="24061" xr:uid="{00000000-0005-0000-0000-000080510000}"/>
    <cellStyle name="40% - Accent6 4 4 3 3" xfId="12577" xr:uid="{00000000-0005-0000-0000-000081510000}"/>
    <cellStyle name="40% - Accent6 4 4 3 4" xfId="20532" xr:uid="{00000000-0005-0000-0000-000082510000}"/>
    <cellStyle name="40% - Accent6 4 4 4" xfId="6382" xr:uid="{00000000-0005-0000-0000-000083510000}"/>
    <cellStyle name="40% - Accent6 4 4 4 2" xfId="14357" xr:uid="{00000000-0005-0000-0000-000084510000}"/>
    <cellStyle name="40% - Accent6 4 4 4 3" xfId="22304" xr:uid="{00000000-0005-0000-0000-000085510000}"/>
    <cellStyle name="40% - Accent6 4 4 5" xfId="9925" xr:uid="{00000000-0005-0000-0000-000086510000}"/>
    <cellStyle name="40% - Accent6 4 4 5 2" xfId="17883" xr:uid="{00000000-0005-0000-0000-000087510000}"/>
    <cellStyle name="40% - Accent6 4 4 5 3" xfId="25827" xr:uid="{00000000-0005-0000-0000-000088510000}"/>
    <cellStyle name="40% - Accent6 4 4 6" xfId="10821" xr:uid="{00000000-0005-0000-0000-000089510000}"/>
    <cellStyle name="40% - Accent6 4 4 7" xfId="18776" xr:uid="{00000000-0005-0000-0000-00008A510000}"/>
    <cellStyle name="40% - Accent6 4 4_Exh G" xfId="3378" xr:uid="{00000000-0005-0000-0000-00008B510000}"/>
    <cellStyle name="40% - Accent6 4 5" xfId="1641" xr:uid="{00000000-0005-0000-0000-00008C510000}"/>
    <cellStyle name="40% - Accent6 4 5 2" xfId="5171" xr:uid="{00000000-0005-0000-0000-00008D510000}"/>
    <cellStyle name="40% - Accent6 4 5 2 2" xfId="8762" xr:uid="{00000000-0005-0000-0000-00008E510000}"/>
    <cellStyle name="40% - Accent6 4 5 2 2 2" xfId="16733" xr:uid="{00000000-0005-0000-0000-00008F510000}"/>
    <cellStyle name="40% - Accent6 4 5 2 2 3" xfId="24679" xr:uid="{00000000-0005-0000-0000-000090510000}"/>
    <cellStyle name="40% - Accent6 4 5 2 3" xfId="13195" xr:uid="{00000000-0005-0000-0000-000091510000}"/>
    <cellStyle name="40% - Accent6 4 5 2 4" xfId="21150" xr:uid="{00000000-0005-0000-0000-000092510000}"/>
    <cellStyle name="40% - Accent6 4 5 3" xfId="7003" xr:uid="{00000000-0005-0000-0000-000093510000}"/>
    <cellStyle name="40% - Accent6 4 5 3 2" xfId="14975" xr:uid="{00000000-0005-0000-0000-000094510000}"/>
    <cellStyle name="40% - Accent6 4 5 3 3" xfId="22922" xr:uid="{00000000-0005-0000-0000-000095510000}"/>
    <cellStyle name="40% - Accent6 4 5 4" xfId="11439" xr:uid="{00000000-0005-0000-0000-000096510000}"/>
    <cellStyle name="40% - Accent6 4 5 5" xfId="19394" xr:uid="{00000000-0005-0000-0000-000097510000}"/>
    <cellStyle name="40% - Accent6 4 5_Exh G" xfId="3380" xr:uid="{00000000-0005-0000-0000-000098510000}"/>
    <cellStyle name="40% - Accent6 4 6" xfId="4292" xr:uid="{00000000-0005-0000-0000-000099510000}"/>
    <cellStyle name="40% - Accent6 4 6 2" xfId="7884" xr:uid="{00000000-0005-0000-0000-00009A510000}"/>
    <cellStyle name="40% - Accent6 4 6 2 2" xfId="15855" xr:uid="{00000000-0005-0000-0000-00009B510000}"/>
    <cellStyle name="40% - Accent6 4 6 2 3" xfId="23801" xr:uid="{00000000-0005-0000-0000-00009C510000}"/>
    <cellStyle name="40% - Accent6 4 6 3" xfId="12317" xr:uid="{00000000-0005-0000-0000-00009D510000}"/>
    <cellStyle name="40% - Accent6 4 6 4" xfId="20272" xr:uid="{00000000-0005-0000-0000-00009E510000}"/>
    <cellStyle name="40% - Accent6 4 7" xfId="6112" xr:uid="{00000000-0005-0000-0000-00009F510000}"/>
    <cellStyle name="40% - Accent6 4 7 2" xfId="14096" xr:uid="{00000000-0005-0000-0000-0000A0510000}"/>
    <cellStyle name="40% - Accent6 4 7 3" xfId="22044" xr:uid="{00000000-0005-0000-0000-0000A1510000}"/>
    <cellStyle name="40% - Accent6 4 8" xfId="9665" xr:uid="{00000000-0005-0000-0000-0000A2510000}"/>
    <cellStyle name="40% - Accent6 4 8 2" xfId="17623" xr:uid="{00000000-0005-0000-0000-0000A3510000}"/>
    <cellStyle name="40% - Accent6 4 8 3" xfId="25567" xr:uid="{00000000-0005-0000-0000-0000A4510000}"/>
    <cellStyle name="40% - Accent6 4 9" xfId="10561" xr:uid="{00000000-0005-0000-0000-0000A5510000}"/>
    <cellStyle name="40% - Accent6 4_Exh G" xfId="3369" xr:uid="{00000000-0005-0000-0000-0000A6510000}"/>
    <cellStyle name="40% - Accent6 5" xfId="617" xr:uid="{00000000-0005-0000-0000-0000A7510000}"/>
    <cellStyle name="40% - Accent6 5 10" xfId="18520" xr:uid="{00000000-0005-0000-0000-0000A8510000}"/>
    <cellStyle name="40% - Accent6 5 2" xfId="618" xr:uid="{00000000-0005-0000-0000-0000A9510000}"/>
    <cellStyle name="40% - Accent6 5 2 2" xfId="619" xr:uid="{00000000-0005-0000-0000-0000AA510000}"/>
    <cellStyle name="40% - Accent6 5 2 2 2" xfId="1647" xr:uid="{00000000-0005-0000-0000-0000AB510000}"/>
    <cellStyle name="40% - Accent6 5 2 2 2 2" xfId="5177" xr:uid="{00000000-0005-0000-0000-0000AC510000}"/>
    <cellStyle name="40% - Accent6 5 2 2 2 2 2" xfId="8768" xr:uid="{00000000-0005-0000-0000-0000AD510000}"/>
    <cellStyle name="40% - Accent6 5 2 2 2 2 2 2" xfId="16739" xr:uid="{00000000-0005-0000-0000-0000AE510000}"/>
    <cellStyle name="40% - Accent6 5 2 2 2 2 2 3" xfId="24685" xr:uid="{00000000-0005-0000-0000-0000AF510000}"/>
    <cellStyle name="40% - Accent6 5 2 2 2 2 3" xfId="13201" xr:uid="{00000000-0005-0000-0000-0000B0510000}"/>
    <cellStyle name="40% - Accent6 5 2 2 2 2 4" xfId="21156" xr:uid="{00000000-0005-0000-0000-0000B1510000}"/>
    <cellStyle name="40% - Accent6 5 2 2 2 3" xfId="7009" xr:uid="{00000000-0005-0000-0000-0000B2510000}"/>
    <cellStyle name="40% - Accent6 5 2 2 2 3 2" xfId="14981" xr:uid="{00000000-0005-0000-0000-0000B3510000}"/>
    <cellStyle name="40% - Accent6 5 2 2 2 3 3" xfId="22928" xr:uid="{00000000-0005-0000-0000-0000B4510000}"/>
    <cellStyle name="40% - Accent6 5 2 2 2 4" xfId="11445" xr:uid="{00000000-0005-0000-0000-0000B5510000}"/>
    <cellStyle name="40% - Accent6 5 2 2 2 5" xfId="19400" xr:uid="{00000000-0005-0000-0000-0000B6510000}"/>
    <cellStyle name="40% - Accent6 5 2 2 2_Exh G" xfId="3384" xr:uid="{00000000-0005-0000-0000-0000B7510000}"/>
    <cellStyle name="40% - Accent6 5 2 2 3" xfId="4298" xr:uid="{00000000-0005-0000-0000-0000B8510000}"/>
    <cellStyle name="40% - Accent6 5 2 2 3 2" xfId="7890" xr:uid="{00000000-0005-0000-0000-0000B9510000}"/>
    <cellStyle name="40% - Accent6 5 2 2 3 2 2" xfId="15861" xr:uid="{00000000-0005-0000-0000-0000BA510000}"/>
    <cellStyle name="40% - Accent6 5 2 2 3 2 3" xfId="23807" xr:uid="{00000000-0005-0000-0000-0000BB510000}"/>
    <cellStyle name="40% - Accent6 5 2 2 3 3" xfId="12323" xr:uid="{00000000-0005-0000-0000-0000BC510000}"/>
    <cellStyle name="40% - Accent6 5 2 2 3 4" xfId="20278" xr:uid="{00000000-0005-0000-0000-0000BD510000}"/>
    <cellStyle name="40% - Accent6 5 2 2 4" xfId="6118" xr:uid="{00000000-0005-0000-0000-0000BE510000}"/>
    <cellStyle name="40% - Accent6 5 2 2 4 2" xfId="14102" xr:uid="{00000000-0005-0000-0000-0000BF510000}"/>
    <cellStyle name="40% - Accent6 5 2 2 4 3" xfId="22050" xr:uid="{00000000-0005-0000-0000-0000C0510000}"/>
    <cellStyle name="40% - Accent6 5 2 2 5" xfId="9671" xr:uid="{00000000-0005-0000-0000-0000C1510000}"/>
    <cellStyle name="40% - Accent6 5 2 2 5 2" xfId="17629" xr:uid="{00000000-0005-0000-0000-0000C2510000}"/>
    <cellStyle name="40% - Accent6 5 2 2 5 3" xfId="25573" xr:uid="{00000000-0005-0000-0000-0000C3510000}"/>
    <cellStyle name="40% - Accent6 5 2 2 6" xfId="10567" xr:uid="{00000000-0005-0000-0000-0000C4510000}"/>
    <cellStyle name="40% - Accent6 5 2 2 7" xfId="18522" xr:uid="{00000000-0005-0000-0000-0000C5510000}"/>
    <cellStyle name="40% - Accent6 5 2 2_Exh G" xfId="3383" xr:uid="{00000000-0005-0000-0000-0000C6510000}"/>
    <cellStyle name="40% - Accent6 5 2 3" xfId="1646" xr:uid="{00000000-0005-0000-0000-0000C7510000}"/>
    <cellStyle name="40% - Accent6 5 2 3 2" xfId="5176" xr:uid="{00000000-0005-0000-0000-0000C8510000}"/>
    <cellStyle name="40% - Accent6 5 2 3 2 2" xfId="8767" xr:uid="{00000000-0005-0000-0000-0000C9510000}"/>
    <cellStyle name="40% - Accent6 5 2 3 2 2 2" xfId="16738" xr:uid="{00000000-0005-0000-0000-0000CA510000}"/>
    <cellStyle name="40% - Accent6 5 2 3 2 2 3" xfId="24684" xr:uid="{00000000-0005-0000-0000-0000CB510000}"/>
    <cellStyle name="40% - Accent6 5 2 3 2 3" xfId="13200" xr:uid="{00000000-0005-0000-0000-0000CC510000}"/>
    <cellStyle name="40% - Accent6 5 2 3 2 4" xfId="21155" xr:uid="{00000000-0005-0000-0000-0000CD510000}"/>
    <cellStyle name="40% - Accent6 5 2 3 3" xfId="7008" xr:uid="{00000000-0005-0000-0000-0000CE510000}"/>
    <cellStyle name="40% - Accent6 5 2 3 3 2" xfId="14980" xr:uid="{00000000-0005-0000-0000-0000CF510000}"/>
    <cellStyle name="40% - Accent6 5 2 3 3 3" xfId="22927" xr:uid="{00000000-0005-0000-0000-0000D0510000}"/>
    <cellStyle name="40% - Accent6 5 2 3 4" xfId="11444" xr:uid="{00000000-0005-0000-0000-0000D1510000}"/>
    <cellStyle name="40% - Accent6 5 2 3 5" xfId="19399" xr:uid="{00000000-0005-0000-0000-0000D2510000}"/>
    <cellStyle name="40% - Accent6 5 2 3_Exh G" xfId="3385" xr:uid="{00000000-0005-0000-0000-0000D3510000}"/>
    <cellStyle name="40% - Accent6 5 2 4" xfId="4297" xr:uid="{00000000-0005-0000-0000-0000D4510000}"/>
    <cellStyle name="40% - Accent6 5 2 4 2" xfId="7889" xr:uid="{00000000-0005-0000-0000-0000D5510000}"/>
    <cellStyle name="40% - Accent6 5 2 4 2 2" xfId="15860" xr:uid="{00000000-0005-0000-0000-0000D6510000}"/>
    <cellStyle name="40% - Accent6 5 2 4 2 3" xfId="23806" xr:uid="{00000000-0005-0000-0000-0000D7510000}"/>
    <cellStyle name="40% - Accent6 5 2 4 3" xfId="12322" xr:uid="{00000000-0005-0000-0000-0000D8510000}"/>
    <cellStyle name="40% - Accent6 5 2 4 4" xfId="20277" xr:uid="{00000000-0005-0000-0000-0000D9510000}"/>
    <cellStyle name="40% - Accent6 5 2 5" xfId="6117" xr:uid="{00000000-0005-0000-0000-0000DA510000}"/>
    <cellStyle name="40% - Accent6 5 2 5 2" xfId="14101" xr:uid="{00000000-0005-0000-0000-0000DB510000}"/>
    <cellStyle name="40% - Accent6 5 2 5 3" xfId="22049" xr:uid="{00000000-0005-0000-0000-0000DC510000}"/>
    <cellStyle name="40% - Accent6 5 2 6" xfId="9670" xr:uid="{00000000-0005-0000-0000-0000DD510000}"/>
    <cellStyle name="40% - Accent6 5 2 6 2" xfId="17628" xr:uid="{00000000-0005-0000-0000-0000DE510000}"/>
    <cellStyle name="40% - Accent6 5 2 6 3" xfId="25572" xr:uid="{00000000-0005-0000-0000-0000DF510000}"/>
    <cellStyle name="40% - Accent6 5 2 7" xfId="10566" xr:uid="{00000000-0005-0000-0000-0000E0510000}"/>
    <cellStyle name="40% - Accent6 5 2 8" xfId="18521" xr:uid="{00000000-0005-0000-0000-0000E1510000}"/>
    <cellStyle name="40% - Accent6 5 2_Exh G" xfId="3382" xr:uid="{00000000-0005-0000-0000-0000E2510000}"/>
    <cellStyle name="40% - Accent6 5 3" xfId="620" xr:uid="{00000000-0005-0000-0000-0000E3510000}"/>
    <cellStyle name="40% - Accent6 5 3 2" xfId="1648" xr:uid="{00000000-0005-0000-0000-0000E4510000}"/>
    <cellStyle name="40% - Accent6 5 3 2 2" xfId="5178" xr:uid="{00000000-0005-0000-0000-0000E5510000}"/>
    <cellStyle name="40% - Accent6 5 3 2 2 2" xfId="8769" xr:uid="{00000000-0005-0000-0000-0000E6510000}"/>
    <cellStyle name="40% - Accent6 5 3 2 2 2 2" xfId="16740" xr:uid="{00000000-0005-0000-0000-0000E7510000}"/>
    <cellStyle name="40% - Accent6 5 3 2 2 2 3" xfId="24686" xr:uid="{00000000-0005-0000-0000-0000E8510000}"/>
    <cellStyle name="40% - Accent6 5 3 2 2 3" xfId="13202" xr:uid="{00000000-0005-0000-0000-0000E9510000}"/>
    <cellStyle name="40% - Accent6 5 3 2 2 4" xfId="21157" xr:uid="{00000000-0005-0000-0000-0000EA510000}"/>
    <cellStyle name="40% - Accent6 5 3 2 3" xfId="7010" xr:uid="{00000000-0005-0000-0000-0000EB510000}"/>
    <cellStyle name="40% - Accent6 5 3 2 3 2" xfId="14982" xr:uid="{00000000-0005-0000-0000-0000EC510000}"/>
    <cellStyle name="40% - Accent6 5 3 2 3 3" xfId="22929" xr:uid="{00000000-0005-0000-0000-0000ED510000}"/>
    <cellStyle name="40% - Accent6 5 3 2 4" xfId="11446" xr:uid="{00000000-0005-0000-0000-0000EE510000}"/>
    <cellStyle name="40% - Accent6 5 3 2 5" xfId="19401" xr:uid="{00000000-0005-0000-0000-0000EF510000}"/>
    <cellStyle name="40% - Accent6 5 3 2_Exh G" xfId="3387" xr:uid="{00000000-0005-0000-0000-0000F0510000}"/>
    <cellStyle name="40% - Accent6 5 3 3" xfId="4299" xr:uid="{00000000-0005-0000-0000-0000F1510000}"/>
    <cellStyle name="40% - Accent6 5 3 3 2" xfId="7891" xr:uid="{00000000-0005-0000-0000-0000F2510000}"/>
    <cellStyle name="40% - Accent6 5 3 3 2 2" xfId="15862" xr:uid="{00000000-0005-0000-0000-0000F3510000}"/>
    <cellStyle name="40% - Accent6 5 3 3 2 3" xfId="23808" xr:uid="{00000000-0005-0000-0000-0000F4510000}"/>
    <cellStyle name="40% - Accent6 5 3 3 3" xfId="12324" xr:uid="{00000000-0005-0000-0000-0000F5510000}"/>
    <cellStyle name="40% - Accent6 5 3 3 4" xfId="20279" xr:uid="{00000000-0005-0000-0000-0000F6510000}"/>
    <cellStyle name="40% - Accent6 5 3 4" xfId="6119" xr:uid="{00000000-0005-0000-0000-0000F7510000}"/>
    <cellStyle name="40% - Accent6 5 3 4 2" xfId="14103" xr:uid="{00000000-0005-0000-0000-0000F8510000}"/>
    <cellStyle name="40% - Accent6 5 3 4 3" xfId="22051" xr:uid="{00000000-0005-0000-0000-0000F9510000}"/>
    <cellStyle name="40% - Accent6 5 3 5" xfId="9672" xr:uid="{00000000-0005-0000-0000-0000FA510000}"/>
    <cellStyle name="40% - Accent6 5 3 5 2" xfId="17630" xr:uid="{00000000-0005-0000-0000-0000FB510000}"/>
    <cellStyle name="40% - Accent6 5 3 5 3" xfId="25574" xr:uid="{00000000-0005-0000-0000-0000FC510000}"/>
    <cellStyle name="40% - Accent6 5 3 6" xfId="10568" xr:uid="{00000000-0005-0000-0000-0000FD510000}"/>
    <cellStyle name="40% - Accent6 5 3 7" xfId="18523" xr:uid="{00000000-0005-0000-0000-0000FE510000}"/>
    <cellStyle name="40% - Accent6 5 3_Exh G" xfId="3386" xr:uid="{00000000-0005-0000-0000-0000FF510000}"/>
    <cellStyle name="40% - Accent6 5 4" xfId="1001" xr:uid="{00000000-0005-0000-0000-000000520000}"/>
    <cellStyle name="40% - Accent6 5 5" xfId="1645" xr:uid="{00000000-0005-0000-0000-000001520000}"/>
    <cellStyle name="40% - Accent6 5 5 2" xfId="5175" xr:uid="{00000000-0005-0000-0000-000002520000}"/>
    <cellStyle name="40% - Accent6 5 5 2 2" xfId="8766" xr:uid="{00000000-0005-0000-0000-000003520000}"/>
    <cellStyle name="40% - Accent6 5 5 2 2 2" xfId="16737" xr:uid="{00000000-0005-0000-0000-000004520000}"/>
    <cellStyle name="40% - Accent6 5 5 2 2 3" xfId="24683" xr:uid="{00000000-0005-0000-0000-000005520000}"/>
    <cellStyle name="40% - Accent6 5 5 2 3" xfId="13199" xr:uid="{00000000-0005-0000-0000-000006520000}"/>
    <cellStyle name="40% - Accent6 5 5 2 4" xfId="21154" xr:uid="{00000000-0005-0000-0000-000007520000}"/>
    <cellStyle name="40% - Accent6 5 5 3" xfId="7007" xr:uid="{00000000-0005-0000-0000-000008520000}"/>
    <cellStyle name="40% - Accent6 5 5 3 2" xfId="14979" xr:uid="{00000000-0005-0000-0000-000009520000}"/>
    <cellStyle name="40% - Accent6 5 5 3 3" xfId="22926" xr:uid="{00000000-0005-0000-0000-00000A520000}"/>
    <cellStyle name="40% - Accent6 5 5 4" xfId="11443" xr:uid="{00000000-0005-0000-0000-00000B520000}"/>
    <cellStyle name="40% - Accent6 5 5 5" xfId="19398" xr:uid="{00000000-0005-0000-0000-00000C520000}"/>
    <cellStyle name="40% - Accent6 5 5_Exh G" xfId="3388" xr:uid="{00000000-0005-0000-0000-00000D520000}"/>
    <cellStyle name="40% - Accent6 5 6" xfId="4296" xr:uid="{00000000-0005-0000-0000-00000E520000}"/>
    <cellStyle name="40% - Accent6 5 6 2" xfId="7888" xr:uid="{00000000-0005-0000-0000-00000F520000}"/>
    <cellStyle name="40% - Accent6 5 6 2 2" xfId="15859" xr:uid="{00000000-0005-0000-0000-000010520000}"/>
    <cellStyle name="40% - Accent6 5 6 2 3" xfId="23805" xr:uid="{00000000-0005-0000-0000-000011520000}"/>
    <cellStyle name="40% - Accent6 5 6 3" xfId="12321" xr:uid="{00000000-0005-0000-0000-000012520000}"/>
    <cellStyle name="40% - Accent6 5 6 4" xfId="20276" xr:uid="{00000000-0005-0000-0000-000013520000}"/>
    <cellStyle name="40% - Accent6 5 7" xfId="6116" xr:uid="{00000000-0005-0000-0000-000014520000}"/>
    <cellStyle name="40% - Accent6 5 7 2" xfId="14100" xr:uid="{00000000-0005-0000-0000-000015520000}"/>
    <cellStyle name="40% - Accent6 5 7 3" xfId="22048" xr:uid="{00000000-0005-0000-0000-000016520000}"/>
    <cellStyle name="40% - Accent6 5 8" xfId="9669" xr:uid="{00000000-0005-0000-0000-000017520000}"/>
    <cellStyle name="40% - Accent6 5 8 2" xfId="17627" xr:uid="{00000000-0005-0000-0000-000018520000}"/>
    <cellStyle name="40% - Accent6 5 8 3" xfId="25571" xr:uid="{00000000-0005-0000-0000-000019520000}"/>
    <cellStyle name="40% - Accent6 5 9" xfId="10565" xr:uid="{00000000-0005-0000-0000-00001A520000}"/>
    <cellStyle name="40% - Accent6 5_Exh G" xfId="3381" xr:uid="{00000000-0005-0000-0000-00001B520000}"/>
    <cellStyle name="40% - Accent6 6" xfId="621" xr:uid="{00000000-0005-0000-0000-00001C520000}"/>
    <cellStyle name="40% - Accent6 6 10" xfId="18524" xr:uid="{00000000-0005-0000-0000-00001D520000}"/>
    <cellStyle name="40% - Accent6 6 2" xfId="622" xr:uid="{00000000-0005-0000-0000-00001E520000}"/>
    <cellStyle name="40% - Accent6 6 2 2" xfId="623" xr:uid="{00000000-0005-0000-0000-00001F520000}"/>
    <cellStyle name="40% - Accent6 6 2 2 2" xfId="1651" xr:uid="{00000000-0005-0000-0000-000020520000}"/>
    <cellStyle name="40% - Accent6 6 2 2 2 2" xfId="5181" xr:uid="{00000000-0005-0000-0000-000021520000}"/>
    <cellStyle name="40% - Accent6 6 2 2 2 2 2" xfId="8772" xr:uid="{00000000-0005-0000-0000-000022520000}"/>
    <cellStyle name="40% - Accent6 6 2 2 2 2 2 2" xfId="16743" xr:uid="{00000000-0005-0000-0000-000023520000}"/>
    <cellStyle name="40% - Accent6 6 2 2 2 2 2 3" xfId="24689" xr:uid="{00000000-0005-0000-0000-000024520000}"/>
    <cellStyle name="40% - Accent6 6 2 2 2 2 3" xfId="13205" xr:uid="{00000000-0005-0000-0000-000025520000}"/>
    <cellStyle name="40% - Accent6 6 2 2 2 2 4" xfId="21160" xr:uid="{00000000-0005-0000-0000-000026520000}"/>
    <cellStyle name="40% - Accent6 6 2 2 2 3" xfId="7013" xr:uid="{00000000-0005-0000-0000-000027520000}"/>
    <cellStyle name="40% - Accent6 6 2 2 2 3 2" xfId="14985" xr:uid="{00000000-0005-0000-0000-000028520000}"/>
    <cellStyle name="40% - Accent6 6 2 2 2 3 3" xfId="22932" xr:uid="{00000000-0005-0000-0000-000029520000}"/>
    <cellStyle name="40% - Accent6 6 2 2 2 4" xfId="11449" xr:uid="{00000000-0005-0000-0000-00002A520000}"/>
    <cellStyle name="40% - Accent6 6 2 2 2 5" xfId="19404" xr:uid="{00000000-0005-0000-0000-00002B520000}"/>
    <cellStyle name="40% - Accent6 6 2 2 2_Exh G" xfId="3392" xr:uid="{00000000-0005-0000-0000-00002C520000}"/>
    <cellStyle name="40% - Accent6 6 2 2 3" xfId="4302" xr:uid="{00000000-0005-0000-0000-00002D520000}"/>
    <cellStyle name="40% - Accent6 6 2 2 3 2" xfId="7894" xr:uid="{00000000-0005-0000-0000-00002E520000}"/>
    <cellStyle name="40% - Accent6 6 2 2 3 2 2" xfId="15865" xr:uid="{00000000-0005-0000-0000-00002F520000}"/>
    <cellStyle name="40% - Accent6 6 2 2 3 2 3" xfId="23811" xr:uid="{00000000-0005-0000-0000-000030520000}"/>
    <cellStyle name="40% - Accent6 6 2 2 3 3" xfId="12327" xr:uid="{00000000-0005-0000-0000-000031520000}"/>
    <cellStyle name="40% - Accent6 6 2 2 3 4" xfId="20282" xr:uid="{00000000-0005-0000-0000-000032520000}"/>
    <cellStyle name="40% - Accent6 6 2 2 4" xfId="6122" xr:uid="{00000000-0005-0000-0000-000033520000}"/>
    <cellStyle name="40% - Accent6 6 2 2 4 2" xfId="14106" xr:uid="{00000000-0005-0000-0000-000034520000}"/>
    <cellStyle name="40% - Accent6 6 2 2 4 3" xfId="22054" xr:uid="{00000000-0005-0000-0000-000035520000}"/>
    <cellStyle name="40% - Accent6 6 2 2 5" xfId="9675" xr:uid="{00000000-0005-0000-0000-000036520000}"/>
    <cellStyle name="40% - Accent6 6 2 2 5 2" xfId="17633" xr:uid="{00000000-0005-0000-0000-000037520000}"/>
    <cellStyle name="40% - Accent6 6 2 2 5 3" xfId="25577" xr:uid="{00000000-0005-0000-0000-000038520000}"/>
    <cellStyle name="40% - Accent6 6 2 2 6" xfId="10571" xr:uid="{00000000-0005-0000-0000-000039520000}"/>
    <cellStyle name="40% - Accent6 6 2 2 7" xfId="18526" xr:uid="{00000000-0005-0000-0000-00003A520000}"/>
    <cellStyle name="40% - Accent6 6 2 2_Exh G" xfId="3391" xr:uid="{00000000-0005-0000-0000-00003B520000}"/>
    <cellStyle name="40% - Accent6 6 2 3" xfId="1650" xr:uid="{00000000-0005-0000-0000-00003C520000}"/>
    <cellStyle name="40% - Accent6 6 2 3 2" xfId="5180" xr:uid="{00000000-0005-0000-0000-00003D520000}"/>
    <cellStyle name="40% - Accent6 6 2 3 2 2" xfId="8771" xr:uid="{00000000-0005-0000-0000-00003E520000}"/>
    <cellStyle name="40% - Accent6 6 2 3 2 2 2" xfId="16742" xr:uid="{00000000-0005-0000-0000-00003F520000}"/>
    <cellStyle name="40% - Accent6 6 2 3 2 2 3" xfId="24688" xr:uid="{00000000-0005-0000-0000-000040520000}"/>
    <cellStyle name="40% - Accent6 6 2 3 2 3" xfId="13204" xr:uid="{00000000-0005-0000-0000-000041520000}"/>
    <cellStyle name="40% - Accent6 6 2 3 2 4" xfId="21159" xr:uid="{00000000-0005-0000-0000-000042520000}"/>
    <cellStyle name="40% - Accent6 6 2 3 3" xfId="7012" xr:uid="{00000000-0005-0000-0000-000043520000}"/>
    <cellStyle name="40% - Accent6 6 2 3 3 2" xfId="14984" xr:uid="{00000000-0005-0000-0000-000044520000}"/>
    <cellStyle name="40% - Accent6 6 2 3 3 3" xfId="22931" xr:uid="{00000000-0005-0000-0000-000045520000}"/>
    <cellStyle name="40% - Accent6 6 2 3 4" xfId="11448" xr:uid="{00000000-0005-0000-0000-000046520000}"/>
    <cellStyle name="40% - Accent6 6 2 3 5" xfId="19403" xr:uid="{00000000-0005-0000-0000-000047520000}"/>
    <cellStyle name="40% - Accent6 6 2 3_Exh G" xfId="3393" xr:uid="{00000000-0005-0000-0000-000048520000}"/>
    <cellStyle name="40% - Accent6 6 2 4" xfId="4301" xr:uid="{00000000-0005-0000-0000-000049520000}"/>
    <cellStyle name="40% - Accent6 6 2 4 2" xfId="7893" xr:uid="{00000000-0005-0000-0000-00004A520000}"/>
    <cellStyle name="40% - Accent6 6 2 4 2 2" xfId="15864" xr:uid="{00000000-0005-0000-0000-00004B520000}"/>
    <cellStyle name="40% - Accent6 6 2 4 2 3" xfId="23810" xr:uid="{00000000-0005-0000-0000-00004C520000}"/>
    <cellStyle name="40% - Accent6 6 2 4 3" xfId="12326" xr:uid="{00000000-0005-0000-0000-00004D520000}"/>
    <cellStyle name="40% - Accent6 6 2 4 4" xfId="20281" xr:uid="{00000000-0005-0000-0000-00004E520000}"/>
    <cellStyle name="40% - Accent6 6 2 5" xfId="6121" xr:uid="{00000000-0005-0000-0000-00004F520000}"/>
    <cellStyle name="40% - Accent6 6 2 5 2" xfId="14105" xr:uid="{00000000-0005-0000-0000-000050520000}"/>
    <cellStyle name="40% - Accent6 6 2 5 3" xfId="22053" xr:uid="{00000000-0005-0000-0000-000051520000}"/>
    <cellStyle name="40% - Accent6 6 2 6" xfId="9674" xr:uid="{00000000-0005-0000-0000-000052520000}"/>
    <cellStyle name="40% - Accent6 6 2 6 2" xfId="17632" xr:uid="{00000000-0005-0000-0000-000053520000}"/>
    <cellStyle name="40% - Accent6 6 2 6 3" xfId="25576" xr:uid="{00000000-0005-0000-0000-000054520000}"/>
    <cellStyle name="40% - Accent6 6 2 7" xfId="10570" xr:uid="{00000000-0005-0000-0000-000055520000}"/>
    <cellStyle name="40% - Accent6 6 2 8" xfId="18525" xr:uid="{00000000-0005-0000-0000-000056520000}"/>
    <cellStyle name="40% - Accent6 6 2_Exh G" xfId="3390" xr:uid="{00000000-0005-0000-0000-000057520000}"/>
    <cellStyle name="40% - Accent6 6 3" xfId="624" xr:uid="{00000000-0005-0000-0000-000058520000}"/>
    <cellStyle name="40% - Accent6 6 3 2" xfId="1652" xr:uid="{00000000-0005-0000-0000-000059520000}"/>
    <cellStyle name="40% - Accent6 6 3 2 2" xfId="5182" xr:uid="{00000000-0005-0000-0000-00005A520000}"/>
    <cellStyle name="40% - Accent6 6 3 2 2 2" xfId="8773" xr:uid="{00000000-0005-0000-0000-00005B520000}"/>
    <cellStyle name="40% - Accent6 6 3 2 2 2 2" xfId="16744" xr:uid="{00000000-0005-0000-0000-00005C520000}"/>
    <cellStyle name="40% - Accent6 6 3 2 2 2 3" xfId="24690" xr:uid="{00000000-0005-0000-0000-00005D520000}"/>
    <cellStyle name="40% - Accent6 6 3 2 2 3" xfId="13206" xr:uid="{00000000-0005-0000-0000-00005E520000}"/>
    <cellStyle name="40% - Accent6 6 3 2 2 4" xfId="21161" xr:uid="{00000000-0005-0000-0000-00005F520000}"/>
    <cellStyle name="40% - Accent6 6 3 2 3" xfId="7014" xr:uid="{00000000-0005-0000-0000-000060520000}"/>
    <cellStyle name="40% - Accent6 6 3 2 3 2" xfId="14986" xr:uid="{00000000-0005-0000-0000-000061520000}"/>
    <cellStyle name="40% - Accent6 6 3 2 3 3" xfId="22933" xr:uid="{00000000-0005-0000-0000-000062520000}"/>
    <cellStyle name="40% - Accent6 6 3 2 4" xfId="11450" xr:uid="{00000000-0005-0000-0000-000063520000}"/>
    <cellStyle name="40% - Accent6 6 3 2 5" xfId="19405" xr:uid="{00000000-0005-0000-0000-000064520000}"/>
    <cellStyle name="40% - Accent6 6 3 2_Exh G" xfId="3395" xr:uid="{00000000-0005-0000-0000-000065520000}"/>
    <cellStyle name="40% - Accent6 6 3 3" xfId="4303" xr:uid="{00000000-0005-0000-0000-000066520000}"/>
    <cellStyle name="40% - Accent6 6 3 3 2" xfId="7895" xr:uid="{00000000-0005-0000-0000-000067520000}"/>
    <cellStyle name="40% - Accent6 6 3 3 2 2" xfId="15866" xr:uid="{00000000-0005-0000-0000-000068520000}"/>
    <cellStyle name="40% - Accent6 6 3 3 2 3" xfId="23812" xr:uid="{00000000-0005-0000-0000-000069520000}"/>
    <cellStyle name="40% - Accent6 6 3 3 3" xfId="12328" xr:uid="{00000000-0005-0000-0000-00006A520000}"/>
    <cellStyle name="40% - Accent6 6 3 3 4" xfId="20283" xr:uid="{00000000-0005-0000-0000-00006B520000}"/>
    <cellStyle name="40% - Accent6 6 3 4" xfId="6123" xr:uid="{00000000-0005-0000-0000-00006C520000}"/>
    <cellStyle name="40% - Accent6 6 3 4 2" xfId="14107" xr:uid="{00000000-0005-0000-0000-00006D520000}"/>
    <cellStyle name="40% - Accent6 6 3 4 3" xfId="22055" xr:uid="{00000000-0005-0000-0000-00006E520000}"/>
    <cellStyle name="40% - Accent6 6 3 5" xfId="9676" xr:uid="{00000000-0005-0000-0000-00006F520000}"/>
    <cellStyle name="40% - Accent6 6 3 5 2" xfId="17634" xr:uid="{00000000-0005-0000-0000-000070520000}"/>
    <cellStyle name="40% - Accent6 6 3 5 3" xfId="25578" xr:uid="{00000000-0005-0000-0000-000071520000}"/>
    <cellStyle name="40% - Accent6 6 3 6" xfId="10572" xr:uid="{00000000-0005-0000-0000-000072520000}"/>
    <cellStyle name="40% - Accent6 6 3 7" xfId="18527" xr:uid="{00000000-0005-0000-0000-000073520000}"/>
    <cellStyle name="40% - Accent6 6 3_Exh G" xfId="3394" xr:uid="{00000000-0005-0000-0000-000074520000}"/>
    <cellStyle name="40% - Accent6 6 4" xfId="1002" xr:uid="{00000000-0005-0000-0000-000075520000}"/>
    <cellStyle name="40% - Accent6 6 4 2" xfId="1915" xr:uid="{00000000-0005-0000-0000-000076520000}"/>
    <cellStyle name="40% - Accent6 6 4 2 2" xfId="5433" xr:uid="{00000000-0005-0000-0000-000077520000}"/>
    <cellStyle name="40% - Accent6 6 4 2 2 2" xfId="9024" xr:uid="{00000000-0005-0000-0000-000078520000}"/>
    <cellStyle name="40% - Accent6 6 4 2 2 2 2" xfId="16995" xr:uid="{00000000-0005-0000-0000-000079520000}"/>
    <cellStyle name="40% - Accent6 6 4 2 2 2 3" xfId="24941" xr:uid="{00000000-0005-0000-0000-00007A520000}"/>
    <cellStyle name="40% - Accent6 6 4 2 2 3" xfId="13457" xr:uid="{00000000-0005-0000-0000-00007B520000}"/>
    <cellStyle name="40% - Accent6 6 4 2 2 4" xfId="21412" xr:uid="{00000000-0005-0000-0000-00007C520000}"/>
    <cellStyle name="40% - Accent6 6 4 2 3" xfId="7265" xr:uid="{00000000-0005-0000-0000-00007D520000}"/>
    <cellStyle name="40% - Accent6 6 4 2 3 2" xfId="15237" xr:uid="{00000000-0005-0000-0000-00007E520000}"/>
    <cellStyle name="40% - Accent6 6 4 2 3 3" xfId="23184" xr:uid="{00000000-0005-0000-0000-00007F520000}"/>
    <cellStyle name="40% - Accent6 6 4 2 4" xfId="11701" xr:uid="{00000000-0005-0000-0000-000080520000}"/>
    <cellStyle name="40% - Accent6 6 4 2 5" xfId="19656" xr:uid="{00000000-0005-0000-0000-000081520000}"/>
    <cellStyle name="40% - Accent6 6 4 2_Exh G" xfId="3397" xr:uid="{00000000-0005-0000-0000-000082520000}"/>
    <cellStyle name="40% - Accent6 6 4 3" xfId="4554" xr:uid="{00000000-0005-0000-0000-000083520000}"/>
    <cellStyle name="40% - Accent6 6 4 3 2" xfId="8146" xr:uid="{00000000-0005-0000-0000-000084520000}"/>
    <cellStyle name="40% - Accent6 6 4 3 2 2" xfId="16117" xr:uid="{00000000-0005-0000-0000-000085520000}"/>
    <cellStyle name="40% - Accent6 6 4 3 2 3" xfId="24063" xr:uid="{00000000-0005-0000-0000-000086520000}"/>
    <cellStyle name="40% - Accent6 6 4 3 3" xfId="12579" xr:uid="{00000000-0005-0000-0000-000087520000}"/>
    <cellStyle name="40% - Accent6 6 4 3 4" xfId="20534" xr:uid="{00000000-0005-0000-0000-000088520000}"/>
    <cellStyle name="40% - Accent6 6 4 4" xfId="6384" xr:uid="{00000000-0005-0000-0000-000089520000}"/>
    <cellStyle name="40% - Accent6 6 4 4 2" xfId="14359" xr:uid="{00000000-0005-0000-0000-00008A520000}"/>
    <cellStyle name="40% - Accent6 6 4 4 3" xfId="22306" xr:uid="{00000000-0005-0000-0000-00008B520000}"/>
    <cellStyle name="40% - Accent6 6 4 5" xfId="9927" xr:uid="{00000000-0005-0000-0000-00008C520000}"/>
    <cellStyle name="40% - Accent6 6 4 5 2" xfId="17885" xr:uid="{00000000-0005-0000-0000-00008D520000}"/>
    <cellStyle name="40% - Accent6 6 4 5 3" xfId="25829" xr:uid="{00000000-0005-0000-0000-00008E520000}"/>
    <cellStyle name="40% - Accent6 6 4 6" xfId="10823" xr:uid="{00000000-0005-0000-0000-00008F520000}"/>
    <cellStyle name="40% - Accent6 6 4 7" xfId="18778" xr:uid="{00000000-0005-0000-0000-000090520000}"/>
    <cellStyle name="40% - Accent6 6 4_Exh G" xfId="3396" xr:uid="{00000000-0005-0000-0000-000091520000}"/>
    <cellStyle name="40% - Accent6 6 5" xfId="1649" xr:uid="{00000000-0005-0000-0000-000092520000}"/>
    <cellStyle name="40% - Accent6 6 5 2" xfId="5179" xr:uid="{00000000-0005-0000-0000-000093520000}"/>
    <cellStyle name="40% - Accent6 6 5 2 2" xfId="8770" xr:uid="{00000000-0005-0000-0000-000094520000}"/>
    <cellStyle name="40% - Accent6 6 5 2 2 2" xfId="16741" xr:uid="{00000000-0005-0000-0000-000095520000}"/>
    <cellStyle name="40% - Accent6 6 5 2 2 3" xfId="24687" xr:uid="{00000000-0005-0000-0000-000096520000}"/>
    <cellStyle name="40% - Accent6 6 5 2 3" xfId="13203" xr:uid="{00000000-0005-0000-0000-000097520000}"/>
    <cellStyle name="40% - Accent6 6 5 2 4" xfId="21158" xr:uid="{00000000-0005-0000-0000-000098520000}"/>
    <cellStyle name="40% - Accent6 6 5 3" xfId="7011" xr:uid="{00000000-0005-0000-0000-000099520000}"/>
    <cellStyle name="40% - Accent6 6 5 3 2" xfId="14983" xr:uid="{00000000-0005-0000-0000-00009A520000}"/>
    <cellStyle name="40% - Accent6 6 5 3 3" xfId="22930" xr:uid="{00000000-0005-0000-0000-00009B520000}"/>
    <cellStyle name="40% - Accent6 6 5 4" xfId="11447" xr:uid="{00000000-0005-0000-0000-00009C520000}"/>
    <cellStyle name="40% - Accent6 6 5 5" xfId="19402" xr:uid="{00000000-0005-0000-0000-00009D520000}"/>
    <cellStyle name="40% - Accent6 6 5_Exh G" xfId="3398" xr:uid="{00000000-0005-0000-0000-00009E520000}"/>
    <cellStyle name="40% - Accent6 6 6" xfId="4300" xr:uid="{00000000-0005-0000-0000-00009F520000}"/>
    <cellStyle name="40% - Accent6 6 6 2" xfId="7892" xr:uid="{00000000-0005-0000-0000-0000A0520000}"/>
    <cellStyle name="40% - Accent6 6 6 2 2" xfId="15863" xr:uid="{00000000-0005-0000-0000-0000A1520000}"/>
    <cellStyle name="40% - Accent6 6 6 2 3" xfId="23809" xr:uid="{00000000-0005-0000-0000-0000A2520000}"/>
    <cellStyle name="40% - Accent6 6 6 3" xfId="12325" xr:uid="{00000000-0005-0000-0000-0000A3520000}"/>
    <cellStyle name="40% - Accent6 6 6 4" xfId="20280" xr:uid="{00000000-0005-0000-0000-0000A4520000}"/>
    <cellStyle name="40% - Accent6 6 7" xfId="6120" xr:uid="{00000000-0005-0000-0000-0000A5520000}"/>
    <cellStyle name="40% - Accent6 6 7 2" xfId="14104" xr:uid="{00000000-0005-0000-0000-0000A6520000}"/>
    <cellStyle name="40% - Accent6 6 7 3" xfId="22052" xr:uid="{00000000-0005-0000-0000-0000A7520000}"/>
    <cellStyle name="40% - Accent6 6 8" xfId="9673" xr:uid="{00000000-0005-0000-0000-0000A8520000}"/>
    <cellStyle name="40% - Accent6 6 8 2" xfId="17631" xr:uid="{00000000-0005-0000-0000-0000A9520000}"/>
    <cellStyle name="40% - Accent6 6 8 3" xfId="25575" xr:uid="{00000000-0005-0000-0000-0000AA520000}"/>
    <cellStyle name="40% - Accent6 6 9" xfId="10569" xr:uid="{00000000-0005-0000-0000-0000AB520000}"/>
    <cellStyle name="40% - Accent6 6_Exh G" xfId="3389" xr:uid="{00000000-0005-0000-0000-0000AC520000}"/>
    <cellStyle name="40% - Accent6 7" xfId="625" xr:uid="{00000000-0005-0000-0000-0000AD520000}"/>
    <cellStyle name="40% - Accent6 7 10" xfId="18528" xr:uid="{00000000-0005-0000-0000-0000AE520000}"/>
    <cellStyle name="40% - Accent6 7 2" xfId="626" xr:uid="{00000000-0005-0000-0000-0000AF520000}"/>
    <cellStyle name="40% - Accent6 7 2 2" xfId="627" xr:uid="{00000000-0005-0000-0000-0000B0520000}"/>
    <cellStyle name="40% - Accent6 7 2 2 2" xfId="1655" xr:uid="{00000000-0005-0000-0000-0000B1520000}"/>
    <cellStyle name="40% - Accent6 7 2 2 2 2" xfId="5185" xr:uid="{00000000-0005-0000-0000-0000B2520000}"/>
    <cellStyle name="40% - Accent6 7 2 2 2 2 2" xfId="8776" xr:uid="{00000000-0005-0000-0000-0000B3520000}"/>
    <cellStyle name="40% - Accent6 7 2 2 2 2 2 2" xfId="16747" xr:uid="{00000000-0005-0000-0000-0000B4520000}"/>
    <cellStyle name="40% - Accent6 7 2 2 2 2 2 3" xfId="24693" xr:uid="{00000000-0005-0000-0000-0000B5520000}"/>
    <cellStyle name="40% - Accent6 7 2 2 2 2 3" xfId="13209" xr:uid="{00000000-0005-0000-0000-0000B6520000}"/>
    <cellStyle name="40% - Accent6 7 2 2 2 2 4" xfId="21164" xr:uid="{00000000-0005-0000-0000-0000B7520000}"/>
    <cellStyle name="40% - Accent6 7 2 2 2 3" xfId="7017" xr:uid="{00000000-0005-0000-0000-0000B8520000}"/>
    <cellStyle name="40% - Accent6 7 2 2 2 3 2" xfId="14989" xr:uid="{00000000-0005-0000-0000-0000B9520000}"/>
    <cellStyle name="40% - Accent6 7 2 2 2 3 3" xfId="22936" xr:uid="{00000000-0005-0000-0000-0000BA520000}"/>
    <cellStyle name="40% - Accent6 7 2 2 2 4" xfId="11453" xr:uid="{00000000-0005-0000-0000-0000BB520000}"/>
    <cellStyle name="40% - Accent6 7 2 2 2 5" xfId="19408" xr:uid="{00000000-0005-0000-0000-0000BC520000}"/>
    <cellStyle name="40% - Accent6 7 2 2 2_Exh G" xfId="3402" xr:uid="{00000000-0005-0000-0000-0000BD520000}"/>
    <cellStyle name="40% - Accent6 7 2 2 3" xfId="4306" xr:uid="{00000000-0005-0000-0000-0000BE520000}"/>
    <cellStyle name="40% - Accent6 7 2 2 3 2" xfId="7898" xr:uid="{00000000-0005-0000-0000-0000BF520000}"/>
    <cellStyle name="40% - Accent6 7 2 2 3 2 2" xfId="15869" xr:uid="{00000000-0005-0000-0000-0000C0520000}"/>
    <cellStyle name="40% - Accent6 7 2 2 3 2 3" xfId="23815" xr:uid="{00000000-0005-0000-0000-0000C1520000}"/>
    <cellStyle name="40% - Accent6 7 2 2 3 3" xfId="12331" xr:uid="{00000000-0005-0000-0000-0000C2520000}"/>
    <cellStyle name="40% - Accent6 7 2 2 3 4" xfId="20286" xr:uid="{00000000-0005-0000-0000-0000C3520000}"/>
    <cellStyle name="40% - Accent6 7 2 2 4" xfId="6126" xr:uid="{00000000-0005-0000-0000-0000C4520000}"/>
    <cellStyle name="40% - Accent6 7 2 2 4 2" xfId="14110" xr:uid="{00000000-0005-0000-0000-0000C5520000}"/>
    <cellStyle name="40% - Accent6 7 2 2 4 3" xfId="22058" xr:uid="{00000000-0005-0000-0000-0000C6520000}"/>
    <cellStyle name="40% - Accent6 7 2 2 5" xfId="9679" xr:uid="{00000000-0005-0000-0000-0000C7520000}"/>
    <cellStyle name="40% - Accent6 7 2 2 5 2" xfId="17637" xr:uid="{00000000-0005-0000-0000-0000C8520000}"/>
    <cellStyle name="40% - Accent6 7 2 2 5 3" xfId="25581" xr:uid="{00000000-0005-0000-0000-0000C9520000}"/>
    <cellStyle name="40% - Accent6 7 2 2 6" xfId="10575" xr:uid="{00000000-0005-0000-0000-0000CA520000}"/>
    <cellStyle name="40% - Accent6 7 2 2 7" xfId="18530" xr:uid="{00000000-0005-0000-0000-0000CB520000}"/>
    <cellStyle name="40% - Accent6 7 2 2_Exh G" xfId="3401" xr:uid="{00000000-0005-0000-0000-0000CC520000}"/>
    <cellStyle name="40% - Accent6 7 2 3" xfId="1654" xr:uid="{00000000-0005-0000-0000-0000CD520000}"/>
    <cellStyle name="40% - Accent6 7 2 3 2" xfId="5184" xr:uid="{00000000-0005-0000-0000-0000CE520000}"/>
    <cellStyle name="40% - Accent6 7 2 3 2 2" xfId="8775" xr:uid="{00000000-0005-0000-0000-0000CF520000}"/>
    <cellStyle name="40% - Accent6 7 2 3 2 2 2" xfId="16746" xr:uid="{00000000-0005-0000-0000-0000D0520000}"/>
    <cellStyle name="40% - Accent6 7 2 3 2 2 3" xfId="24692" xr:uid="{00000000-0005-0000-0000-0000D1520000}"/>
    <cellStyle name="40% - Accent6 7 2 3 2 3" xfId="13208" xr:uid="{00000000-0005-0000-0000-0000D2520000}"/>
    <cellStyle name="40% - Accent6 7 2 3 2 4" xfId="21163" xr:uid="{00000000-0005-0000-0000-0000D3520000}"/>
    <cellStyle name="40% - Accent6 7 2 3 3" xfId="7016" xr:uid="{00000000-0005-0000-0000-0000D4520000}"/>
    <cellStyle name="40% - Accent6 7 2 3 3 2" xfId="14988" xr:uid="{00000000-0005-0000-0000-0000D5520000}"/>
    <cellStyle name="40% - Accent6 7 2 3 3 3" xfId="22935" xr:uid="{00000000-0005-0000-0000-0000D6520000}"/>
    <cellStyle name="40% - Accent6 7 2 3 4" xfId="11452" xr:uid="{00000000-0005-0000-0000-0000D7520000}"/>
    <cellStyle name="40% - Accent6 7 2 3 5" xfId="19407" xr:uid="{00000000-0005-0000-0000-0000D8520000}"/>
    <cellStyle name="40% - Accent6 7 2 3_Exh G" xfId="3403" xr:uid="{00000000-0005-0000-0000-0000D9520000}"/>
    <cellStyle name="40% - Accent6 7 2 4" xfId="4305" xr:uid="{00000000-0005-0000-0000-0000DA520000}"/>
    <cellStyle name="40% - Accent6 7 2 4 2" xfId="7897" xr:uid="{00000000-0005-0000-0000-0000DB520000}"/>
    <cellStyle name="40% - Accent6 7 2 4 2 2" xfId="15868" xr:uid="{00000000-0005-0000-0000-0000DC520000}"/>
    <cellStyle name="40% - Accent6 7 2 4 2 3" xfId="23814" xr:uid="{00000000-0005-0000-0000-0000DD520000}"/>
    <cellStyle name="40% - Accent6 7 2 4 3" xfId="12330" xr:uid="{00000000-0005-0000-0000-0000DE520000}"/>
    <cellStyle name="40% - Accent6 7 2 4 4" xfId="20285" xr:uid="{00000000-0005-0000-0000-0000DF520000}"/>
    <cellStyle name="40% - Accent6 7 2 5" xfId="6125" xr:uid="{00000000-0005-0000-0000-0000E0520000}"/>
    <cellStyle name="40% - Accent6 7 2 5 2" xfId="14109" xr:uid="{00000000-0005-0000-0000-0000E1520000}"/>
    <cellStyle name="40% - Accent6 7 2 5 3" xfId="22057" xr:uid="{00000000-0005-0000-0000-0000E2520000}"/>
    <cellStyle name="40% - Accent6 7 2 6" xfId="9678" xr:uid="{00000000-0005-0000-0000-0000E3520000}"/>
    <cellStyle name="40% - Accent6 7 2 6 2" xfId="17636" xr:uid="{00000000-0005-0000-0000-0000E4520000}"/>
    <cellStyle name="40% - Accent6 7 2 6 3" xfId="25580" xr:uid="{00000000-0005-0000-0000-0000E5520000}"/>
    <cellStyle name="40% - Accent6 7 2 7" xfId="10574" xr:uid="{00000000-0005-0000-0000-0000E6520000}"/>
    <cellStyle name="40% - Accent6 7 2 8" xfId="18529" xr:uid="{00000000-0005-0000-0000-0000E7520000}"/>
    <cellStyle name="40% - Accent6 7 2_Exh G" xfId="3400" xr:uid="{00000000-0005-0000-0000-0000E8520000}"/>
    <cellStyle name="40% - Accent6 7 3" xfId="628" xr:uid="{00000000-0005-0000-0000-0000E9520000}"/>
    <cellStyle name="40% - Accent6 7 3 2" xfId="1656" xr:uid="{00000000-0005-0000-0000-0000EA520000}"/>
    <cellStyle name="40% - Accent6 7 3 2 2" xfId="5186" xr:uid="{00000000-0005-0000-0000-0000EB520000}"/>
    <cellStyle name="40% - Accent6 7 3 2 2 2" xfId="8777" xr:uid="{00000000-0005-0000-0000-0000EC520000}"/>
    <cellStyle name="40% - Accent6 7 3 2 2 2 2" xfId="16748" xr:uid="{00000000-0005-0000-0000-0000ED520000}"/>
    <cellStyle name="40% - Accent6 7 3 2 2 2 3" xfId="24694" xr:uid="{00000000-0005-0000-0000-0000EE520000}"/>
    <cellStyle name="40% - Accent6 7 3 2 2 3" xfId="13210" xr:uid="{00000000-0005-0000-0000-0000EF520000}"/>
    <cellStyle name="40% - Accent6 7 3 2 2 4" xfId="21165" xr:uid="{00000000-0005-0000-0000-0000F0520000}"/>
    <cellStyle name="40% - Accent6 7 3 2 3" xfId="7018" xr:uid="{00000000-0005-0000-0000-0000F1520000}"/>
    <cellStyle name="40% - Accent6 7 3 2 3 2" xfId="14990" xr:uid="{00000000-0005-0000-0000-0000F2520000}"/>
    <cellStyle name="40% - Accent6 7 3 2 3 3" xfId="22937" xr:uid="{00000000-0005-0000-0000-0000F3520000}"/>
    <cellStyle name="40% - Accent6 7 3 2 4" xfId="11454" xr:uid="{00000000-0005-0000-0000-0000F4520000}"/>
    <cellStyle name="40% - Accent6 7 3 2 5" xfId="19409" xr:uid="{00000000-0005-0000-0000-0000F5520000}"/>
    <cellStyle name="40% - Accent6 7 3 2_Exh G" xfId="3405" xr:uid="{00000000-0005-0000-0000-0000F6520000}"/>
    <cellStyle name="40% - Accent6 7 3 3" xfId="4307" xr:uid="{00000000-0005-0000-0000-0000F7520000}"/>
    <cellStyle name="40% - Accent6 7 3 3 2" xfId="7899" xr:uid="{00000000-0005-0000-0000-0000F8520000}"/>
    <cellStyle name="40% - Accent6 7 3 3 2 2" xfId="15870" xr:uid="{00000000-0005-0000-0000-0000F9520000}"/>
    <cellStyle name="40% - Accent6 7 3 3 2 3" xfId="23816" xr:uid="{00000000-0005-0000-0000-0000FA520000}"/>
    <cellStyle name="40% - Accent6 7 3 3 3" xfId="12332" xr:uid="{00000000-0005-0000-0000-0000FB520000}"/>
    <cellStyle name="40% - Accent6 7 3 3 4" xfId="20287" xr:uid="{00000000-0005-0000-0000-0000FC520000}"/>
    <cellStyle name="40% - Accent6 7 3 4" xfId="6127" xr:uid="{00000000-0005-0000-0000-0000FD520000}"/>
    <cellStyle name="40% - Accent6 7 3 4 2" xfId="14111" xr:uid="{00000000-0005-0000-0000-0000FE520000}"/>
    <cellStyle name="40% - Accent6 7 3 4 3" xfId="22059" xr:uid="{00000000-0005-0000-0000-0000FF520000}"/>
    <cellStyle name="40% - Accent6 7 3 5" xfId="9680" xr:uid="{00000000-0005-0000-0000-000000530000}"/>
    <cellStyle name="40% - Accent6 7 3 5 2" xfId="17638" xr:uid="{00000000-0005-0000-0000-000001530000}"/>
    <cellStyle name="40% - Accent6 7 3 5 3" xfId="25582" xr:uid="{00000000-0005-0000-0000-000002530000}"/>
    <cellStyle name="40% - Accent6 7 3 6" xfId="10576" xr:uid="{00000000-0005-0000-0000-000003530000}"/>
    <cellStyle name="40% - Accent6 7 3 7" xfId="18531" xr:uid="{00000000-0005-0000-0000-000004530000}"/>
    <cellStyle name="40% - Accent6 7 3_Exh G" xfId="3404" xr:uid="{00000000-0005-0000-0000-000005530000}"/>
    <cellStyle name="40% - Accent6 7 4" xfId="1003" xr:uid="{00000000-0005-0000-0000-000006530000}"/>
    <cellStyle name="40% - Accent6 7 4 2" xfId="1916" xr:uid="{00000000-0005-0000-0000-000007530000}"/>
    <cellStyle name="40% - Accent6 7 4 2 2" xfId="5434" xr:uid="{00000000-0005-0000-0000-000008530000}"/>
    <cellStyle name="40% - Accent6 7 4 2 2 2" xfId="9025" xr:uid="{00000000-0005-0000-0000-000009530000}"/>
    <cellStyle name="40% - Accent6 7 4 2 2 2 2" xfId="16996" xr:uid="{00000000-0005-0000-0000-00000A530000}"/>
    <cellStyle name="40% - Accent6 7 4 2 2 2 3" xfId="24942" xr:uid="{00000000-0005-0000-0000-00000B530000}"/>
    <cellStyle name="40% - Accent6 7 4 2 2 3" xfId="13458" xr:uid="{00000000-0005-0000-0000-00000C530000}"/>
    <cellStyle name="40% - Accent6 7 4 2 2 4" xfId="21413" xr:uid="{00000000-0005-0000-0000-00000D530000}"/>
    <cellStyle name="40% - Accent6 7 4 2 3" xfId="7266" xr:uid="{00000000-0005-0000-0000-00000E530000}"/>
    <cellStyle name="40% - Accent6 7 4 2 3 2" xfId="15238" xr:uid="{00000000-0005-0000-0000-00000F530000}"/>
    <cellStyle name="40% - Accent6 7 4 2 3 3" xfId="23185" xr:uid="{00000000-0005-0000-0000-000010530000}"/>
    <cellStyle name="40% - Accent6 7 4 2 4" xfId="11702" xr:uid="{00000000-0005-0000-0000-000011530000}"/>
    <cellStyle name="40% - Accent6 7 4 2 5" xfId="19657" xr:uid="{00000000-0005-0000-0000-000012530000}"/>
    <cellStyle name="40% - Accent6 7 4 2_Exh G" xfId="3407" xr:uid="{00000000-0005-0000-0000-000013530000}"/>
    <cellStyle name="40% - Accent6 7 4 3" xfId="4555" xr:uid="{00000000-0005-0000-0000-000014530000}"/>
    <cellStyle name="40% - Accent6 7 4 3 2" xfId="8147" xr:uid="{00000000-0005-0000-0000-000015530000}"/>
    <cellStyle name="40% - Accent6 7 4 3 2 2" xfId="16118" xr:uid="{00000000-0005-0000-0000-000016530000}"/>
    <cellStyle name="40% - Accent6 7 4 3 2 3" xfId="24064" xr:uid="{00000000-0005-0000-0000-000017530000}"/>
    <cellStyle name="40% - Accent6 7 4 3 3" xfId="12580" xr:uid="{00000000-0005-0000-0000-000018530000}"/>
    <cellStyle name="40% - Accent6 7 4 3 4" xfId="20535" xr:uid="{00000000-0005-0000-0000-000019530000}"/>
    <cellStyle name="40% - Accent6 7 4 4" xfId="6385" xr:uid="{00000000-0005-0000-0000-00001A530000}"/>
    <cellStyle name="40% - Accent6 7 4 4 2" xfId="14360" xr:uid="{00000000-0005-0000-0000-00001B530000}"/>
    <cellStyle name="40% - Accent6 7 4 4 3" xfId="22307" xr:uid="{00000000-0005-0000-0000-00001C530000}"/>
    <cellStyle name="40% - Accent6 7 4 5" xfId="9928" xr:uid="{00000000-0005-0000-0000-00001D530000}"/>
    <cellStyle name="40% - Accent6 7 4 5 2" xfId="17886" xr:uid="{00000000-0005-0000-0000-00001E530000}"/>
    <cellStyle name="40% - Accent6 7 4 5 3" xfId="25830" xr:uid="{00000000-0005-0000-0000-00001F530000}"/>
    <cellStyle name="40% - Accent6 7 4 6" xfId="10824" xr:uid="{00000000-0005-0000-0000-000020530000}"/>
    <cellStyle name="40% - Accent6 7 4 7" xfId="18779" xr:uid="{00000000-0005-0000-0000-000021530000}"/>
    <cellStyle name="40% - Accent6 7 4_Exh G" xfId="3406" xr:uid="{00000000-0005-0000-0000-000022530000}"/>
    <cellStyle name="40% - Accent6 7 5" xfId="1653" xr:uid="{00000000-0005-0000-0000-000023530000}"/>
    <cellStyle name="40% - Accent6 7 5 2" xfId="5183" xr:uid="{00000000-0005-0000-0000-000024530000}"/>
    <cellStyle name="40% - Accent6 7 5 2 2" xfId="8774" xr:uid="{00000000-0005-0000-0000-000025530000}"/>
    <cellStyle name="40% - Accent6 7 5 2 2 2" xfId="16745" xr:uid="{00000000-0005-0000-0000-000026530000}"/>
    <cellStyle name="40% - Accent6 7 5 2 2 3" xfId="24691" xr:uid="{00000000-0005-0000-0000-000027530000}"/>
    <cellStyle name="40% - Accent6 7 5 2 3" xfId="13207" xr:uid="{00000000-0005-0000-0000-000028530000}"/>
    <cellStyle name="40% - Accent6 7 5 2 4" xfId="21162" xr:uid="{00000000-0005-0000-0000-000029530000}"/>
    <cellStyle name="40% - Accent6 7 5 3" xfId="7015" xr:uid="{00000000-0005-0000-0000-00002A530000}"/>
    <cellStyle name="40% - Accent6 7 5 3 2" xfId="14987" xr:uid="{00000000-0005-0000-0000-00002B530000}"/>
    <cellStyle name="40% - Accent6 7 5 3 3" xfId="22934" xr:uid="{00000000-0005-0000-0000-00002C530000}"/>
    <cellStyle name="40% - Accent6 7 5 4" xfId="11451" xr:uid="{00000000-0005-0000-0000-00002D530000}"/>
    <cellStyle name="40% - Accent6 7 5 5" xfId="19406" xr:uid="{00000000-0005-0000-0000-00002E530000}"/>
    <cellStyle name="40% - Accent6 7 5_Exh G" xfId="3408" xr:uid="{00000000-0005-0000-0000-00002F530000}"/>
    <cellStyle name="40% - Accent6 7 6" xfId="4304" xr:uid="{00000000-0005-0000-0000-000030530000}"/>
    <cellStyle name="40% - Accent6 7 6 2" xfId="7896" xr:uid="{00000000-0005-0000-0000-000031530000}"/>
    <cellStyle name="40% - Accent6 7 6 2 2" xfId="15867" xr:uid="{00000000-0005-0000-0000-000032530000}"/>
    <cellStyle name="40% - Accent6 7 6 2 3" xfId="23813" xr:uid="{00000000-0005-0000-0000-000033530000}"/>
    <cellStyle name="40% - Accent6 7 6 3" xfId="12329" xr:uid="{00000000-0005-0000-0000-000034530000}"/>
    <cellStyle name="40% - Accent6 7 6 4" xfId="20284" xr:uid="{00000000-0005-0000-0000-000035530000}"/>
    <cellStyle name="40% - Accent6 7 7" xfId="6124" xr:uid="{00000000-0005-0000-0000-000036530000}"/>
    <cellStyle name="40% - Accent6 7 7 2" xfId="14108" xr:uid="{00000000-0005-0000-0000-000037530000}"/>
    <cellStyle name="40% - Accent6 7 7 3" xfId="22056" xr:uid="{00000000-0005-0000-0000-000038530000}"/>
    <cellStyle name="40% - Accent6 7 8" xfId="9677" xr:uid="{00000000-0005-0000-0000-000039530000}"/>
    <cellStyle name="40% - Accent6 7 8 2" xfId="17635" xr:uid="{00000000-0005-0000-0000-00003A530000}"/>
    <cellStyle name="40% - Accent6 7 8 3" xfId="25579" xr:uid="{00000000-0005-0000-0000-00003B530000}"/>
    <cellStyle name="40% - Accent6 7 9" xfId="10573" xr:uid="{00000000-0005-0000-0000-00003C530000}"/>
    <cellStyle name="40% - Accent6 7_Exh G" xfId="3399" xr:uid="{00000000-0005-0000-0000-00003D530000}"/>
    <cellStyle name="40% - Accent6 8" xfId="629" xr:uid="{00000000-0005-0000-0000-00003E530000}"/>
    <cellStyle name="40% - Accent6 8 10" xfId="18532" xr:uid="{00000000-0005-0000-0000-00003F530000}"/>
    <cellStyle name="40% - Accent6 8 2" xfId="630" xr:uid="{00000000-0005-0000-0000-000040530000}"/>
    <cellStyle name="40% - Accent6 8 2 2" xfId="631" xr:uid="{00000000-0005-0000-0000-000041530000}"/>
    <cellStyle name="40% - Accent6 8 2 2 2" xfId="1659" xr:uid="{00000000-0005-0000-0000-000042530000}"/>
    <cellStyle name="40% - Accent6 8 2 2 2 2" xfId="5189" xr:uid="{00000000-0005-0000-0000-000043530000}"/>
    <cellStyle name="40% - Accent6 8 2 2 2 2 2" xfId="8780" xr:uid="{00000000-0005-0000-0000-000044530000}"/>
    <cellStyle name="40% - Accent6 8 2 2 2 2 2 2" xfId="16751" xr:uid="{00000000-0005-0000-0000-000045530000}"/>
    <cellStyle name="40% - Accent6 8 2 2 2 2 2 3" xfId="24697" xr:uid="{00000000-0005-0000-0000-000046530000}"/>
    <cellStyle name="40% - Accent6 8 2 2 2 2 3" xfId="13213" xr:uid="{00000000-0005-0000-0000-000047530000}"/>
    <cellStyle name="40% - Accent6 8 2 2 2 2 4" xfId="21168" xr:uid="{00000000-0005-0000-0000-000048530000}"/>
    <cellStyle name="40% - Accent6 8 2 2 2 3" xfId="7021" xr:uid="{00000000-0005-0000-0000-000049530000}"/>
    <cellStyle name="40% - Accent6 8 2 2 2 3 2" xfId="14993" xr:uid="{00000000-0005-0000-0000-00004A530000}"/>
    <cellStyle name="40% - Accent6 8 2 2 2 3 3" xfId="22940" xr:uid="{00000000-0005-0000-0000-00004B530000}"/>
    <cellStyle name="40% - Accent6 8 2 2 2 4" xfId="11457" xr:uid="{00000000-0005-0000-0000-00004C530000}"/>
    <cellStyle name="40% - Accent6 8 2 2 2 5" xfId="19412" xr:uid="{00000000-0005-0000-0000-00004D530000}"/>
    <cellStyle name="40% - Accent6 8 2 2 2_Exh G" xfId="3412" xr:uid="{00000000-0005-0000-0000-00004E530000}"/>
    <cellStyle name="40% - Accent6 8 2 2 3" xfId="4310" xr:uid="{00000000-0005-0000-0000-00004F530000}"/>
    <cellStyle name="40% - Accent6 8 2 2 3 2" xfId="7902" xr:uid="{00000000-0005-0000-0000-000050530000}"/>
    <cellStyle name="40% - Accent6 8 2 2 3 2 2" xfId="15873" xr:uid="{00000000-0005-0000-0000-000051530000}"/>
    <cellStyle name="40% - Accent6 8 2 2 3 2 3" xfId="23819" xr:uid="{00000000-0005-0000-0000-000052530000}"/>
    <cellStyle name="40% - Accent6 8 2 2 3 3" xfId="12335" xr:uid="{00000000-0005-0000-0000-000053530000}"/>
    <cellStyle name="40% - Accent6 8 2 2 3 4" xfId="20290" xr:uid="{00000000-0005-0000-0000-000054530000}"/>
    <cellStyle name="40% - Accent6 8 2 2 4" xfId="6130" xr:uid="{00000000-0005-0000-0000-000055530000}"/>
    <cellStyle name="40% - Accent6 8 2 2 4 2" xfId="14114" xr:uid="{00000000-0005-0000-0000-000056530000}"/>
    <cellStyle name="40% - Accent6 8 2 2 4 3" xfId="22062" xr:uid="{00000000-0005-0000-0000-000057530000}"/>
    <cellStyle name="40% - Accent6 8 2 2 5" xfId="9683" xr:uid="{00000000-0005-0000-0000-000058530000}"/>
    <cellStyle name="40% - Accent6 8 2 2 5 2" xfId="17641" xr:uid="{00000000-0005-0000-0000-000059530000}"/>
    <cellStyle name="40% - Accent6 8 2 2 5 3" xfId="25585" xr:uid="{00000000-0005-0000-0000-00005A530000}"/>
    <cellStyle name="40% - Accent6 8 2 2 6" xfId="10579" xr:uid="{00000000-0005-0000-0000-00005B530000}"/>
    <cellStyle name="40% - Accent6 8 2 2 7" xfId="18534" xr:uid="{00000000-0005-0000-0000-00005C530000}"/>
    <cellStyle name="40% - Accent6 8 2 2_Exh G" xfId="3411" xr:uid="{00000000-0005-0000-0000-00005D530000}"/>
    <cellStyle name="40% - Accent6 8 2 3" xfId="1658" xr:uid="{00000000-0005-0000-0000-00005E530000}"/>
    <cellStyle name="40% - Accent6 8 2 3 2" xfId="5188" xr:uid="{00000000-0005-0000-0000-00005F530000}"/>
    <cellStyle name="40% - Accent6 8 2 3 2 2" xfId="8779" xr:uid="{00000000-0005-0000-0000-000060530000}"/>
    <cellStyle name="40% - Accent6 8 2 3 2 2 2" xfId="16750" xr:uid="{00000000-0005-0000-0000-000061530000}"/>
    <cellStyle name="40% - Accent6 8 2 3 2 2 3" xfId="24696" xr:uid="{00000000-0005-0000-0000-000062530000}"/>
    <cellStyle name="40% - Accent6 8 2 3 2 3" xfId="13212" xr:uid="{00000000-0005-0000-0000-000063530000}"/>
    <cellStyle name="40% - Accent6 8 2 3 2 4" xfId="21167" xr:uid="{00000000-0005-0000-0000-000064530000}"/>
    <cellStyle name="40% - Accent6 8 2 3 3" xfId="7020" xr:uid="{00000000-0005-0000-0000-000065530000}"/>
    <cellStyle name="40% - Accent6 8 2 3 3 2" xfId="14992" xr:uid="{00000000-0005-0000-0000-000066530000}"/>
    <cellStyle name="40% - Accent6 8 2 3 3 3" xfId="22939" xr:uid="{00000000-0005-0000-0000-000067530000}"/>
    <cellStyle name="40% - Accent6 8 2 3 4" xfId="11456" xr:uid="{00000000-0005-0000-0000-000068530000}"/>
    <cellStyle name="40% - Accent6 8 2 3 5" xfId="19411" xr:uid="{00000000-0005-0000-0000-000069530000}"/>
    <cellStyle name="40% - Accent6 8 2 3_Exh G" xfId="3413" xr:uid="{00000000-0005-0000-0000-00006A530000}"/>
    <cellStyle name="40% - Accent6 8 2 4" xfId="4309" xr:uid="{00000000-0005-0000-0000-00006B530000}"/>
    <cellStyle name="40% - Accent6 8 2 4 2" xfId="7901" xr:uid="{00000000-0005-0000-0000-00006C530000}"/>
    <cellStyle name="40% - Accent6 8 2 4 2 2" xfId="15872" xr:uid="{00000000-0005-0000-0000-00006D530000}"/>
    <cellStyle name="40% - Accent6 8 2 4 2 3" xfId="23818" xr:uid="{00000000-0005-0000-0000-00006E530000}"/>
    <cellStyle name="40% - Accent6 8 2 4 3" xfId="12334" xr:uid="{00000000-0005-0000-0000-00006F530000}"/>
    <cellStyle name="40% - Accent6 8 2 4 4" xfId="20289" xr:uid="{00000000-0005-0000-0000-000070530000}"/>
    <cellStyle name="40% - Accent6 8 2 5" xfId="6129" xr:uid="{00000000-0005-0000-0000-000071530000}"/>
    <cellStyle name="40% - Accent6 8 2 5 2" xfId="14113" xr:uid="{00000000-0005-0000-0000-000072530000}"/>
    <cellStyle name="40% - Accent6 8 2 5 3" xfId="22061" xr:uid="{00000000-0005-0000-0000-000073530000}"/>
    <cellStyle name="40% - Accent6 8 2 6" xfId="9682" xr:uid="{00000000-0005-0000-0000-000074530000}"/>
    <cellStyle name="40% - Accent6 8 2 6 2" xfId="17640" xr:uid="{00000000-0005-0000-0000-000075530000}"/>
    <cellStyle name="40% - Accent6 8 2 6 3" xfId="25584" xr:uid="{00000000-0005-0000-0000-000076530000}"/>
    <cellStyle name="40% - Accent6 8 2 7" xfId="10578" xr:uid="{00000000-0005-0000-0000-000077530000}"/>
    <cellStyle name="40% - Accent6 8 2 8" xfId="18533" xr:uid="{00000000-0005-0000-0000-000078530000}"/>
    <cellStyle name="40% - Accent6 8 2_Exh G" xfId="3410" xr:uid="{00000000-0005-0000-0000-000079530000}"/>
    <cellStyle name="40% - Accent6 8 3" xfId="632" xr:uid="{00000000-0005-0000-0000-00007A530000}"/>
    <cellStyle name="40% - Accent6 8 3 2" xfId="1660" xr:uid="{00000000-0005-0000-0000-00007B530000}"/>
    <cellStyle name="40% - Accent6 8 3 2 2" xfId="5190" xr:uid="{00000000-0005-0000-0000-00007C530000}"/>
    <cellStyle name="40% - Accent6 8 3 2 2 2" xfId="8781" xr:uid="{00000000-0005-0000-0000-00007D530000}"/>
    <cellStyle name="40% - Accent6 8 3 2 2 2 2" xfId="16752" xr:uid="{00000000-0005-0000-0000-00007E530000}"/>
    <cellStyle name="40% - Accent6 8 3 2 2 2 3" xfId="24698" xr:uid="{00000000-0005-0000-0000-00007F530000}"/>
    <cellStyle name="40% - Accent6 8 3 2 2 3" xfId="13214" xr:uid="{00000000-0005-0000-0000-000080530000}"/>
    <cellStyle name="40% - Accent6 8 3 2 2 4" xfId="21169" xr:uid="{00000000-0005-0000-0000-000081530000}"/>
    <cellStyle name="40% - Accent6 8 3 2 3" xfId="7022" xr:uid="{00000000-0005-0000-0000-000082530000}"/>
    <cellStyle name="40% - Accent6 8 3 2 3 2" xfId="14994" xr:uid="{00000000-0005-0000-0000-000083530000}"/>
    <cellStyle name="40% - Accent6 8 3 2 3 3" xfId="22941" xr:uid="{00000000-0005-0000-0000-000084530000}"/>
    <cellStyle name="40% - Accent6 8 3 2 4" xfId="11458" xr:uid="{00000000-0005-0000-0000-000085530000}"/>
    <cellStyle name="40% - Accent6 8 3 2 5" xfId="19413" xr:uid="{00000000-0005-0000-0000-000086530000}"/>
    <cellStyle name="40% - Accent6 8 3 2_Exh G" xfId="3415" xr:uid="{00000000-0005-0000-0000-000087530000}"/>
    <cellStyle name="40% - Accent6 8 3 3" xfId="4311" xr:uid="{00000000-0005-0000-0000-000088530000}"/>
    <cellStyle name="40% - Accent6 8 3 3 2" xfId="7903" xr:uid="{00000000-0005-0000-0000-000089530000}"/>
    <cellStyle name="40% - Accent6 8 3 3 2 2" xfId="15874" xr:uid="{00000000-0005-0000-0000-00008A530000}"/>
    <cellStyle name="40% - Accent6 8 3 3 2 3" xfId="23820" xr:uid="{00000000-0005-0000-0000-00008B530000}"/>
    <cellStyle name="40% - Accent6 8 3 3 3" xfId="12336" xr:uid="{00000000-0005-0000-0000-00008C530000}"/>
    <cellStyle name="40% - Accent6 8 3 3 4" xfId="20291" xr:uid="{00000000-0005-0000-0000-00008D530000}"/>
    <cellStyle name="40% - Accent6 8 3 4" xfId="6131" xr:uid="{00000000-0005-0000-0000-00008E530000}"/>
    <cellStyle name="40% - Accent6 8 3 4 2" xfId="14115" xr:uid="{00000000-0005-0000-0000-00008F530000}"/>
    <cellStyle name="40% - Accent6 8 3 4 3" xfId="22063" xr:uid="{00000000-0005-0000-0000-000090530000}"/>
    <cellStyle name="40% - Accent6 8 3 5" xfId="9684" xr:uid="{00000000-0005-0000-0000-000091530000}"/>
    <cellStyle name="40% - Accent6 8 3 5 2" xfId="17642" xr:uid="{00000000-0005-0000-0000-000092530000}"/>
    <cellStyle name="40% - Accent6 8 3 5 3" xfId="25586" xr:uid="{00000000-0005-0000-0000-000093530000}"/>
    <cellStyle name="40% - Accent6 8 3 6" xfId="10580" xr:uid="{00000000-0005-0000-0000-000094530000}"/>
    <cellStyle name="40% - Accent6 8 3 7" xfId="18535" xr:uid="{00000000-0005-0000-0000-000095530000}"/>
    <cellStyle name="40% - Accent6 8 3_Exh G" xfId="3414" xr:uid="{00000000-0005-0000-0000-000096530000}"/>
    <cellStyle name="40% - Accent6 8 4" xfId="1004" xr:uid="{00000000-0005-0000-0000-000097530000}"/>
    <cellStyle name="40% - Accent6 8 4 2" xfId="1917" xr:uid="{00000000-0005-0000-0000-000098530000}"/>
    <cellStyle name="40% - Accent6 8 4 2 2" xfId="5435" xr:uid="{00000000-0005-0000-0000-000099530000}"/>
    <cellStyle name="40% - Accent6 8 4 2 2 2" xfId="9026" xr:uid="{00000000-0005-0000-0000-00009A530000}"/>
    <cellStyle name="40% - Accent6 8 4 2 2 2 2" xfId="16997" xr:uid="{00000000-0005-0000-0000-00009B530000}"/>
    <cellStyle name="40% - Accent6 8 4 2 2 2 3" xfId="24943" xr:uid="{00000000-0005-0000-0000-00009C530000}"/>
    <cellStyle name="40% - Accent6 8 4 2 2 3" xfId="13459" xr:uid="{00000000-0005-0000-0000-00009D530000}"/>
    <cellStyle name="40% - Accent6 8 4 2 2 4" xfId="21414" xr:uid="{00000000-0005-0000-0000-00009E530000}"/>
    <cellStyle name="40% - Accent6 8 4 2 3" xfId="7267" xr:uid="{00000000-0005-0000-0000-00009F530000}"/>
    <cellStyle name="40% - Accent6 8 4 2 3 2" xfId="15239" xr:uid="{00000000-0005-0000-0000-0000A0530000}"/>
    <cellStyle name="40% - Accent6 8 4 2 3 3" xfId="23186" xr:uid="{00000000-0005-0000-0000-0000A1530000}"/>
    <cellStyle name="40% - Accent6 8 4 2 4" xfId="11703" xr:uid="{00000000-0005-0000-0000-0000A2530000}"/>
    <cellStyle name="40% - Accent6 8 4 2 5" xfId="19658" xr:uid="{00000000-0005-0000-0000-0000A3530000}"/>
    <cellStyle name="40% - Accent6 8 4 2_Exh G" xfId="3417" xr:uid="{00000000-0005-0000-0000-0000A4530000}"/>
    <cellStyle name="40% - Accent6 8 4 3" xfId="4556" xr:uid="{00000000-0005-0000-0000-0000A5530000}"/>
    <cellStyle name="40% - Accent6 8 4 3 2" xfId="8148" xr:uid="{00000000-0005-0000-0000-0000A6530000}"/>
    <cellStyle name="40% - Accent6 8 4 3 2 2" xfId="16119" xr:uid="{00000000-0005-0000-0000-0000A7530000}"/>
    <cellStyle name="40% - Accent6 8 4 3 2 3" xfId="24065" xr:uid="{00000000-0005-0000-0000-0000A8530000}"/>
    <cellStyle name="40% - Accent6 8 4 3 3" xfId="12581" xr:uid="{00000000-0005-0000-0000-0000A9530000}"/>
    <cellStyle name="40% - Accent6 8 4 3 4" xfId="20536" xr:uid="{00000000-0005-0000-0000-0000AA530000}"/>
    <cellStyle name="40% - Accent6 8 4 4" xfId="6386" xr:uid="{00000000-0005-0000-0000-0000AB530000}"/>
    <cellStyle name="40% - Accent6 8 4 4 2" xfId="14361" xr:uid="{00000000-0005-0000-0000-0000AC530000}"/>
    <cellStyle name="40% - Accent6 8 4 4 3" xfId="22308" xr:uid="{00000000-0005-0000-0000-0000AD530000}"/>
    <cellStyle name="40% - Accent6 8 4 5" xfId="9929" xr:uid="{00000000-0005-0000-0000-0000AE530000}"/>
    <cellStyle name="40% - Accent6 8 4 5 2" xfId="17887" xr:uid="{00000000-0005-0000-0000-0000AF530000}"/>
    <cellStyle name="40% - Accent6 8 4 5 3" xfId="25831" xr:uid="{00000000-0005-0000-0000-0000B0530000}"/>
    <cellStyle name="40% - Accent6 8 4 6" xfId="10825" xr:uid="{00000000-0005-0000-0000-0000B1530000}"/>
    <cellStyle name="40% - Accent6 8 4 7" xfId="18780" xr:uid="{00000000-0005-0000-0000-0000B2530000}"/>
    <cellStyle name="40% - Accent6 8 4_Exh G" xfId="3416" xr:uid="{00000000-0005-0000-0000-0000B3530000}"/>
    <cellStyle name="40% - Accent6 8 5" xfId="1657" xr:uid="{00000000-0005-0000-0000-0000B4530000}"/>
    <cellStyle name="40% - Accent6 8 5 2" xfId="5187" xr:uid="{00000000-0005-0000-0000-0000B5530000}"/>
    <cellStyle name="40% - Accent6 8 5 2 2" xfId="8778" xr:uid="{00000000-0005-0000-0000-0000B6530000}"/>
    <cellStyle name="40% - Accent6 8 5 2 2 2" xfId="16749" xr:uid="{00000000-0005-0000-0000-0000B7530000}"/>
    <cellStyle name="40% - Accent6 8 5 2 2 3" xfId="24695" xr:uid="{00000000-0005-0000-0000-0000B8530000}"/>
    <cellStyle name="40% - Accent6 8 5 2 3" xfId="13211" xr:uid="{00000000-0005-0000-0000-0000B9530000}"/>
    <cellStyle name="40% - Accent6 8 5 2 4" xfId="21166" xr:uid="{00000000-0005-0000-0000-0000BA530000}"/>
    <cellStyle name="40% - Accent6 8 5 3" xfId="7019" xr:uid="{00000000-0005-0000-0000-0000BB530000}"/>
    <cellStyle name="40% - Accent6 8 5 3 2" xfId="14991" xr:uid="{00000000-0005-0000-0000-0000BC530000}"/>
    <cellStyle name="40% - Accent6 8 5 3 3" xfId="22938" xr:uid="{00000000-0005-0000-0000-0000BD530000}"/>
    <cellStyle name="40% - Accent6 8 5 4" xfId="11455" xr:uid="{00000000-0005-0000-0000-0000BE530000}"/>
    <cellStyle name="40% - Accent6 8 5 5" xfId="19410" xr:uid="{00000000-0005-0000-0000-0000BF530000}"/>
    <cellStyle name="40% - Accent6 8 5_Exh G" xfId="3418" xr:uid="{00000000-0005-0000-0000-0000C0530000}"/>
    <cellStyle name="40% - Accent6 8 6" xfId="4308" xr:uid="{00000000-0005-0000-0000-0000C1530000}"/>
    <cellStyle name="40% - Accent6 8 6 2" xfId="7900" xr:uid="{00000000-0005-0000-0000-0000C2530000}"/>
    <cellStyle name="40% - Accent6 8 6 2 2" xfId="15871" xr:uid="{00000000-0005-0000-0000-0000C3530000}"/>
    <cellStyle name="40% - Accent6 8 6 2 3" xfId="23817" xr:uid="{00000000-0005-0000-0000-0000C4530000}"/>
    <cellStyle name="40% - Accent6 8 6 3" xfId="12333" xr:uid="{00000000-0005-0000-0000-0000C5530000}"/>
    <cellStyle name="40% - Accent6 8 6 4" xfId="20288" xr:uid="{00000000-0005-0000-0000-0000C6530000}"/>
    <cellStyle name="40% - Accent6 8 7" xfId="6128" xr:uid="{00000000-0005-0000-0000-0000C7530000}"/>
    <cellStyle name="40% - Accent6 8 7 2" xfId="14112" xr:uid="{00000000-0005-0000-0000-0000C8530000}"/>
    <cellStyle name="40% - Accent6 8 7 3" xfId="22060" xr:uid="{00000000-0005-0000-0000-0000C9530000}"/>
    <cellStyle name="40% - Accent6 8 8" xfId="9681" xr:uid="{00000000-0005-0000-0000-0000CA530000}"/>
    <cellStyle name="40% - Accent6 8 8 2" xfId="17639" xr:uid="{00000000-0005-0000-0000-0000CB530000}"/>
    <cellStyle name="40% - Accent6 8 8 3" xfId="25583" xr:uid="{00000000-0005-0000-0000-0000CC530000}"/>
    <cellStyle name="40% - Accent6 8 9" xfId="10577" xr:uid="{00000000-0005-0000-0000-0000CD530000}"/>
    <cellStyle name="40% - Accent6 8_Exh G" xfId="3409" xr:uid="{00000000-0005-0000-0000-0000CE530000}"/>
    <cellStyle name="40% - Accent6 9" xfId="633" xr:uid="{00000000-0005-0000-0000-0000CF530000}"/>
    <cellStyle name="40% - Accent6 9 10" xfId="18536" xr:uid="{00000000-0005-0000-0000-0000D0530000}"/>
    <cellStyle name="40% - Accent6 9 2" xfId="634" xr:uid="{00000000-0005-0000-0000-0000D1530000}"/>
    <cellStyle name="40% - Accent6 9 2 2" xfId="635" xr:uid="{00000000-0005-0000-0000-0000D2530000}"/>
    <cellStyle name="40% - Accent6 9 2 2 2" xfId="1663" xr:uid="{00000000-0005-0000-0000-0000D3530000}"/>
    <cellStyle name="40% - Accent6 9 2 2 2 2" xfId="5193" xr:uid="{00000000-0005-0000-0000-0000D4530000}"/>
    <cellStyle name="40% - Accent6 9 2 2 2 2 2" xfId="8784" xr:uid="{00000000-0005-0000-0000-0000D5530000}"/>
    <cellStyle name="40% - Accent6 9 2 2 2 2 2 2" xfId="16755" xr:uid="{00000000-0005-0000-0000-0000D6530000}"/>
    <cellStyle name="40% - Accent6 9 2 2 2 2 2 3" xfId="24701" xr:uid="{00000000-0005-0000-0000-0000D7530000}"/>
    <cellStyle name="40% - Accent6 9 2 2 2 2 3" xfId="13217" xr:uid="{00000000-0005-0000-0000-0000D8530000}"/>
    <cellStyle name="40% - Accent6 9 2 2 2 2 4" xfId="21172" xr:uid="{00000000-0005-0000-0000-0000D9530000}"/>
    <cellStyle name="40% - Accent6 9 2 2 2 3" xfId="7025" xr:uid="{00000000-0005-0000-0000-0000DA530000}"/>
    <cellStyle name="40% - Accent6 9 2 2 2 3 2" xfId="14997" xr:uid="{00000000-0005-0000-0000-0000DB530000}"/>
    <cellStyle name="40% - Accent6 9 2 2 2 3 3" xfId="22944" xr:uid="{00000000-0005-0000-0000-0000DC530000}"/>
    <cellStyle name="40% - Accent6 9 2 2 2 4" xfId="11461" xr:uid="{00000000-0005-0000-0000-0000DD530000}"/>
    <cellStyle name="40% - Accent6 9 2 2 2 5" xfId="19416" xr:uid="{00000000-0005-0000-0000-0000DE530000}"/>
    <cellStyle name="40% - Accent6 9 2 2 2_Exh G" xfId="3422" xr:uid="{00000000-0005-0000-0000-0000DF530000}"/>
    <cellStyle name="40% - Accent6 9 2 2 3" xfId="4314" xr:uid="{00000000-0005-0000-0000-0000E0530000}"/>
    <cellStyle name="40% - Accent6 9 2 2 3 2" xfId="7906" xr:uid="{00000000-0005-0000-0000-0000E1530000}"/>
    <cellStyle name="40% - Accent6 9 2 2 3 2 2" xfId="15877" xr:uid="{00000000-0005-0000-0000-0000E2530000}"/>
    <cellStyle name="40% - Accent6 9 2 2 3 2 3" xfId="23823" xr:uid="{00000000-0005-0000-0000-0000E3530000}"/>
    <cellStyle name="40% - Accent6 9 2 2 3 3" xfId="12339" xr:uid="{00000000-0005-0000-0000-0000E4530000}"/>
    <cellStyle name="40% - Accent6 9 2 2 3 4" xfId="20294" xr:uid="{00000000-0005-0000-0000-0000E5530000}"/>
    <cellStyle name="40% - Accent6 9 2 2 4" xfId="6134" xr:uid="{00000000-0005-0000-0000-0000E6530000}"/>
    <cellStyle name="40% - Accent6 9 2 2 4 2" xfId="14118" xr:uid="{00000000-0005-0000-0000-0000E7530000}"/>
    <cellStyle name="40% - Accent6 9 2 2 4 3" xfId="22066" xr:uid="{00000000-0005-0000-0000-0000E8530000}"/>
    <cellStyle name="40% - Accent6 9 2 2 5" xfId="9687" xr:uid="{00000000-0005-0000-0000-0000E9530000}"/>
    <cellStyle name="40% - Accent6 9 2 2 5 2" xfId="17645" xr:uid="{00000000-0005-0000-0000-0000EA530000}"/>
    <cellStyle name="40% - Accent6 9 2 2 5 3" xfId="25589" xr:uid="{00000000-0005-0000-0000-0000EB530000}"/>
    <cellStyle name="40% - Accent6 9 2 2 6" xfId="10583" xr:uid="{00000000-0005-0000-0000-0000EC530000}"/>
    <cellStyle name="40% - Accent6 9 2 2 7" xfId="18538" xr:uid="{00000000-0005-0000-0000-0000ED530000}"/>
    <cellStyle name="40% - Accent6 9 2 2_Exh G" xfId="3421" xr:uid="{00000000-0005-0000-0000-0000EE530000}"/>
    <cellStyle name="40% - Accent6 9 2 3" xfId="1662" xr:uid="{00000000-0005-0000-0000-0000EF530000}"/>
    <cellStyle name="40% - Accent6 9 2 3 2" xfId="5192" xr:uid="{00000000-0005-0000-0000-0000F0530000}"/>
    <cellStyle name="40% - Accent6 9 2 3 2 2" xfId="8783" xr:uid="{00000000-0005-0000-0000-0000F1530000}"/>
    <cellStyle name="40% - Accent6 9 2 3 2 2 2" xfId="16754" xr:uid="{00000000-0005-0000-0000-0000F2530000}"/>
    <cellStyle name="40% - Accent6 9 2 3 2 2 3" xfId="24700" xr:uid="{00000000-0005-0000-0000-0000F3530000}"/>
    <cellStyle name="40% - Accent6 9 2 3 2 3" xfId="13216" xr:uid="{00000000-0005-0000-0000-0000F4530000}"/>
    <cellStyle name="40% - Accent6 9 2 3 2 4" xfId="21171" xr:uid="{00000000-0005-0000-0000-0000F5530000}"/>
    <cellStyle name="40% - Accent6 9 2 3 3" xfId="7024" xr:uid="{00000000-0005-0000-0000-0000F6530000}"/>
    <cellStyle name="40% - Accent6 9 2 3 3 2" xfId="14996" xr:uid="{00000000-0005-0000-0000-0000F7530000}"/>
    <cellStyle name="40% - Accent6 9 2 3 3 3" xfId="22943" xr:uid="{00000000-0005-0000-0000-0000F8530000}"/>
    <cellStyle name="40% - Accent6 9 2 3 4" xfId="11460" xr:uid="{00000000-0005-0000-0000-0000F9530000}"/>
    <cellStyle name="40% - Accent6 9 2 3 5" xfId="19415" xr:uid="{00000000-0005-0000-0000-0000FA530000}"/>
    <cellStyle name="40% - Accent6 9 2 3_Exh G" xfId="3423" xr:uid="{00000000-0005-0000-0000-0000FB530000}"/>
    <cellStyle name="40% - Accent6 9 2 4" xfId="4313" xr:uid="{00000000-0005-0000-0000-0000FC530000}"/>
    <cellStyle name="40% - Accent6 9 2 4 2" xfId="7905" xr:uid="{00000000-0005-0000-0000-0000FD530000}"/>
    <cellStyle name="40% - Accent6 9 2 4 2 2" xfId="15876" xr:uid="{00000000-0005-0000-0000-0000FE530000}"/>
    <cellStyle name="40% - Accent6 9 2 4 2 3" xfId="23822" xr:uid="{00000000-0005-0000-0000-0000FF530000}"/>
    <cellStyle name="40% - Accent6 9 2 4 3" xfId="12338" xr:uid="{00000000-0005-0000-0000-000000540000}"/>
    <cellStyle name="40% - Accent6 9 2 4 4" xfId="20293" xr:uid="{00000000-0005-0000-0000-000001540000}"/>
    <cellStyle name="40% - Accent6 9 2 5" xfId="6133" xr:uid="{00000000-0005-0000-0000-000002540000}"/>
    <cellStyle name="40% - Accent6 9 2 5 2" xfId="14117" xr:uid="{00000000-0005-0000-0000-000003540000}"/>
    <cellStyle name="40% - Accent6 9 2 5 3" xfId="22065" xr:uid="{00000000-0005-0000-0000-000004540000}"/>
    <cellStyle name="40% - Accent6 9 2 6" xfId="9686" xr:uid="{00000000-0005-0000-0000-000005540000}"/>
    <cellStyle name="40% - Accent6 9 2 6 2" xfId="17644" xr:uid="{00000000-0005-0000-0000-000006540000}"/>
    <cellStyle name="40% - Accent6 9 2 6 3" xfId="25588" xr:uid="{00000000-0005-0000-0000-000007540000}"/>
    <cellStyle name="40% - Accent6 9 2 7" xfId="10582" xr:uid="{00000000-0005-0000-0000-000008540000}"/>
    <cellStyle name="40% - Accent6 9 2 8" xfId="18537" xr:uid="{00000000-0005-0000-0000-000009540000}"/>
    <cellStyle name="40% - Accent6 9 2_Exh G" xfId="3420" xr:uid="{00000000-0005-0000-0000-00000A540000}"/>
    <cellStyle name="40% - Accent6 9 3" xfId="636" xr:uid="{00000000-0005-0000-0000-00000B540000}"/>
    <cellStyle name="40% - Accent6 9 3 2" xfId="1664" xr:uid="{00000000-0005-0000-0000-00000C540000}"/>
    <cellStyle name="40% - Accent6 9 3 2 2" xfId="5194" xr:uid="{00000000-0005-0000-0000-00000D540000}"/>
    <cellStyle name="40% - Accent6 9 3 2 2 2" xfId="8785" xr:uid="{00000000-0005-0000-0000-00000E540000}"/>
    <cellStyle name="40% - Accent6 9 3 2 2 2 2" xfId="16756" xr:uid="{00000000-0005-0000-0000-00000F540000}"/>
    <cellStyle name="40% - Accent6 9 3 2 2 2 3" xfId="24702" xr:uid="{00000000-0005-0000-0000-000010540000}"/>
    <cellStyle name="40% - Accent6 9 3 2 2 3" xfId="13218" xr:uid="{00000000-0005-0000-0000-000011540000}"/>
    <cellStyle name="40% - Accent6 9 3 2 2 4" xfId="21173" xr:uid="{00000000-0005-0000-0000-000012540000}"/>
    <cellStyle name="40% - Accent6 9 3 2 3" xfId="7026" xr:uid="{00000000-0005-0000-0000-000013540000}"/>
    <cellStyle name="40% - Accent6 9 3 2 3 2" xfId="14998" xr:uid="{00000000-0005-0000-0000-000014540000}"/>
    <cellStyle name="40% - Accent6 9 3 2 3 3" xfId="22945" xr:uid="{00000000-0005-0000-0000-000015540000}"/>
    <cellStyle name="40% - Accent6 9 3 2 4" xfId="11462" xr:uid="{00000000-0005-0000-0000-000016540000}"/>
    <cellStyle name="40% - Accent6 9 3 2 5" xfId="19417" xr:uid="{00000000-0005-0000-0000-000017540000}"/>
    <cellStyle name="40% - Accent6 9 3 2_Exh G" xfId="3425" xr:uid="{00000000-0005-0000-0000-000018540000}"/>
    <cellStyle name="40% - Accent6 9 3 3" xfId="4315" xr:uid="{00000000-0005-0000-0000-000019540000}"/>
    <cellStyle name="40% - Accent6 9 3 3 2" xfId="7907" xr:uid="{00000000-0005-0000-0000-00001A540000}"/>
    <cellStyle name="40% - Accent6 9 3 3 2 2" xfId="15878" xr:uid="{00000000-0005-0000-0000-00001B540000}"/>
    <cellStyle name="40% - Accent6 9 3 3 2 3" xfId="23824" xr:uid="{00000000-0005-0000-0000-00001C540000}"/>
    <cellStyle name="40% - Accent6 9 3 3 3" xfId="12340" xr:uid="{00000000-0005-0000-0000-00001D540000}"/>
    <cellStyle name="40% - Accent6 9 3 3 4" xfId="20295" xr:uid="{00000000-0005-0000-0000-00001E540000}"/>
    <cellStyle name="40% - Accent6 9 3 4" xfId="6135" xr:uid="{00000000-0005-0000-0000-00001F540000}"/>
    <cellStyle name="40% - Accent6 9 3 4 2" xfId="14119" xr:uid="{00000000-0005-0000-0000-000020540000}"/>
    <cellStyle name="40% - Accent6 9 3 4 3" xfId="22067" xr:uid="{00000000-0005-0000-0000-000021540000}"/>
    <cellStyle name="40% - Accent6 9 3 5" xfId="9688" xr:uid="{00000000-0005-0000-0000-000022540000}"/>
    <cellStyle name="40% - Accent6 9 3 5 2" xfId="17646" xr:uid="{00000000-0005-0000-0000-000023540000}"/>
    <cellStyle name="40% - Accent6 9 3 5 3" xfId="25590" xr:uid="{00000000-0005-0000-0000-000024540000}"/>
    <cellStyle name="40% - Accent6 9 3 6" xfId="10584" xr:uid="{00000000-0005-0000-0000-000025540000}"/>
    <cellStyle name="40% - Accent6 9 3 7" xfId="18539" xr:uid="{00000000-0005-0000-0000-000026540000}"/>
    <cellStyle name="40% - Accent6 9 3_Exh G" xfId="3424" xr:uid="{00000000-0005-0000-0000-000027540000}"/>
    <cellStyle name="40% - Accent6 9 4" xfId="1005" xr:uid="{00000000-0005-0000-0000-000028540000}"/>
    <cellStyle name="40% - Accent6 9 4 2" xfId="1918" xr:uid="{00000000-0005-0000-0000-000029540000}"/>
    <cellStyle name="40% - Accent6 9 4 2 2" xfId="5436" xr:uid="{00000000-0005-0000-0000-00002A540000}"/>
    <cellStyle name="40% - Accent6 9 4 2 2 2" xfId="9027" xr:uid="{00000000-0005-0000-0000-00002B540000}"/>
    <cellStyle name="40% - Accent6 9 4 2 2 2 2" xfId="16998" xr:uid="{00000000-0005-0000-0000-00002C540000}"/>
    <cellStyle name="40% - Accent6 9 4 2 2 2 3" xfId="24944" xr:uid="{00000000-0005-0000-0000-00002D540000}"/>
    <cellStyle name="40% - Accent6 9 4 2 2 3" xfId="13460" xr:uid="{00000000-0005-0000-0000-00002E540000}"/>
    <cellStyle name="40% - Accent6 9 4 2 2 4" xfId="21415" xr:uid="{00000000-0005-0000-0000-00002F540000}"/>
    <cellStyle name="40% - Accent6 9 4 2 3" xfId="7268" xr:uid="{00000000-0005-0000-0000-000030540000}"/>
    <cellStyle name="40% - Accent6 9 4 2 3 2" xfId="15240" xr:uid="{00000000-0005-0000-0000-000031540000}"/>
    <cellStyle name="40% - Accent6 9 4 2 3 3" xfId="23187" xr:uid="{00000000-0005-0000-0000-000032540000}"/>
    <cellStyle name="40% - Accent6 9 4 2 4" xfId="11704" xr:uid="{00000000-0005-0000-0000-000033540000}"/>
    <cellStyle name="40% - Accent6 9 4 2 5" xfId="19659" xr:uid="{00000000-0005-0000-0000-000034540000}"/>
    <cellStyle name="40% - Accent6 9 4 2_Exh G" xfId="3427" xr:uid="{00000000-0005-0000-0000-000035540000}"/>
    <cellStyle name="40% - Accent6 9 4 3" xfId="4557" xr:uid="{00000000-0005-0000-0000-000036540000}"/>
    <cellStyle name="40% - Accent6 9 4 3 2" xfId="8149" xr:uid="{00000000-0005-0000-0000-000037540000}"/>
    <cellStyle name="40% - Accent6 9 4 3 2 2" xfId="16120" xr:uid="{00000000-0005-0000-0000-000038540000}"/>
    <cellStyle name="40% - Accent6 9 4 3 2 3" xfId="24066" xr:uid="{00000000-0005-0000-0000-000039540000}"/>
    <cellStyle name="40% - Accent6 9 4 3 3" xfId="12582" xr:uid="{00000000-0005-0000-0000-00003A540000}"/>
    <cellStyle name="40% - Accent6 9 4 3 4" xfId="20537" xr:uid="{00000000-0005-0000-0000-00003B540000}"/>
    <cellStyle name="40% - Accent6 9 4 4" xfId="6387" xr:uid="{00000000-0005-0000-0000-00003C540000}"/>
    <cellStyle name="40% - Accent6 9 4 4 2" xfId="14362" xr:uid="{00000000-0005-0000-0000-00003D540000}"/>
    <cellStyle name="40% - Accent6 9 4 4 3" xfId="22309" xr:uid="{00000000-0005-0000-0000-00003E540000}"/>
    <cellStyle name="40% - Accent6 9 4 5" xfId="9930" xr:uid="{00000000-0005-0000-0000-00003F540000}"/>
    <cellStyle name="40% - Accent6 9 4 5 2" xfId="17888" xr:uid="{00000000-0005-0000-0000-000040540000}"/>
    <cellStyle name="40% - Accent6 9 4 5 3" xfId="25832" xr:uid="{00000000-0005-0000-0000-000041540000}"/>
    <cellStyle name="40% - Accent6 9 4 6" xfId="10826" xr:uid="{00000000-0005-0000-0000-000042540000}"/>
    <cellStyle name="40% - Accent6 9 4 7" xfId="18781" xr:uid="{00000000-0005-0000-0000-000043540000}"/>
    <cellStyle name="40% - Accent6 9 4_Exh G" xfId="3426" xr:uid="{00000000-0005-0000-0000-000044540000}"/>
    <cellStyle name="40% - Accent6 9 5" xfId="1661" xr:uid="{00000000-0005-0000-0000-000045540000}"/>
    <cellStyle name="40% - Accent6 9 5 2" xfId="5191" xr:uid="{00000000-0005-0000-0000-000046540000}"/>
    <cellStyle name="40% - Accent6 9 5 2 2" xfId="8782" xr:uid="{00000000-0005-0000-0000-000047540000}"/>
    <cellStyle name="40% - Accent6 9 5 2 2 2" xfId="16753" xr:uid="{00000000-0005-0000-0000-000048540000}"/>
    <cellStyle name="40% - Accent6 9 5 2 2 3" xfId="24699" xr:uid="{00000000-0005-0000-0000-000049540000}"/>
    <cellStyle name="40% - Accent6 9 5 2 3" xfId="13215" xr:uid="{00000000-0005-0000-0000-00004A540000}"/>
    <cellStyle name="40% - Accent6 9 5 2 4" xfId="21170" xr:uid="{00000000-0005-0000-0000-00004B540000}"/>
    <cellStyle name="40% - Accent6 9 5 3" xfId="7023" xr:uid="{00000000-0005-0000-0000-00004C540000}"/>
    <cellStyle name="40% - Accent6 9 5 3 2" xfId="14995" xr:uid="{00000000-0005-0000-0000-00004D540000}"/>
    <cellStyle name="40% - Accent6 9 5 3 3" xfId="22942" xr:uid="{00000000-0005-0000-0000-00004E540000}"/>
    <cellStyle name="40% - Accent6 9 5 4" xfId="11459" xr:uid="{00000000-0005-0000-0000-00004F540000}"/>
    <cellStyle name="40% - Accent6 9 5 5" xfId="19414" xr:uid="{00000000-0005-0000-0000-000050540000}"/>
    <cellStyle name="40% - Accent6 9 5_Exh G" xfId="3428" xr:uid="{00000000-0005-0000-0000-000051540000}"/>
    <cellStyle name="40% - Accent6 9 6" xfId="4312" xr:uid="{00000000-0005-0000-0000-000052540000}"/>
    <cellStyle name="40% - Accent6 9 6 2" xfId="7904" xr:uid="{00000000-0005-0000-0000-000053540000}"/>
    <cellStyle name="40% - Accent6 9 6 2 2" xfId="15875" xr:uid="{00000000-0005-0000-0000-000054540000}"/>
    <cellStyle name="40% - Accent6 9 6 2 3" xfId="23821" xr:uid="{00000000-0005-0000-0000-000055540000}"/>
    <cellStyle name="40% - Accent6 9 6 3" xfId="12337" xr:uid="{00000000-0005-0000-0000-000056540000}"/>
    <cellStyle name="40% - Accent6 9 6 4" xfId="20292" xr:uid="{00000000-0005-0000-0000-000057540000}"/>
    <cellStyle name="40% - Accent6 9 7" xfId="6132" xr:uid="{00000000-0005-0000-0000-000058540000}"/>
    <cellStyle name="40% - Accent6 9 7 2" xfId="14116" xr:uid="{00000000-0005-0000-0000-000059540000}"/>
    <cellStyle name="40% - Accent6 9 7 3" xfId="22064" xr:uid="{00000000-0005-0000-0000-00005A540000}"/>
    <cellStyle name="40% - Accent6 9 8" xfId="9685" xr:uid="{00000000-0005-0000-0000-00005B540000}"/>
    <cellStyle name="40% - Accent6 9 8 2" xfId="17643" xr:uid="{00000000-0005-0000-0000-00005C540000}"/>
    <cellStyle name="40% - Accent6 9 8 3" xfId="25587" xr:uid="{00000000-0005-0000-0000-00005D540000}"/>
    <cellStyle name="40% - Accent6 9 9" xfId="10581" xr:uid="{00000000-0005-0000-0000-00005E540000}"/>
    <cellStyle name="40% - Accent6 9_Exh G" xfId="3419" xr:uid="{00000000-0005-0000-0000-00005F540000}"/>
    <cellStyle name="60% - Accent1 2" xfId="742" xr:uid="{00000000-0005-0000-0000-000060540000}"/>
    <cellStyle name="60% - Accent1 3" xfId="743" xr:uid="{00000000-0005-0000-0000-000061540000}"/>
    <cellStyle name="60% - Accent1 4" xfId="744" xr:uid="{00000000-0005-0000-0000-000062540000}"/>
    <cellStyle name="60% - Accent2 2" xfId="745" xr:uid="{00000000-0005-0000-0000-000063540000}"/>
    <cellStyle name="60% - Accent2 3" xfId="746" xr:uid="{00000000-0005-0000-0000-000064540000}"/>
    <cellStyle name="60% - Accent2 4" xfId="747" xr:uid="{00000000-0005-0000-0000-000065540000}"/>
    <cellStyle name="60% - Accent3 2" xfId="748" xr:uid="{00000000-0005-0000-0000-000066540000}"/>
    <cellStyle name="60% - Accent3 3" xfId="749" xr:uid="{00000000-0005-0000-0000-000067540000}"/>
    <cellStyle name="60% - Accent3 4" xfId="750" xr:uid="{00000000-0005-0000-0000-000068540000}"/>
    <cellStyle name="60% - Accent4 2" xfId="751" xr:uid="{00000000-0005-0000-0000-000069540000}"/>
    <cellStyle name="60% - Accent4 3" xfId="752" xr:uid="{00000000-0005-0000-0000-00006A540000}"/>
    <cellStyle name="60% - Accent4 4" xfId="753" xr:uid="{00000000-0005-0000-0000-00006B540000}"/>
    <cellStyle name="60% - Accent5 2" xfId="754" xr:uid="{00000000-0005-0000-0000-00006C540000}"/>
    <cellStyle name="60% - Accent5 3" xfId="755" xr:uid="{00000000-0005-0000-0000-00006D540000}"/>
    <cellStyle name="60% - Accent5 4" xfId="756" xr:uid="{00000000-0005-0000-0000-00006E540000}"/>
    <cellStyle name="60% - Accent6 2" xfId="757" xr:uid="{00000000-0005-0000-0000-00006F540000}"/>
    <cellStyle name="60% - Accent6 3" xfId="758" xr:uid="{00000000-0005-0000-0000-000070540000}"/>
    <cellStyle name="60% - Accent6 4" xfId="759" xr:uid="{00000000-0005-0000-0000-000071540000}"/>
    <cellStyle name="Accent1 2" xfId="760" xr:uid="{00000000-0005-0000-0000-000072540000}"/>
    <cellStyle name="Accent1 3" xfId="761" xr:uid="{00000000-0005-0000-0000-000073540000}"/>
    <cellStyle name="Accent1 4" xfId="762" xr:uid="{00000000-0005-0000-0000-000074540000}"/>
    <cellStyle name="Accent2 2" xfId="763" xr:uid="{00000000-0005-0000-0000-000075540000}"/>
    <cellStyle name="Accent2 3" xfId="764" xr:uid="{00000000-0005-0000-0000-000076540000}"/>
    <cellStyle name="Accent2 4" xfId="765" xr:uid="{00000000-0005-0000-0000-000077540000}"/>
    <cellStyle name="Accent3 2" xfId="766" xr:uid="{00000000-0005-0000-0000-000078540000}"/>
    <cellStyle name="Accent3 3" xfId="767" xr:uid="{00000000-0005-0000-0000-000079540000}"/>
    <cellStyle name="Accent3 4" xfId="768" xr:uid="{00000000-0005-0000-0000-00007A540000}"/>
    <cellStyle name="Accent4 2" xfId="769" xr:uid="{00000000-0005-0000-0000-00007B540000}"/>
    <cellStyle name="Accent4 3" xfId="770" xr:uid="{00000000-0005-0000-0000-00007C540000}"/>
    <cellStyle name="Accent4 4" xfId="771" xr:uid="{00000000-0005-0000-0000-00007D540000}"/>
    <cellStyle name="Accent5 2" xfId="772" xr:uid="{00000000-0005-0000-0000-00007E540000}"/>
    <cellStyle name="Accent5 3" xfId="773" xr:uid="{00000000-0005-0000-0000-00007F540000}"/>
    <cellStyle name="Accent5 4" xfId="774" xr:uid="{00000000-0005-0000-0000-000080540000}"/>
    <cellStyle name="Accent6 2" xfId="775" xr:uid="{00000000-0005-0000-0000-000081540000}"/>
    <cellStyle name="Accent6 3" xfId="776" xr:uid="{00000000-0005-0000-0000-000082540000}"/>
    <cellStyle name="Accent6 4" xfId="777" xr:uid="{00000000-0005-0000-0000-000083540000}"/>
    <cellStyle name="Bad 2" xfId="778" xr:uid="{00000000-0005-0000-0000-000084540000}"/>
    <cellStyle name="Bad 3" xfId="779" xr:uid="{00000000-0005-0000-0000-000085540000}"/>
    <cellStyle name="Bad 4" xfId="780" xr:uid="{00000000-0005-0000-0000-000086540000}"/>
    <cellStyle name="Calculation 2" xfId="781" xr:uid="{00000000-0005-0000-0000-000087540000}"/>
    <cellStyle name="Calculation 3" xfId="782" xr:uid="{00000000-0005-0000-0000-000088540000}"/>
    <cellStyle name="Calculation 3 2" xfId="6238" xr:uid="{00000000-0005-0000-0000-000089540000}"/>
    <cellStyle name="Calculation 4" xfId="783" xr:uid="{00000000-0005-0000-0000-00008A540000}"/>
    <cellStyle name="Calculation 4 2" xfId="6239" xr:uid="{00000000-0005-0000-0000-00008B540000}"/>
    <cellStyle name="Check Cell 2" xfId="784" xr:uid="{00000000-0005-0000-0000-00008C540000}"/>
    <cellStyle name="Check Cell 3" xfId="785" xr:uid="{00000000-0005-0000-0000-00008D540000}"/>
    <cellStyle name="Check Cell 4" xfId="786" xr:uid="{00000000-0005-0000-0000-00008E540000}"/>
    <cellStyle name="Comma" xfId="17924" builtinId="3"/>
    <cellStyle name="Comma 10" xfId="9049" xr:uid="{00000000-0005-0000-0000-000090540000}"/>
    <cellStyle name="Comma 11" xfId="25869" xr:uid="{00000000-0005-0000-0000-000091540000}"/>
    <cellStyle name="Comma 2" xfId="1" xr:uid="{00000000-0005-0000-0000-000092540000}"/>
    <cellStyle name="Comma 2 2" xfId="741" xr:uid="{00000000-0005-0000-0000-000093540000}"/>
    <cellStyle name="Comma 2 2 2" xfId="833" xr:uid="{00000000-0005-0000-0000-000094540000}"/>
    <cellStyle name="Comma 2 2 2 2" xfId="1773" xr:uid="{00000000-0005-0000-0000-000095540000}"/>
    <cellStyle name="Comma 2 2 3" xfId="1007" xr:uid="{00000000-0005-0000-0000-000096540000}"/>
    <cellStyle name="Comma 2 3" xfId="834" xr:uid="{00000000-0005-0000-0000-000097540000}"/>
    <cellStyle name="Comma 2 3 2" xfId="1774" xr:uid="{00000000-0005-0000-0000-000098540000}"/>
    <cellStyle name="Comma 2 4" xfId="835" xr:uid="{00000000-0005-0000-0000-000099540000}"/>
    <cellStyle name="Comma 2 4 2" xfId="1775" xr:uid="{00000000-0005-0000-0000-00009A540000}"/>
    <cellStyle name="Comma 2 5" xfId="857" xr:uid="{00000000-0005-0000-0000-00009B540000}"/>
    <cellStyle name="Comma 2 5 2" xfId="1796" xr:uid="{00000000-0005-0000-0000-00009C540000}"/>
    <cellStyle name="Comma 2 6" xfId="1006" xr:uid="{00000000-0005-0000-0000-00009D540000}"/>
    <cellStyle name="Comma 2 7" xfId="1044" xr:uid="{00000000-0005-0000-0000-00009E540000}"/>
    <cellStyle name="Comma 2 8" xfId="5467" xr:uid="{00000000-0005-0000-0000-00009F540000}"/>
    <cellStyle name="Comma 2 9" xfId="5497" xr:uid="{00000000-0005-0000-0000-0000A0540000}"/>
    <cellStyle name="Comma 2 9 2" xfId="5514" xr:uid="{00000000-0005-0000-0000-0000A1540000}"/>
    <cellStyle name="Comma 3" xfId="5" xr:uid="{00000000-0005-0000-0000-0000A2540000}"/>
    <cellStyle name="Comma 3 2" xfId="1008" xr:uid="{00000000-0005-0000-0000-0000A3540000}"/>
    <cellStyle name="Comma 3 2 2" xfId="1919" xr:uid="{00000000-0005-0000-0000-0000A4540000}"/>
    <cellStyle name="Comma 3 2 2 2" xfId="5437" xr:uid="{00000000-0005-0000-0000-0000A5540000}"/>
    <cellStyle name="Comma 3 2 2 2 2" xfId="9028" xr:uid="{00000000-0005-0000-0000-0000A6540000}"/>
    <cellStyle name="Comma 3 2 2 2 2 2" xfId="16999" xr:uid="{00000000-0005-0000-0000-0000A7540000}"/>
    <cellStyle name="Comma 3 2 2 2 2 3" xfId="24945" xr:uid="{00000000-0005-0000-0000-0000A8540000}"/>
    <cellStyle name="Comma 3 2 2 2 3" xfId="13461" xr:uid="{00000000-0005-0000-0000-0000A9540000}"/>
    <cellStyle name="Comma 3 2 2 2 4" xfId="21416" xr:uid="{00000000-0005-0000-0000-0000AA540000}"/>
    <cellStyle name="Comma 3 2 2 3" xfId="7269" xr:uid="{00000000-0005-0000-0000-0000AB540000}"/>
    <cellStyle name="Comma 3 2 2 3 2" xfId="15241" xr:uid="{00000000-0005-0000-0000-0000AC540000}"/>
    <cellStyle name="Comma 3 2 2 3 3" xfId="23188" xr:uid="{00000000-0005-0000-0000-0000AD540000}"/>
    <cellStyle name="Comma 3 2 2 4" xfId="11705" xr:uid="{00000000-0005-0000-0000-0000AE540000}"/>
    <cellStyle name="Comma 3 2 2 5" xfId="19660" xr:uid="{00000000-0005-0000-0000-0000AF540000}"/>
    <cellStyle name="Comma 3 2 3" xfId="4558" xr:uid="{00000000-0005-0000-0000-0000B0540000}"/>
    <cellStyle name="Comma 3 2 3 2" xfId="8150" xr:uid="{00000000-0005-0000-0000-0000B1540000}"/>
    <cellStyle name="Comma 3 2 3 2 2" xfId="16121" xr:uid="{00000000-0005-0000-0000-0000B2540000}"/>
    <cellStyle name="Comma 3 2 3 2 3" xfId="24067" xr:uid="{00000000-0005-0000-0000-0000B3540000}"/>
    <cellStyle name="Comma 3 2 3 3" xfId="12583" xr:uid="{00000000-0005-0000-0000-0000B4540000}"/>
    <cellStyle name="Comma 3 2 3 4" xfId="20538" xr:uid="{00000000-0005-0000-0000-0000B5540000}"/>
    <cellStyle name="Comma 3 2 4" xfId="5473" xr:uid="{00000000-0005-0000-0000-0000B6540000}"/>
    <cellStyle name="Comma 3 2 5" xfId="6388" xr:uid="{00000000-0005-0000-0000-0000B7540000}"/>
    <cellStyle name="Comma 3 2 5 2" xfId="14363" xr:uid="{00000000-0005-0000-0000-0000B8540000}"/>
    <cellStyle name="Comma 3 2 5 3" xfId="22310" xr:uid="{00000000-0005-0000-0000-0000B9540000}"/>
    <cellStyle name="Comma 3 2 6" xfId="9931" xr:uid="{00000000-0005-0000-0000-0000BA540000}"/>
    <cellStyle name="Comma 3 2 6 2" xfId="17889" xr:uid="{00000000-0005-0000-0000-0000BB540000}"/>
    <cellStyle name="Comma 3 2 6 3" xfId="25833" xr:uid="{00000000-0005-0000-0000-0000BC540000}"/>
    <cellStyle name="Comma 3 2 7" xfId="10827" xr:uid="{00000000-0005-0000-0000-0000BD540000}"/>
    <cellStyle name="Comma 3 2 8" xfId="18782" xr:uid="{00000000-0005-0000-0000-0000BE540000}"/>
    <cellStyle name="Comma 3 3" xfId="1046" xr:uid="{00000000-0005-0000-0000-0000BF540000}"/>
    <cellStyle name="Comma 3 4" xfId="5469" xr:uid="{00000000-0005-0000-0000-0000C0540000}"/>
    <cellStyle name="Comma 3 5" xfId="5518" xr:uid="{00000000-0005-0000-0000-0000C1540000}"/>
    <cellStyle name="Comma 4" xfId="9" xr:uid="{00000000-0005-0000-0000-0000C2540000}"/>
    <cellStyle name="Comma 4 2" xfId="1009" xr:uid="{00000000-0005-0000-0000-0000C3540000}"/>
    <cellStyle name="Comma 5" xfId="11" xr:uid="{00000000-0005-0000-0000-0000C4540000}"/>
    <cellStyle name="Comma 6" xfId="21" xr:uid="{00000000-0005-0000-0000-0000C5540000}"/>
    <cellStyle name="Comma 6 2" xfId="1051" xr:uid="{00000000-0005-0000-0000-0000C6540000}"/>
    <cellStyle name="Comma 6 2 2" xfId="4581" xr:uid="{00000000-0005-0000-0000-0000C7540000}"/>
    <cellStyle name="Comma 6 2 2 2" xfId="8172" xr:uid="{00000000-0005-0000-0000-0000C8540000}"/>
    <cellStyle name="Comma 6 2 2 2 2" xfId="16143" xr:uid="{00000000-0005-0000-0000-0000C9540000}"/>
    <cellStyle name="Comma 6 2 2 2 3" xfId="24089" xr:uid="{00000000-0005-0000-0000-0000CA540000}"/>
    <cellStyle name="Comma 6 2 2 3" xfId="12605" xr:uid="{00000000-0005-0000-0000-0000CB540000}"/>
    <cellStyle name="Comma 6 2 2 4" xfId="20560" xr:uid="{00000000-0005-0000-0000-0000CC540000}"/>
    <cellStyle name="Comma 6 2 3" xfId="6413" xr:uid="{00000000-0005-0000-0000-0000CD540000}"/>
    <cellStyle name="Comma 6 2 3 2" xfId="14385" xr:uid="{00000000-0005-0000-0000-0000CE540000}"/>
    <cellStyle name="Comma 6 2 3 3" xfId="22332" xr:uid="{00000000-0005-0000-0000-0000CF540000}"/>
    <cellStyle name="Comma 6 2 4" xfId="10849" xr:uid="{00000000-0005-0000-0000-0000D0540000}"/>
    <cellStyle name="Comma 6 2 5" xfId="18804" xr:uid="{00000000-0005-0000-0000-0000D1540000}"/>
    <cellStyle name="Comma 6 3" xfId="3702" xr:uid="{00000000-0005-0000-0000-0000D2540000}"/>
    <cellStyle name="Comma 6 3 2" xfId="7294" xr:uid="{00000000-0005-0000-0000-0000D3540000}"/>
    <cellStyle name="Comma 6 3 2 2" xfId="15265" xr:uid="{00000000-0005-0000-0000-0000D4540000}"/>
    <cellStyle name="Comma 6 3 2 3" xfId="23211" xr:uid="{00000000-0005-0000-0000-0000D5540000}"/>
    <cellStyle name="Comma 6 3 3" xfId="11727" xr:uid="{00000000-0005-0000-0000-0000D6540000}"/>
    <cellStyle name="Comma 6 3 4" xfId="19682" xr:uid="{00000000-0005-0000-0000-0000D7540000}"/>
    <cellStyle name="Comma 6 4" xfId="5522" xr:uid="{00000000-0005-0000-0000-0000D8540000}"/>
    <cellStyle name="Comma 6 4 2" xfId="13506" xr:uid="{00000000-0005-0000-0000-0000D9540000}"/>
    <cellStyle name="Comma 6 4 3" xfId="21454" xr:uid="{00000000-0005-0000-0000-0000DA540000}"/>
    <cellStyle name="Comma 6 5" xfId="9075" xr:uid="{00000000-0005-0000-0000-0000DB540000}"/>
    <cellStyle name="Comma 6 5 2" xfId="17033" xr:uid="{00000000-0005-0000-0000-0000DC540000}"/>
    <cellStyle name="Comma 6 5 3" xfId="24977" xr:uid="{00000000-0005-0000-0000-0000DD540000}"/>
    <cellStyle name="Comma 6 6" xfId="9971" xr:uid="{00000000-0005-0000-0000-0000DE540000}"/>
    <cellStyle name="Comma 6 7" xfId="17926" xr:uid="{00000000-0005-0000-0000-0000DF540000}"/>
    <cellStyle name="Comma 7" xfId="24" xr:uid="{00000000-0005-0000-0000-0000E0540000}"/>
    <cellStyle name="Comma 8" xfId="832" xr:uid="{00000000-0005-0000-0000-0000E1540000}"/>
    <cellStyle name="Comma 8 2" xfId="1772" xr:uid="{00000000-0005-0000-0000-0000E2540000}"/>
    <cellStyle name="Comma 8 2 2" xfId="5300" xr:uid="{00000000-0005-0000-0000-0000E3540000}"/>
    <cellStyle name="Comma 8 2 2 2" xfId="8891" xr:uid="{00000000-0005-0000-0000-0000E4540000}"/>
    <cellStyle name="Comma 8 2 2 2 2" xfId="16862" xr:uid="{00000000-0005-0000-0000-0000E5540000}"/>
    <cellStyle name="Comma 8 2 2 2 3" xfId="24808" xr:uid="{00000000-0005-0000-0000-0000E6540000}"/>
    <cellStyle name="Comma 8 2 2 3" xfId="13324" xr:uid="{00000000-0005-0000-0000-0000E7540000}"/>
    <cellStyle name="Comma 8 2 2 4" xfId="21279" xr:uid="{00000000-0005-0000-0000-0000E8540000}"/>
    <cellStyle name="Comma 8 2 3" xfId="7132" xr:uid="{00000000-0005-0000-0000-0000E9540000}"/>
    <cellStyle name="Comma 8 2 3 2" xfId="15104" xr:uid="{00000000-0005-0000-0000-0000EA540000}"/>
    <cellStyle name="Comma 8 2 3 3" xfId="23051" xr:uid="{00000000-0005-0000-0000-0000EB540000}"/>
    <cellStyle name="Comma 8 2 4" xfId="11568" xr:uid="{00000000-0005-0000-0000-0000EC540000}"/>
    <cellStyle name="Comma 8 2 5" xfId="19523" xr:uid="{00000000-0005-0000-0000-0000ED540000}"/>
    <cellStyle name="Comma 8 3" xfId="4421" xr:uid="{00000000-0005-0000-0000-0000EE540000}"/>
    <cellStyle name="Comma 8 3 2" xfId="8013" xr:uid="{00000000-0005-0000-0000-0000EF540000}"/>
    <cellStyle name="Comma 8 3 2 2" xfId="15984" xr:uid="{00000000-0005-0000-0000-0000F0540000}"/>
    <cellStyle name="Comma 8 3 2 3" xfId="23930" xr:uid="{00000000-0005-0000-0000-0000F1540000}"/>
    <cellStyle name="Comma 8 3 3" xfId="12446" xr:uid="{00000000-0005-0000-0000-0000F2540000}"/>
    <cellStyle name="Comma 8 3 4" xfId="20401" xr:uid="{00000000-0005-0000-0000-0000F3540000}"/>
    <cellStyle name="Comma 8 4" xfId="6251" xr:uid="{00000000-0005-0000-0000-0000F4540000}"/>
    <cellStyle name="Comma 8 4 2" xfId="14226" xr:uid="{00000000-0005-0000-0000-0000F5540000}"/>
    <cellStyle name="Comma 8 4 3" xfId="22173" xr:uid="{00000000-0005-0000-0000-0000F6540000}"/>
    <cellStyle name="Comma 8 5" xfId="9794" xr:uid="{00000000-0005-0000-0000-0000F7540000}"/>
    <cellStyle name="Comma 8 5 2" xfId="17752" xr:uid="{00000000-0005-0000-0000-0000F8540000}"/>
    <cellStyle name="Comma 8 5 3" xfId="25696" xr:uid="{00000000-0005-0000-0000-0000F9540000}"/>
    <cellStyle name="Comma 8 6" xfId="10690" xr:uid="{00000000-0005-0000-0000-0000FA540000}"/>
    <cellStyle name="Comma 8 7" xfId="18645" xr:uid="{00000000-0005-0000-0000-0000FB540000}"/>
    <cellStyle name="Comma 8 8" xfId="25873" xr:uid="{00000000-0005-0000-0000-0000FC540000}"/>
    <cellStyle name="Comma 9" xfId="842" xr:uid="{00000000-0005-0000-0000-0000FD540000}"/>
    <cellStyle name="Comma 9 2" xfId="1781" xr:uid="{00000000-0005-0000-0000-0000FE540000}"/>
    <cellStyle name="Comma 9 2 2" xfId="5302" xr:uid="{00000000-0005-0000-0000-0000FF540000}"/>
    <cellStyle name="Comma 9 2 2 2" xfId="8893" xr:uid="{00000000-0005-0000-0000-000000550000}"/>
    <cellStyle name="Comma 9 2 2 2 2" xfId="16864" xr:uid="{00000000-0005-0000-0000-000001550000}"/>
    <cellStyle name="Comma 9 2 2 2 3" xfId="24810" xr:uid="{00000000-0005-0000-0000-000002550000}"/>
    <cellStyle name="Comma 9 2 2 3" xfId="13326" xr:uid="{00000000-0005-0000-0000-000003550000}"/>
    <cellStyle name="Comma 9 2 2 4" xfId="21281" xr:uid="{00000000-0005-0000-0000-000004550000}"/>
    <cellStyle name="Comma 9 2 3" xfId="7134" xr:uid="{00000000-0005-0000-0000-000005550000}"/>
    <cellStyle name="Comma 9 2 3 2" xfId="15106" xr:uid="{00000000-0005-0000-0000-000006550000}"/>
    <cellStyle name="Comma 9 2 3 3" xfId="23053" xr:uid="{00000000-0005-0000-0000-000007550000}"/>
    <cellStyle name="Comma 9 2 4" xfId="11570" xr:uid="{00000000-0005-0000-0000-000008550000}"/>
    <cellStyle name="Comma 9 2 5" xfId="19525" xr:uid="{00000000-0005-0000-0000-000009550000}"/>
    <cellStyle name="Comma 9 3" xfId="4423" xr:uid="{00000000-0005-0000-0000-00000A550000}"/>
    <cellStyle name="Comma 9 3 2" xfId="8015" xr:uid="{00000000-0005-0000-0000-00000B550000}"/>
    <cellStyle name="Comma 9 3 2 2" xfId="15986" xr:uid="{00000000-0005-0000-0000-00000C550000}"/>
    <cellStyle name="Comma 9 3 2 3" xfId="23932" xr:uid="{00000000-0005-0000-0000-00000D550000}"/>
    <cellStyle name="Comma 9 3 3" xfId="12448" xr:uid="{00000000-0005-0000-0000-00000E550000}"/>
    <cellStyle name="Comma 9 3 4" xfId="20403" xr:uid="{00000000-0005-0000-0000-00000F550000}"/>
    <cellStyle name="Comma 9 4" xfId="6253" xr:uid="{00000000-0005-0000-0000-000010550000}"/>
    <cellStyle name="Comma 9 4 2" xfId="14228" xr:uid="{00000000-0005-0000-0000-000011550000}"/>
    <cellStyle name="Comma 9 4 3" xfId="22175" xr:uid="{00000000-0005-0000-0000-000012550000}"/>
    <cellStyle name="Comma 9 5" xfId="9796" xr:uid="{00000000-0005-0000-0000-000013550000}"/>
    <cellStyle name="Comma 9 5 2" xfId="17754" xr:uid="{00000000-0005-0000-0000-000014550000}"/>
    <cellStyle name="Comma 9 5 3" xfId="25698" xr:uid="{00000000-0005-0000-0000-000015550000}"/>
    <cellStyle name="Comma 9 6" xfId="10692" xr:uid="{00000000-0005-0000-0000-000016550000}"/>
    <cellStyle name="Comma 9 7" xfId="18647" xr:uid="{00000000-0005-0000-0000-000017550000}"/>
    <cellStyle name="Currency" xfId="25862" builtinId="4"/>
    <cellStyle name="Currency 2" xfId="6" xr:uid="{00000000-0005-0000-0000-000019550000}"/>
    <cellStyle name="Currency 2 2" xfId="1010" xr:uid="{00000000-0005-0000-0000-00001A550000}"/>
    <cellStyle name="Currency 2 3" xfId="1047" xr:uid="{00000000-0005-0000-0000-00001B550000}"/>
    <cellStyle name="Currency 3" xfId="738" xr:uid="{00000000-0005-0000-0000-00001C550000}"/>
    <cellStyle name="Currency 3 2" xfId="1011" xr:uid="{00000000-0005-0000-0000-00001D550000}"/>
    <cellStyle name="Currency 3 3" xfId="1766" xr:uid="{00000000-0005-0000-0000-00001E550000}"/>
    <cellStyle name="Currency 3 3 2" xfId="5296" xr:uid="{00000000-0005-0000-0000-00001F550000}"/>
    <cellStyle name="Currency 3 3 2 2" xfId="8887" xr:uid="{00000000-0005-0000-0000-000020550000}"/>
    <cellStyle name="Currency 3 3 2 2 2" xfId="16858" xr:uid="{00000000-0005-0000-0000-000021550000}"/>
    <cellStyle name="Currency 3 3 2 2 3" xfId="24804" xr:uid="{00000000-0005-0000-0000-000022550000}"/>
    <cellStyle name="Currency 3 3 2 3" xfId="13320" xr:uid="{00000000-0005-0000-0000-000023550000}"/>
    <cellStyle name="Currency 3 3 2 4" xfId="21275" xr:uid="{00000000-0005-0000-0000-000024550000}"/>
    <cellStyle name="Currency 3 3 3" xfId="7128" xr:uid="{00000000-0005-0000-0000-000025550000}"/>
    <cellStyle name="Currency 3 3 3 2" xfId="15100" xr:uid="{00000000-0005-0000-0000-000026550000}"/>
    <cellStyle name="Currency 3 3 3 3" xfId="23047" xr:uid="{00000000-0005-0000-0000-000027550000}"/>
    <cellStyle name="Currency 3 3 4" xfId="11564" xr:uid="{00000000-0005-0000-0000-000028550000}"/>
    <cellStyle name="Currency 3 3 5" xfId="19519" xr:uid="{00000000-0005-0000-0000-000029550000}"/>
    <cellStyle name="Currency 3 4" xfId="4417" xr:uid="{00000000-0005-0000-0000-00002A550000}"/>
    <cellStyle name="Currency 3 4 2" xfId="8009" xr:uid="{00000000-0005-0000-0000-00002B550000}"/>
    <cellStyle name="Currency 3 4 2 2" xfId="15980" xr:uid="{00000000-0005-0000-0000-00002C550000}"/>
    <cellStyle name="Currency 3 4 2 3" xfId="23926" xr:uid="{00000000-0005-0000-0000-00002D550000}"/>
    <cellStyle name="Currency 3 4 3" xfId="12442" xr:uid="{00000000-0005-0000-0000-00002E550000}"/>
    <cellStyle name="Currency 3 4 4" xfId="20397" xr:uid="{00000000-0005-0000-0000-00002F550000}"/>
    <cellStyle name="Currency 3 5" xfId="6237" xr:uid="{00000000-0005-0000-0000-000030550000}"/>
    <cellStyle name="Currency 3 5 2" xfId="14221" xr:uid="{00000000-0005-0000-0000-000031550000}"/>
    <cellStyle name="Currency 3 5 3" xfId="22169" xr:uid="{00000000-0005-0000-0000-000032550000}"/>
    <cellStyle name="Currency 3 6" xfId="9790" xr:uid="{00000000-0005-0000-0000-000033550000}"/>
    <cellStyle name="Currency 3 6 2" xfId="17748" xr:uid="{00000000-0005-0000-0000-000034550000}"/>
    <cellStyle name="Currency 3 6 3" xfId="25692" xr:uid="{00000000-0005-0000-0000-000035550000}"/>
    <cellStyle name="Currency 3 7" xfId="10686" xr:uid="{00000000-0005-0000-0000-000036550000}"/>
    <cellStyle name="Currency 3 8" xfId="18641" xr:uid="{00000000-0005-0000-0000-000037550000}"/>
    <cellStyle name="Currency 4" xfId="856" xr:uid="{00000000-0005-0000-0000-000038550000}"/>
    <cellStyle name="Currency 4 2" xfId="1795" xr:uid="{00000000-0005-0000-0000-000039550000}"/>
    <cellStyle name="Currency 4 2 2" xfId="5316" xr:uid="{00000000-0005-0000-0000-00003A550000}"/>
    <cellStyle name="Currency 4 2 2 2" xfId="8907" xr:uid="{00000000-0005-0000-0000-00003B550000}"/>
    <cellStyle name="Currency 4 2 2 2 2" xfId="16878" xr:uid="{00000000-0005-0000-0000-00003C550000}"/>
    <cellStyle name="Currency 4 2 2 2 3" xfId="24824" xr:uid="{00000000-0005-0000-0000-00003D550000}"/>
    <cellStyle name="Currency 4 2 2 3" xfId="13340" xr:uid="{00000000-0005-0000-0000-00003E550000}"/>
    <cellStyle name="Currency 4 2 2 4" xfId="21295" xr:uid="{00000000-0005-0000-0000-00003F550000}"/>
    <cellStyle name="Currency 4 2 3" xfId="7148" xr:uid="{00000000-0005-0000-0000-000040550000}"/>
    <cellStyle name="Currency 4 2 3 2" xfId="15120" xr:uid="{00000000-0005-0000-0000-000041550000}"/>
    <cellStyle name="Currency 4 2 3 3" xfId="23067" xr:uid="{00000000-0005-0000-0000-000042550000}"/>
    <cellStyle name="Currency 4 2 4" xfId="11584" xr:uid="{00000000-0005-0000-0000-000043550000}"/>
    <cellStyle name="Currency 4 2 5" xfId="19539" xr:uid="{00000000-0005-0000-0000-000044550000}"/>
    <cellStyle name="Currency 4 3" xfId="4437" xr:uid="{00000000-0005-0000-0000-000045550000}"/>
    <cellStyle name="Currency 4 3 2" xfId="8029" xr:uid="{00000000-0005-0000-0000-000046550000}"/>
    <cellStyle name="Currency 4 3 2 2" xfId="16000" xr:uid="{00000000-0005-0000-0000-000047550000}"/>
    <cellStyle name="Currency 4 3 2 3" xfId="23946" xr:uid="{00000000-0005-0000-0000-000048550000}"/>
    <cellStyle name="Currency 4 3 3" xfId="12462" xr:uid="{00000000-0005-0000-0000-000049550000}"/>
    <cellStyle name="Currency 4 3 4" xfId="20417" xr:uid="{00000000-0005-0000-0000-00004A550000}"/>
    <cellStyle name="Currency 4 4" xfId="6267" xr:uid="{00000000-0005-0000-0000-00004B550000}"/>
    <cellStyle name="Currency 4 4 2" xfId="14242" xr:uid="{00000000-0005-0000-0000-00004C550000}"/>
    <cellStyle name="Currency 4 4 3" xfId="22189" xr:uid="{00000000-0005-0000-0000-00004D550000}"/>
    <cellStyle name="Currency 4 5" xfId="9810" xr:uid="{00000000-0005-0000-0000-00004E550000}"/>
    <cellStyle name="Currency 4 5 2" xfId="17768" xr:uid="{00000000-0005-0000-0000-00004F550000}"/>
    <cellStyle name="Currency 4 5 3" xfId="25712" xr:uid="{00000000-0005-0000-0000-000050550000}"/>
    <cellStyle name="Currency 4 6" xfId="10706" xr:uid="{00000000-0005-0000-0000-000051550000}"/>
    <cellStyle name="Currency 4 7" xfId="18661" xr:uid="{00000000-0005-0000-0000-000052550000}"/>
    <cellStyle name="Currency 5" xfId="25868" xr:uid="{00000000-0005-0000-0000-000053550000}"/>
    <cellStyle name="Currency 8" xfId="25874" xr:uid="{00000000-0005-0000-0000-000054550000}"/>
    <cellStyle name="Explanatory Text 2" xfId="787" xr:uid="{00000000-0005-0000-0000-000055550000}"/>
    <cellStyle name="Explanatory Text 3" xfId="788" xr:uid="{00000000-0005-0000-0000-000056550000}"/>
    <cellStyle name="Explanatory Text 4" xfId="789" xr:uid="{00000000-0005-0000-0000-000057550000}"/>
    <cellStyle name="Good 2" xfId="790" xr:uid="{00000000-0005-0000-0000-000058550000}"/>
    <cellStyle name="Good 3" xfId="791" xr:uid="{00000000-0005-0000-0000-000059550000}"/>
    <cellStyle name="Good 4" xfId="792" xr:uid="{00000000-0005-0000-0000-00005A550000}"/>
    <cellStyle name="Heading 1 2" xfId="793" xr:uid="{00000000-0005-0000-0000-00005B550000}"/>
    <cellStyle name="Heading 1 3" xfId="794" xr:uid="{00000000-0005-0000-0000-00005C550000}"/>
    <cellStyle name="Heading 1 4" xfId="795" xr:uid="{00000000-0005-0000-0000-00005D550000}"/>
    <cellStyle name="Heading 2 2" xfId="796" xr:uid="{00000000-0005-0000-0000-00005E550000}"/>
    <cellStyle name="Heading 2 3" xfId="797" xr:uid="{00000000-0005-0000-0000-00005F550000}"/>
    <cellStyle name="Heading 2 4" xfId="798" xr:uid="{00000000-0005-0000-0000-000060550000}"/>
    <cellStyle name="Heading 3 2" xfId="799" xr:uid="{00000000-0005-0000-0000-000061550000}"/>
    <cellStyle name="Heading 3 3" xfId="800" xr:uid="{00000000-0005-0000-0000-000062550000}"/>
    <cellStyle name="Heading 3 4" xfId="801" xr:uid="{00000000-0005-0000-0000-000063550000}"/>
    <cellStyle name="Heading 4 2" xfId="802" xr:uid="{00000000-0005-0000-0000-000064550000}"/>
    <cellStyle name="Heading 4 3" xfId="803" xr:uid="{00000000-0005-0000-0000-000065550000}"/>
    <cellStyle name="Heading 4 4" xfId="804" xr:uid="{00000000-0005-0000-0000-000066550000}"/>
    <cellStyle name="Hyperlink" xfId="861" builtinId="8" customBuiltin="1"/>
    <cellStyle name="Input 2" xfId="805" xr:uid="{00000000-0005-0000-0000-000068550000}"/>
    <cellStyle name="Input 3" xfId="806" xr:uid="{00000000-0005-0000-0000-000069550000}"/>
    <cellStyle name="Input 3 2" xfId="6240" xr:uid="{00000000-0005-0000-0000-00006A550000}"/>
    <cellStyle name="Input 4" xfId="807" xr:uid="{00000000-0005-0000-0000-00006B550000}"/>
    <cellStyle name="Input 4 2" xfId="6241" xr:uid="{00000000-0005-0000-0000-00006C550000}"/>
    <cellStyle name="Linked Cell 2" xfId="808" xr:uid="{00000000-0005-0000-0000-00006D550000}"/>
    <cellStyle name="Linked Cell 3" xfId="809" xr:uid="{00000000-0005-0000-0000-00006E550000}"/>
    <cellStyle name="Linked Cell 4" xfId="810" xr:uid="{00000000-0005-0000-0000-00006F550000}"/>
    <cellStyle name="Neutral 2" xfId="811" xr:uid="{00000000-0005-0000-0000-000070550000}"/>
    <cellStyle name="Neutral 3" xfId="812" xr:uid="{00000000-0005-0000-0000-000071550000}"/>
    <cellStyle name="Neutral 4" xfId="813" xr:uid="{00000000-0005-0000-0000-000072550000}"/>
    <cellStyle name="Normal" xfId="0" builtinId="0"/>
    <cellStyle name="Normal 10" xfId="637" xr:uid="{00000000-0005-0000-0000-000074550000}"/>
    <cellStyle name="Normal 10 10" xfId="18540" xr:uid="{00000000-0005-0000-0000-000075550000}"/>
    <cellStyle name="Normal 10 2" xfId="638" xr:uid="{00000000-0005-0000-0000-000076550000}"/>
    <cellStyle name="Normal 10 2 2" xfId="639" xr:uid="{00000000-0005-0000-0000-000077550000}"/>
    <cellStyle name="Normal 10 2 2 2" xfId="1667" xr:uid="{00000000-0005-0000-0000-000078550000}"/>
    <cellStyle name="Normal 10 2 2 2 2" xfId="5197" xr:uid="{00000000-0005-0000-0000-000079550000}"/>
    <cellStyle name="Normal 10 2 2 2 2 2" xfId="8788" xr:uid="{00000000-0005-0000-0000-00007A550000}"/>
    <cellStyle name="Normal 10 2 2 2 2 2 2" xfId="16759" xr:uid="{00000000-0005-0000-0000-00007B550000}"/>
    <cellStyle name="Normal 10 2 2 2 2 2 3" xfId="24705" xr:uid="{00000000-0005-0000-0000-00007C550000}"/>
    <cellStyle name="Normal 10 2 2 2 2 3" xfId="13221" xr:uid="{00000000-0005-0000-0000-00007D550000}"/>
    <cellStyle name="Normal 10 2 2 2 2 4" xfId="21176" xr:uid="{00000000-0005-0000-0000-00007E550000}"/>
    <cellStyle name="Normal 10 2 2 2 3" xfId="7029" xr:uid="{00000000-0005-0000-0000-00007F550000}"/>
    <cellStyle name="Normal 10 2 2 2 3 2" xfId="15001" xr:uid="{00000000-0005-0000-0000-000080550000}"/>
    <cellStyle name="Normal 10 2 2 2 3 3" xfId="22948" xr:uid="{00000000-0005-0000-0000-000081550000}"/>
    <cellStyle name="Normal 10 2 2 2 4" xfId="11465" xr:uid="{00000000-0005-0000-0000-000082550000}"/>
    <cellStyle name="Normal 10 2 2 2 5" xfId="19420" xr:uid="{00000000-0005-0000-0000-000083550000}"/>
    <cellStyle name="Normal 10 2 2 2_Exh G" xfId="3432" xr:uid="{00000000-0005-0000-0000-000084550000}"/>
    <cellStyle name="Normal 10 2 2 3" xfId="4318" xr:uid="{00000000-0005-0000-0000-000085550000}"/>
    <cellStyle name="Normal 10 2 2 3 2" xfId="7910" xr:uid="{00000000-0005-0000-0000-000086550000}"/>
    <cellStyle name="Normal 10 2 2 3 2 2" xfId="15881" xr:uid="{00000000-0005-0000-0000-000087550000}"/>
    <cellStyle name="Normal 10 2 2 3 2 3" xfId="23827" xr:uid="{00000000-0005-0000-0000-000088550000}"/>
    <cellStyle name="Normal 10 2 2 3 3" xfId="12343" xr:uid="{00000000-0005-0000-0000-000089550000}"/>
    <cellStyle name="Normal 10 2 2 3 4" xfId="20298" xr:uid="{00000000-0005-0000-0000-00008A550000}"/>
    <cellStyle name="Normal 10 2 2 4" xfId="6138" xr:uid="{00000000-0005-0000-0000-00008B550000}"/>
    <cellStyle name="Normal 10 2 2 4 2" xfId="14122" xr:uid="{00000000-0005-0000-0000-00008C550000}"/>
    <cellStyle name="Normal 10 2 2 4 3" xfId="22070" xr:uid="{00000000-0005-0000-0000-00008D550000}"/>
    <cellStyle name="Normal 10 2 2 5" xfId="9691" xr:uid="{00000000-0005-0000-0000-00008E550000}"/>
    <cellStyle name="Normal 10 2 2 5 2" xfId="17649" xr:uid="{00000000-0005-0000-0000-00008F550000}"/>
    <cellStyle name="Normal 10 2 2 5 3" xfId="25593" xr:uid="{00000000-0005-0000-0000-000090550000}"/>
    <cellStyle name="Normal 10 2 2 6" xfId="10587" xr:uid="{00000000-0005-0000-0000-000091550000}"/>
    <cellStyle name="Normal 10 2 2 7" xfId="18542" xr:uid="{00000000-0005-0000-0000-000092550000}"/>
    <cellStyle name="Normal 10 2 2_Exh G" xfId="3431" xr:uid="{00000000-0005-0000-0000-000093550000}"/>
    <cellStyle name="Normal 10 2 3" xfId="1666" xr:uid="{00000000-0005-0000-0000-000094550000}"/>
    <cellStyle name="Normal 10 2 3 2" xfId="5196" xr:uid="{00000000-0005-0000-0000-000095550000}"/>
    <cellStyle name="Normal 10 2 3 2 2" xfId="8787" xr:uid="{00000000-0005-0000-0000-000096550000}"/>
    <cellStyle name="Normal 10 2 3 2 2 2" xfId="16758" xr:uid="{00000000-0005-0000-0000-000097550000}"/>
    <cellStyle name="Normal 10 2 3 2 2 3" xfId="24704" xr:uid="{00000000-0005-0000-0000-000098550000}"/>
    <cellStyle name="Normal 10 2 3 2 3" xfId="13220" xr:uid="{00000000-0005-0000-0000-000099550000}"/>
    <cellStyle name="Normal 10 2 3 2 4" xfId="21175" xr:uid="{00000000-0005-0000-0000-00009A550000}"/>
    <cellStyle name="Normal 10 2 3 3" xfId="7028" xr:uid="{00000000-0005-0000-0000-00009B550000}"/>
    <cellStyle name="Normal 10 2 3 3 2" xfId="15000" xr:uid="{00000000-0005-0000-0000-00009C550000}"/>
    <cellStyle name="Normal 10 2 3 3 3" xfId="22947" xr:uid="{00000000-0005-0000-0000-00009D550000}"/>
    <cellStyle name="Normal 10 2 3 4" xfId="11464" xr:uid="{00000000-0005-0000-0000-00009E550000}"/>
    <cellStyle name="Normal 10 2 3 5" xfId="19419" xr:uid="{00000000-0005-0000-0000-00009F550000}"/>
    <cellStyle name="Normal 10 2 3_Exh G" xfId="3433" xr:uid="{00000000-0005-0000-0000-0000A0550000}"/>
    <cellStyle name="Normal 10 2 4" xfId="4317" xr:uid="{00000000-0005-0000-0000-0000A1550000}"/>
    <cellStyle name="Normal 10 2 4 2" xfId="7909" xr:uid="{00000000-0005-0000-0000-0000A2550000}"/>
    <cellStyle name="Normal 10 2 4 2 2" xfId="15880" xr:uid="{00000000-0005-0000-0000-0000A3550000}"/>
    <cellStyle name="Normal 10 2 4 2 3" xfId="23826" xr:uid="{00000000-0005-0000-0000-0000A4550000}"/>
    <cellStyle name="Normal 10 2 4 3" xfId="12342" xr:uid="{00000000-0005-0000-0000-0000A5550000}"/>
    <cellStyle name="Normal 10 2 4 4" xfId="20297" xr:uid="{00000000-0005-0000-0000-0000A6550000}"/>
    <cellStyle name="Normal 10 2 5" xfId="6137" xr:uid="{00000000-0005-0000-0000-0000A7550000}"/>
    <cellStyle name="Normal 10 2 5 2" xfId="14121" xr:uid="{00000000-0005-0000-0000-0000A8550000}"/>
    <cellStyle name="Normal 10 2 5 3" xfId="22069" xr:uid="{00000000-0005-0000-0000-0000A9550000}"/>
    <cellStyle name="Normal 10 2 6" xfId="9690" xr:uid="{00000000-0005-0000-0000-0000AA550000}"/>
    <cellStyle name="Normal 10 2 6 2" xfId="17648" xr:uid="{00000000-0005-0000-0000-0000AB550000}"/>
    <cellStyle name="Normal 10 2 6 3" xfId="25592" xr:uid="{00000000-0005-0000-0000-0000AC550000}"/>
    <cellStyle name="Normal 10 2 7" xfId="10586" xr:uid="{00000000-0005-0000-0000-0000AD550000}"/>
    <cellStyle name="Normal 10 2 8" xfId="18541" xr:uid="{00000000-0005-0000-0000-0000AE550000}"/>
    <cellStyle name="Normal 10 2_Exh G" xfId="3430" xr:uid="{00000000-0005-0000-0000-0000AF550000}"/>
    <cellStyle name="Normal 10 3" xfId="640" xr:uid="{00000000-0005-0000-0000-0000B0550000}"/>
    <cellStyle name="Normal 10 3 2" xfId="1668" xr:uid="{00000000-0005-0000-0000-0000B1550000}"/>
    <cellStyle name="Normal 10 3 2 2" xfId="5198" xr:uid="{00000000-0005-0000-0000-0000B2550000}"/>
    <cellStyle name="Normal 10 3 2 2 2" xfId="8789" xr:uid="{00000000-0005-0000-0000-0000B3550000}"/>
    <cellStyle name="Normal 10 3 2 2 2 2" xfId="16760" xr:uid="{00000000-0005-0000-0000-0000B4550000}"/>
    <cellStyle name="Normal 10 3 2 2 2 3" xfId="24706" xr:uid="{00000000-0005-0000-0000-0000B5550000}"/>
    <cellStyle name="Normal 10 3 2 2 3" xfId="13222" xr:uid="{00000000-0005-0000-0000-0000B6550000}"/>
    <cellStyle name="Normal 10 3 2 2 4" xfId="21177" xr:uid="{00000000-0005-0000-0000-0000B7550000}"/>
    <cellStyle name="Normal 10 3 2 3" xfId="7030" xr:uid="{00000000-0005-0000-0000-0000B8550000}"/>
    <cellStyle name="Normal 10 3 2 3 2" xfId="15002" xr:uid="{00000000-0005-0000-0000-0000B9550000}"/>
    <cellStyle name="Normal 10 3 2 3 3" xfId="22949" xr:uid="{00000000-0005-0000-0000-0000BA550000}"/>
    <cellStyle name="Normal 10 3 2 4" xfId="11466" xr:uid="{00000000-0005-0000-0000-0000BB550000}"/>
    <cellStyle name="Normal 10 3 2 5" xfId="19421" xr:uid="{00000000-0005-0000-0000-0000BC550000}"/>
    <cellStyle name="Normal 10 3 2_Exh G" xfId="3435" xr:uid="{00000000-0005-0000-0000-0000BD550000}"/>
    <cellStyle name="Normal 10 3 3" xfId="4319" xr:uid="{00000000-0005-0000-0000-0000BE550000}"/>
    <cellStyle name="Normal 10 3 3 2" xfId="7911" xr:uid="{00000000-0005-0000-0000-0000BF550000}"/>
    <cellStyle name="Normal 10 3 3 2 2" xfId="15882" xr:uid="{00000000-0005-0000-0000-0000C0550000}"/>
    <cellStyle name="Normal 10 3 3 2 3" xfId="23828" xr:uid="{00000000-0005-0000-0000-0000C1550000}"/>
    <cellStyle name="Normal 10 3 3 3" xfId="12344" xr:uid="{00000000-0005-0000-0000-0000C2550000}"/>
    <cellStyle name="Normal 10 3 3 4" xfId="20299" xr:uid="{00000000-0005-0000-0000-0000C3550000}"/>
    <cellStyle name="Normal 10 3 4" xfId="6139" xr:uid="{00000000-0005-0000-0000-0000C4550000}"/>
    <cellStyle name="Normal 10 3 4 2" xfId="14123" xr:uid="{00000000-0005-0000-0000-0000C5550000}"/>
    <cellStyle name="Normal 10 3 4 3" xfId="22071" xr:uid="{00000000-0005-0000-0000-0000C6550000}"/>
    <cellStyle name="Normal 10 3 5" xfId="9692" xr:uid="{00000000-0005-0000-0000-0000C7550000}"/>
    <cellStyle name="Normal 10 3 5 2" xfId="17650" xr:uid="{00000000-0005-0000-0000-0000C8550000}"/>
    <cellStyle name="Normal 10 3 5 3" xfId="25594" xr:uid="{00000000-0005-0000-0000-0000C9550000}"/>
    <cellStyle name="Normal 10 3 6" xfId="10588" xr:uid="{00000000-0005-0000-0000-0000CA550000}"/>
    <cellStyle name="Normal 10 3 7" xfId="18543" xr:uid="{00000000-0005-0000-0000-0000CB550000}"/>
    <cellStyle name="Normal 10 3_Exh G" xfId="3434" xr:uid="{00000000-0005-0000-0000-0000CC550000}"/>
    <cellStyle name="Normal 10 4" xfId="1012" xr:uid="{00000000-0005-0000-0000-0000CD550000}"/>
    <cellStyle name="Normal 10 5" xfId="1665" xr:uid="{00000000-0005-0000-0000-0000CE550000}"/>
    <cellStyle name="Normal 10 5 2" xfId="5195" xr:uid="{00000000-0005-0000-0000-0000CF550000}"/>
    <cellStyle name="Normal 10 5 2 2" xfId="8786" xr:uid="{00000000-0005-0000-0000-0000D0550000}"/>
    <cellStyle name="Normal 10 5 2 2 2" xfId="16757" xr:uid="{00000000-0005-0000-0000-0000D1550000}"/>
    <cellStyle name="Normal 10 5 2 2 3" xfId="24703" xr:uid="{00000000-0005-0000-0000-0000D2550000}"/>
    <cellStyle name="Normal 10 5 2 3" xfId="13219" xr:uid="{00000000-0005-0000-0000-0000D3550000}"/>
    <cellStyle name="Normal 10 5 2 4" xfId="21174" xr:uid="{00000000-0005-0000-0000-0000D4550000}"/>
    <cellStyle name="Normal 10 5 3" xfId="7027" xr:uid="{00000000-0005-0000-0000-0000D5550000}"/>
    <cellStyle name="Normal 10 5 3 2" xfId="14999" xr:uid="{00000000-0005-0000-0000-0000D6550000}"/>
    <cellStyle name="Normal 10 5 3 3" xfId="22946" xr:uid="{00000000-0005-0000-0000-0000D7550000}"/>
    <cellStyle name="Normal 10 5 4" xfId="11463" xr:uid="{00000000-0005-0000-0000-0000D8550000}"/>
    <cellStyle name="Normal 10 5 5" xfId="19418" xr:uid="{00000000-0005-0000-0000-0000D9550000}"/>
    <cellStyle name="Normal 10 5_Exh G" xfId="3436" xr:uid="{00000000-0005-0000-0000-0000DA550000}"/>
    <cellStyle name="Normal 10 6" xfId="4316" xr:uid="{00000000-0005-0000-0000-0000DB550000}"/>
    <cellStyle name="Normal 10 6 2" xfId="7908" xr:uid="{00000000-0005-0000-0000-0000DC550000}"/>
    <cellStyle name="Normal 10 6 2 2" xfId="15879" xr:uid="{00000000-0005-0000-0000-0000DD550000}"/>
    <cellStyle name="Normal 10 6 2 3" xfId="23825" xr:uid="{00000000-0005-0000-0000-0000DE550000}"/>
    <cellStyle name="Normal 10 6 3" xfId="12341" xr:uid="{00000000-0005-0000-0000-0000DF550000}"/>
    <cellStyle name="Normal 10 6 4" xfId="20296" xr:uid="{00000000-0005-0000-0000-0000E0550000}"/>
    <cellStyle name="Normal 10 7" xfId="6136" xr:uid="{00000000-0005-0000-0000-0000E1550000}"/>
    <cellStyle name="Normal 10 7 2" xfId="14120" xr:uid="{00000000-0005-0000-0000-0000E2550000}"/>
    <cellStyle name="Normal 10 7 3" xfId="22068" xr:uid="{00000000-0005-0000-0000-0000E3550000}"/>
    <cellStyle name="Normal 10 8" xfId="9689" xr:uid="{00000000-0005-0000-0000-0000E4550000}"/>
    <cellStyle name="Normal 10 8 2" xfId="17647" xr:uid="{00000000-0005-0000-0000-0000E5550000}"/>
    <cellStyle name="Normal 10 8 3" xfId="25591" xr:uid="{00000000-0005-0000-0000-0000E6550000}"/>
    <cellStyle name="Normal 10 9" xfId="10585" xr:uid="{00000000-0005-0000-0000-0000E7550000}"/>
    <cellStyle name="Normal 10_Exh G" xfId="3429" xr:uid="{00000000-0005-0000-0000-0000E8550000}"/>
    <cellStyle name="Normal 11" xfId="641" xr:uid="{00000000-0005-0000-0000-0000E9550000}"/>
    <cellStyle name="Normal 11 10" xfId="18544" xr:uid="{00000000-0005-0000-0000-0000EA550000}"/>
    <cellStyle name="Normal 11 2" xfId="642" xr:uid="{00000000-0005-0000-0000-0000EB550000}"/>
    <cellStyle name="Normal 11 2 2" xfId="643" xr:uid="{00000000-0005-0000-0000-0000EC550000}"/>
    <cellStyle name="Normal 11 2 2 2" xfId="1671" xr:uid="{00000000-0005-0000-0000-0000ED550000}"/>
    <cellStyle name="Normal 11 2 2 2 2" xfId="5201" xr:uid="{00000000-0005-0000-0000-0000EE550000}"/>
    <cellStyle name="Normal 11 2 2 2 2 2" xfId="8792" xr:uid="{00000000-0005-0000-0000-0000EF550000}"/>
    <cellStyle name="Normal 11 2 2 2 2 2 2" xfId="16763" xr:uid="{00000000-0005-0000-0000-0000F0550000}"/>
    <cellStyle name="Normal 11 2 2 2 2 2 3" xfId="24709" xr:uid="{00000000-0005-0000-0000-0000F1550000}"/>
    <cellStyle name="Normal 11 2 2 2 2 3" xfId="13225" xr:uid="{00000000-0005-0000-0000-0000F2550000}"/>
    <cellStyle name="Normal 11 2 2 2 2 4" xfId="21180" xr:uid="{00000000-0005-0000-0000-0000F3550000}"/>
    <cellStyle name="Normal 11 2 2 2 3" xfId="7033" xr:uid="{00000000-0005-0000-0000-0000F4550000}"/>
    <cellStyle name="Normal 11 2 2 2 3 2" xfId="15005" xr:uid="{00000000-0005-0000-0000-0000F5550000}"/>
    <cellStyle name="Normal 11 2 2 2 3 3" xfId="22952" xr:uid="{00000000-0005-0000-0000-0000F6550000}"/>
    <cellStyle name="Normal 11 2 2 2 4" xfId="11469" xr:uid="{00000000-0005-0000-0000-0000F7550000}"/>
    <cellStyle name="Normal 11 2 2 2 5" xfId="19424" xr:uid="{00000000-0005-0000-0000-0000F8550000}"/>
    <cellStyle name="Normal 11 2 2 2_Exh G" xfId="3440" xr:uid="{00000000-0005-0000-0000-0000F9550000}"/>
    <cellStyle name="Normal 11 2 2 3" xfId="4322" xr:uid="{00000000-0005-0000-0000-0000FA550000}"/>
    <cellStyle name="Normal 11 2 2 3 2" xfId="7914" xr:uid="{00000000-0005-0000-0000-0000FB550000}"/>
    <cellStyle name="Normal 11 2 2 3 2 2" xfId="15885" xr:uid="{00000000-0005-0000-0000-0000FC550000}"/>
    <cellStyle name="Normal 11 2 2 3 2 3" xfId="23831" xr:uid="{00000000-0005-0000-0000-0000FD550000}"/>
    <cellStyle name="Normal 11 2 2 3 3" xfId="12347" xr:uid="{00000000-0005-0000-0000-0000FE550000}"/>
    <cellStyle name="Normal 11 2 2 3 4" xfId="20302" xr:uid="{00000000-0005-0000-0000-0000FF550000}"/>
    <cellStyle name="Normal 11 2 2 4" xfId="6142" xr:uid="{00000000-0005-0000-0000-000000560000}"/>
    <cellStyle name="Normal 11 2 2 4 2" xfId="14126" xr:uid="{00000000-0005-0000-0000-000001560000}"/>
    <cellStyle name="Normal 11 2 2 4 3" xfId="22074" xr:uid="{00000000-0005-0000-0000-000002560000}"/>
    <cellStyle name="Normal 11 2 2 5" xfId="9695" xr:uid="{00000000-0005-0000-0000-000003560000}"/>
    <cellStyle name="Normal 11 2 2 5 2" xfId="17653" xr:uid="{00000000-0005-0000-0000-000004560000}"/>
    <cellStyle name="Normal 11 2 2 5 3" xfId="25597" xr:uid="{00000000-0005-0000-0000-000005560000}"/>
    <cellStyle name="Normal 11 2 2 6" xfId="10591" xr:uid="{00000000-0005-0000-0000-000006560000}"/>
    <cellStyle name="Normal 11 2 2 7" xfId="18546" xr:uid="{00000000-0005-0000-0000-000007560000}"/>
    <cellStyle name="Normal 11 2 2_Exh G" xfId="3439" xr:uid="{00000000-0005-0000-0000-000008560000}"/>
    <cellStyle name="Normal 11 2 3" xfId="1670" xr:uid="{00000000-0005-0000-0000-000009560000}"/>
    <cellStyle name="Normal 11 2 3 2" xfId="5200" xr:uid="{00000000-0005-0000-0000-00000A560000}"/>
    <cellStyle name="Normal 11 2 3 2 2" xfId="8791" xr:uid="{00000000-0005-0000-0000-00000B560000}"/>
    <cellStyle name="Normal 11 2 3 2 2 2" xfId="16762" xr:uid="{00000000-0005-0000-0000-00000C560000}"/>
    <cellStyle name="Normal 11 2 3 2 2 3" xfId="24708" xr:uid="{00000000-0005-0000-0000-00000D560000}"/>
    <cellStyle name="Normal 11 2 3 2 3" xfId="13224" xr:uid="{00000000-0005-0000-0000-00000E560000}"/>
    <cellStyle name="Normal 11 2 3 2 4" xfId="21179" xr:uid="{00000000-0005-0000-0000-00000F560000}"/>
    <cellStyle name="Normal 11 2 3 3" xfId="7032" xr:uid="{00000000-0005-0000-0000-000010560000}"/>
    <cellStyle name="Normal 11 2 3 3 2" xfId="15004" xr:uid="{00000000-0005-0000-0000-000011560000}"/>
    <cellStyle name="Normal 11 2 3 3 3" xfId="22951" xr:uid="{00000000-0005-0000-0000-000012560000}"/>
    <cellStyle name="Normal 11 2 3 4" xfId="11468" xr:uid="{00000000-0005-0000-0000-000013560000}"/>
    <cellStyle name="Normal 11 2 3 5" xfId="19423" xr:uid="{00000000-0005-0000-0000-000014560000}"/>
    <cellStyle name="Normal 11 2 3_Exh G" xfId="3441" xr:uid="{00000000-0005-0000-0000-000015560000}"/>
    <cellStyle name="Normal 11 2 4" xfId="4321" xr:uid="{00000000-0005-0000-0000-000016560000}"/>
    <cellStyle name="Normal 11 2 4 2" xfId="7913" xr:uid="{00000000-0005-0000-0000-000017560000}"/>
    <cellStyle name="Normal 11 2 4 2 2" xfId="15884" xr:uid="{00000000-0005-0000-0000-000018560000}"/>
    <cellStyle name="Normal 11 2 4 2 3" xfId="23830" xr:uid="{00000000-0005-0000-0000-000019560000}"/>
    <cellStyle name="Normal 11 2 4 3" xfId="12346" xr:uid="{00000000-0005-0000-0000-00001A560000}"/>
    <cellStyle name="Normal 11 2 4 4" xfId="20301" xr:uid="{00000000-0005-0000-0000-00001B560000}"/>
    <cellStyle name="Normal 11 2 5" xfId="6141" xr:uid="{00000000-0005-0000-0000-00001C560000}"/>
    <cellStyle name="Normal 11 2 5 2" xfId="14125" xr:uid="{00000000-0005-0000-0000-00001D560000}"/>
    <cellStyle name="Normal 11 2 5 3" xfId="22073" xr:uid="{00000000-0005-0000-0000-00001E560000}"/>
    <cellStyle name="Normal 11 2 6" xfId="9694" xr:uid="{00000000-0005-0000-0000-00001F560000}"/>
    <cellStyle name="Normal 11 2 6 2" xfId="17652" xr:uid="{00000000-0005-0000-0000-000020560000}"/>
    <cellStyle name="Normal 11 2 6 3" xfId="25596" xr:uid="{00000000-0005-0000-0000-000021560000}"/>
    <cellStyle name="Normal 11 2 7" xfId="10590" xr:uid="{00000000-0005-0000-0000-000022560000}"/>
    <cellStyle name="Normal 11 2 8" xfId="18545" xr:uid="{00000000-0005-0000-0000-000023560000}"/>
    <cellStyle name="Normal 11 2_Exh G" xfId="3438" xr:uid="{00000000-0005-0000-0000-000024560000}"/>
    <cellStyle name="Normal 11 3" xfId="644" xr:uid="{00000000-0005-0000-0000-000025560000}"/>
    <cellStyle name="Normal 11 3 2" xfId="1672" xr:uid="{00000000-0005-0000-0000-000026560000}"/>
    <cellStyle name="Normal 11 3 2 2" xfId="5202" xr:uid="{00000000-0005-0000-0000-000027560000}"/>
    <cellStyle name="Normal 11 3 2 2 2" xfId="8793" xr:uid="{00000000-0005-0000-0000-000028560000}"/>
    <cellStyle name="Normal 11 3 2 2 2 2" xfId="16764" xr:uid="{00000000-0005-0000-0000-000029560000}"/>
    <cellStyle name="Normal 11 3 2 2 2 3" xfId="24710" xr:uid="{00000000-0005-0000-0000-00002A560000}"/>
    <cellStyle name="Normal 11 3 2 2 3" xfId="13226" xr:uid="{00000000-0005-0000-0000-00002B560000}"/>
    <cellStyle name="Normal 11 3 2 2 4" xfId="21181" xr:uid="{00000000-0005-0000-0000-00002C560000}"/>
    <cellStyle name="Normal 11 3 2 3" xfId="7034" xr:uid="{00000000-0005-0000-0000-00002D560000}"/>
    <cellStyle name="Normal 11 3 2 3 2" xfId="15006" xr:uid="{00000000-0005-0000-0000-00002E560000}"/>
    <cellStyle name="Normal 11 3 2 3 3" xfId="22953" xr:uid="{00000000-0005-0000-0000-00002F560000}"/>
    <cellStyle name="Normal 11 3 2 4" xfId="11470" xr:uid="{00000000-0005-0000-0000-000030560000}"/>
    <cellStyle name="Normal 11 3 2 5" xfId="19425" xr:uid="{00000000-0005-0000-0000-000031560000}"/>
    <cellStyle name="Normal 11 3 2_Exh G" xfId="3443" xr:uid="{00000000-0005-0000-0000-000032560000}"/>
    <cellStyle name="Normal 11 3 3" xfId="4323" xr:uid="{00000000-0005-0000-0000-000033560000}"/>
    <cellStyle name="Normal 11 3 3 2" xfId="7915" xr:uid="{00000000-0005-0000-0000-000034560000}"/>
    <cellStyle name="Normal 11 3 3 2 2" xfId="15886" xr:uid="{00000000-0005-0000-0000-000035560000}"/>
    <cellStyle name="Normal 11 3 3 2 3" xfId="23832" xr:uid="{00000000-0005-0000-0000-000036560000}"/>
    <cellStyle name="Normal 11 3 3 3" xfId="12348" xr:uid="{00000000-0005-0000-0000-000037560000}"/>
    <cellStyle name="Normal 11 3 3 4" xfId="20303" xr:uid="{00000000-0005-0000-0000-000038560000}"/>
    <cellStyle name="Normal 11 3 4" xfId="6143" xr:uid="{00000000-0005-0000-0000-000039560000}"/>
    <cellStyle name="Normal 11 3 4 2" xfId="14127" xr:uid="{00000000-0005-0000-0000-00003A560000}"/>
    <cellStyle name="Normal 11 3 4 3" xfId="22075" xr:uid="{00000000-0005-0000-0000-00003B560000}"/>
    <cellStyle name="Normal 11 3 5" xfId="9696" xr:uid="{00000000-0005-0000-0000-00003C560000}"/>
    <cellStyle name="Normal 11 3 5 2" xfId="17654" xr:uid="{00000000-0005-0000-0000-00003D560000}"/>
    <cellStyle name="Normal 11 3 5 3" xfId="25598" xr:uid="{00000000-0005-0000-0000-00003E560000}"/>
    <cellStyle name="Normal 11 3 6" xfId="10592" xr:uid="{00000000-0005-0000-0000-00003F560000}"/>
    <cellStyle name="Normal 11 3 7" xfId="18547" xr:uid="{00000000-0005-0000-0000-000040560000}"/>
    <cellStyle name="Normal 11 3_Exh G" xfId="3442" xr:uid="{00000000-0005-0000-0000-000041560000}"/>
    <cellStyle name="Normal 11 4" xfId="1013" xr:uid="{00000000-0005-0000-0000-000042560000}"/>
    <cellStyle name="Normal 11 4 2" xfId="1920" xr:uid="{00000000-0005-0000-0000-000043560000}"/>
    <cellStyle name="Normal 11 4 2 2" xfId="5438" xr:uid="{00000000-0005-0000-0000-000044560000}"/>
    <cellStyle name="Normal 11 4 2 2 2" xfId="9029" xr:uid="{00000000-0005-0000-0000-000045560000}"/>
    <cellStyle name="Normal 11 4 2 2 2 2" xfId="17000" xr:uid="{00000000-0005-0000-0000-000046560000}"/>
    <cellStyle name="Normal 11 4 2 2 2 3" xfId="24946" xr:uid="{00000000-0005-0000-0000-000047560000}"/>
    <cellStyle name="Normal 11 4 2 2 3" xfId="13462" xr:uid="{00000000-0005-0000-0000-000048560000}"/>
    <cellStyle name="Normal 11 4 2 2 4" xfId="21417" xr:uid="{00000000-0005-0000-0000-000049560000}"/>
    <cellStyle name="Normal 11 4 2 3" xfId="7270" xr:uid="{00000000-0005-0000-0000-00004A560000}"/>
    <cellStyle name="Normal 11 4 2 3 2" xfId="15242" xr:uid="{00000000-0005-0000-0000-00004B560000}"/>
    <cellStyle name="Normal 11 4 2 3 3" xfId="23189" xr:uid="{00000000-0005-0000-0000-00004C560000}"/>
    <cellStyle name="Normal 11 4 2 4" xfId="11706" xr:uid="{00000000-0005-0000-0000-00004D560000}"/>
    <cellStyle name="Normal 11 4 2 5" xfId="19661" xr:uid="{00000000-0005-0000-0000-00004E560000}"/>
    <cellStyle name="Normal 11 4 2_Exh G" xfId="3445" xr:uid="{00000000-0005-0000-0000-00004F560000}"/>
    <cellStyle name="Normal 11 4 3" xfId="4559" xr:uid="{00000000-0005-0000-0000-000050560000}"/>
    <cellStyle name="Normal 11 4 3 2" xfId="8151" xr:uid="{00000000-0005-0000-0000-000051560000}"/>
    <cellStyle name="Normal 11 4 3 2 2" xfId="16122" xr:uid="{00000000-0005-0000-0000-000052560000}"/>
    <cellStyle name="Normal 11 4 3 2 3" xfId="24068" xr:uid="{00000000-0005-0000-0000-000053560000}"/>
    <cellStyle name="Normal 11 4 3 3" xfId="12584" xr:uid="{00000000-0005-0000-0000-000054560000}"/>
    <cellStyle name="Normal 11 4 3 4" xfId="20539" xr:uid="{00000000-0005-0000-0000-000055560000}"/>
    <cellStyle name="Normal 11 4 4" xfId="6389" xr:uid="{00000000-0005-0000-0000-000056560000}"/>
    <cellStyle name="Normal 11 4 4 2" xfId="14364" xr:uid="{00000000-0005-0000-0000-000057560000}"/>
    <cellStyle name="Normal 11 4 4 3" xfId="22311" xr:uid="{00000000-0005-0000-0000-000058560000}"/>
    <cellStyle name="Normal 11 4 5" xfId="9932" xr:uid="{00000000-0005-0000-0000-000059560000}"/>
    <cellStyle name="Normal 11 4 5 2" xfId="17890" xr:uid="{00000000-0005-0000-0000-00005A560000}"/>
    <cellStyle name="Normal 11 4 5 3" xfId="25834" xr:uid="{00000000-0005-0000-0000-00005B560000}"/>
    <cellStyle name="Normal 11 4 6" xfId="10828" xr:uid="{00000000-0005-0000-0000-00005C560000}"/>
    <cellStyle name="Normal 11 4 7" xfId="18783" xr:uid="{00000000-0005-0000-0000-00005D560000}"/>
    <cellStyle name="Normal 11 4_Exh G" xfId="3444" xr:uid="{00000000-0005-0000-0000-00005E560000}"/>
    <cellStyle name="Normal 11 5" xfId="1669" xr:uid="{00000000-0005-0000-0000-00005F560000}"/>
    <cellStyle name="Normal 11 5 2" xfId="5199" xr:uid="{00000000-0005-0000-0000-000060560000}"/>
    <cellStyle name="Normal 11 5 2 2" xfId="8790" xr:uid="{00000000-0005-0000-0000-000061560000}"/>
    <cellStyle name="Normal 11 5 2 2 2" xfId="16761" xr:uid="{00000000-0005-0000-0000-000062560000}"/>
    <cellStyle name="Normal 11 5 2 2 3" xfId="24707" xr:uid="{00000000-0005-0000-0000-000063560000}"/>
    <cellStyle name="Normal 11 5 2 3" xfId="13223" xr:uid="{00000000-0005-0000-0000-000064560000}"/>
    <cellStyle name="Normal 11 5 2 4" xfId="21178" xr:uid="{00000000-0005-0000-0000-000065560000}"/>
    <cellStyle name="Normal 11 5 3" xfId="7031" xr:uid="{00000000-0005-0000-0000-000066560000}"/>
    <cellStyle name="Normal 11 5 3 2" xfId="15003" xr:uid="{00000000-0005-0000-0000-000067560000}"/>
    <cellStyle name="Normal 11 5 3 3" xfId="22950" xr:uid="{00000000-0005-0000-0000-000068560000}"/>
    <cellStyle name="Normal 11 5 4" xfId="11467" xr:uid="{00000000-0005-0000-0000-000069560000}"/>
    <cellStyle name="Normal 11 5 5" xfId="19422" xr:uid="{00000000-0005-0000-0000-00006A560000}"/>
    <cellStyle name="Normal 11 5_Exh G" xfId="3446" xr:uid="{00000000-0005-0000-0000-00006B560000}"/>
    <cellStyle name="Normal 11 6" xfId="4320" xr:uid="{00000000-0005-0000-0000-00006C560000}"/>
    <cellStyle name="Normal 11 6 2" xfId="7912" xr:uid="{00000000-0005-0000-0000-00006D560000}"/>
    <cellStyle name="Normal 11 6 2 2" xfId="15883" xr:uid="{00000000-0005-0000-0000-00006E560000}"/>
    <cellStyle name="Normal 11 6 2 3" xfId="23829" xr:uid="{00000000-0005-0000-0000-00006F560000}"/>
    <cellStyle name="Normal 11 6 3" xfId="12345" xr:uid="{00000000-0005-0000-0000-000070560000}"/>
    <cellStyle name="Normal 11 6 4" xfId="20300" xr:uid="{00000000-0005-0000-0000-000071560000}"/>
    <cellStyle name="Normal 11 7" xfId="6140" xr:uid="{00000000-0005-0000-0000-000072560000}"/>
    <cellStyle name="Normal 11 7 2" xfId="14124" xr:uid="{00000000-0005-0000-0000-000073560000}"/>
    <cellStyle name="Normal 11 7 3" xfId="22072" xr:uid="{00000000-0005-0000-0000-000074560000}"/>
    <cellStyle name="Normal 11 8" xfId="9693" xr:uid="{00000000-0005-0000-0000-000075560000}"/>
    <cellStyle name="Normal 11 8 2" xfId="17651" xr:uid="{00000000-0005-0000-0000-000076560000}"/>
    <cellStyle name="Normal 11 8 3" xfId="25595" xr:uid="{00000000-0005-0000-0000-000077560000}"/>
    <cellStyle name="Normal 11 9" xfId="10589" xr:uid="{00000000-0005-0000-0000-000078560000}"/>
    <cellStyle name="Normal 11_Exh G" xfId="3437" xr:uid="{00000000-0005-0000-0000-000079560000}"/>
    <cellStyle name="Normal 12" xfId="645" xr:uid="{00000000-0005-0000-0000-00007A560000}"/>
    <cellStyle name="Normal 12 10" xfId="18548" xr:uid="{00000000-0005-0000-0000-00007B560000}"/>
    <cellStyle name="Normal 12 2" xfId="646" xr:uid="{00000000-0005-0000-0000-00007C560000}"/>
    <cellStyle name="Normal 12 2 2" xfId="647" xr:uid="{00000000-0005-0000-0000-00007D560000}"/>
    <cellStyle name="Normal 12 2 2 2" xfId="1675" xr:uid="{00000000-0005-0000-0000-00007E560000}"/>
    <cellStyle name="Normal 12 2 2 2 2" xfId="5205" xr:uid="{00000000-0005-0000-0000-00007F560000}"/>
    <cellStyle name="Normal 12 2 2 2 2 2" xfId="8796" xr:uid="{00000000-0005-0000-0000-000080560000}"/>
    <cellStyle name="Normal 12 2 2 2 2 2 2" xfId="16767" xr:uid="{00000000-0005-0000-0000-000081560000}"/>
    <cellStyle name="Normal 12 2 2 2 2 2 3" xfId="24713" xr:uid="{00000000-0005-0000-0000-000082560000}"/>
    <cellStyle name="Normal 12 2 2 2 2 3" xfId="13229" xr:uid="{00000000-0005-0000-0000-000083560000}"/>
    <cellStyle name="Normal 12 2 2 2 2 4" xfId="21184" xr:uid="{00000000-0005-0000-0000-000084560000}"/>
    <cellStyle name="Normal 12 2 2 2 3" xfId="7037" xr:uid="{00000000-0005-0000-0000-000085560000}"/>
    <cellStyle name="Normal 12 2 2 2 3 2" xfId="15009" xr:uid="{00000000-0005-0000-0000-000086560000}"/>
    <cellStyle name="Normal 12 2 2 2 3 3" xfId="22956" xr:uid="{00000000-0005-0000-0000-000087560000}"/>
    <cellStyle name="Normal 12 2 2 2 4" xfId="11473" xr:uid="{00000000-0005-0000-0000-000088560000}"/>
    <cellStyle name="Normal 12 2 2 2 5" xfId="19428" xr:uid="{00000000-0005-0000-0000-000089560000}"/>
    <cellStyle name="Normal 12 2 2 2_Exh G" xfId="3450" xr:uid="{00000000-0005-0000-0000-00008A560000}"/>
    <cellStyle name="Normal 12 2 2 3" xfId="4326" xr:uid="{00000000-0005-0000-0000-00008B560000}"/>
    <cellStyle name="Normal 12 2 2 3 2" xfId="7918" xr:uid="{00000000-0005-0000-0000-00008C560000}"/>
    <cellStyle name="Normal 12 2 2 3 2 2" xfId="15889" xr:uid="{00000000-0005-0000-0000-00008D560000}"/>
    <cellStyle name="Normal 12 2 2 3 2 3" xfId="23835" xr:uid="{00000000-0005-0000-0000-00008E560000}"/>
    <cellStyle name="Normal 12 2 2 3 3" xfId="12351" xr:uid="{00000000-0005-0000-0000-00008F560000}"/>
    <cellStyle name="Normal 12 2 2 3 4" xfId="20306" xr:uid="{00000000-0005-0000-0000-000090560000}"/>
    <cellStyle name="Normal 12 2 2 4" xfId="6146" xr:uid="{00000000-0005-0000-0000-000091560000}"/>
    <cellStyle name="Normal 12 2 2 4 2" xfId="14130" xr:uid="{00000000-0005-0000-0000-000092560000}"/>
    <cellStyle name="Normal 12 2 2 4 3" xfId="22078" xr:uid="{00000000-0005-0000-0000-000093560000}"/>
    <cellStyle name="Normal 12 2 2 5" xfId="9699" xr:uid="{00000000-0005-0000-0000-000094560000}"/>
    <cellStyle name="Normal 12 2 2 5 2" xfId="17657" xr:uid="{00000000-0005-0000-0000-000095560000}"/>
    <cellStyle name="Normal 12 2 2 5 3" xfId="25601" xr:uid="{00000000-0005-0000-0000-000096560000}"/>
    <cellStyle name="Normal 12 2 2 6" xfId="10595" xr:uid="{00000000-0005-0000-0000-000097560000}"/>
    <cellStyle name="Normal 12 2 2 7" xfId="18550" xr:uid="{00000000-0005-0000-0000-000098560000}"/>
    <cellStyle name="Normal 12 2 2_Exh G" xfId="3449" xr:uid="{00000000-0005-0000-0000-000099560000}"/>
    <cellStyle name="Normal 12 2 3" xfId="1674" xr:uid="{00000000-0005-0000-0000-00009A560000}"/>
    <cellStyle name="Normal 12 2 3 2" xfId="5204" xr:uid="{00000000-0005-0000-0000-00009B560000}"/>
    <cellStyle name="Normal 12 2 3 2 2" xfId="8795" xr:uid="{00000000-0005-0000-0000-00009C560000}"/>
    <cellStyle name="Normal 12 2 3 2 2 2" xfId="16766" xr:uid="{00000000-0005-0000-0000-00009D560000}"/>
    <cellStyle name="Normal 12 2 3 2 2 3" xfId="24712" xr:uid="{00000000-0005-0000-0000-00009E560000}"/>
    <cellStyle name="Normal 12 2 3 2 3" xfId="13228" xr:uid="{00000000-0005-0000-0000-00009F560000}"/>
    <cellStyle name="Normal 12 2 3 2 4" xfId="21183" xr:uid="{00000000-0005-0000-0000-0000A0560000}"/>
    <cellStyle name="Normal 12 2 3 3" xfId="7036" xr:uid="{00000000-0005-0000-0000-0000A1560000}"/>
    <cellStyle name="Normal 12 2 3 3 2" xfId="15008" xr:uid="{00000000-0005-0000-0000-0000A2560000}"/>
    <cellStyle name="Normal 12 2 3 3 3" xfId="22955" xr:uid="{00000000-0005-0000-0000-0000A3560000}"/>
    <cellStyle name="Normal 12 2 3 4" xfId="11472" xr:uid="{00000000-0005-0000-0000-0000A4560000}"/>
    <cellStyle name="Normal 12 2 3 5" xfId="19427" xr:uid="{00000000-0005-0000-0000-0000A5560000}"/>
    <cellStyle name="Normal 12 2 3_Exh G" xfId="3451" xr:uid="{00000000-0005-0000-0000-0000A6560000}"/>
    <cellStyle name="Normal 12 2 4" xfId="4325" xr:uid="{00000000-0005-0000-0000-0000A7560000}"/>
    <cellStyle name="Normal 12 2 4 2" xfId="7917" xr:uid="{00000000-0005-0000-0000-0000A8560000}"/>
    <cellStyle name="Normal 12 2 4 2 2" xfId="15888" xr:uid="{00000000-0005-0000-0000-0000A9560000}"/>
    <cellStyle name="Normal 12 2 4 2 3" xfId="23834" xr:uid="{00000000-0005-0000-0000-0000AA560000}"/>
    <cellStyle name="Normal 12 2 4 3" xfId="12350" xr:uid="{00000000-0005-0000-0000-0000AB560000}"/>
    <cellStyle name="Normal 12 2 4 4" xfId="20305" xr:uid="{00000000-0005-0000-0000-0000AC560000}"/>
    <cellStyle name="Normal 12 2 5" xfId="6145" xr:uid="{00000000-0005-0000-0000-0000AD560000}"/>
    <cellStyle name="Normal 12 2 5 2" xfId="14129" xr:uid="{00000000-0005-0000-0000-0000AE560000}"/>
    <cellStyle name="Normal 12 2 5 3" xfId="22077" xr:uid="{00000000-0005-0000-0000-0000AF560000}"/>
    <cellStyle name="Normal 12 2 6" xfId="9698" xr:uid="{00000000-0005-0000-0000-0000B0560000}"/>
    <cellStyle name="Normal 12 2 6 2" xfId="17656" xr:uid="{00000000-0005-0000-0000-0000B1560000}"/>
    <cellStyle name="Normal 12 2 6 3" xfId="25600" xr:uid="{00000000-0005-0000-0000-0000B2560000}"/>
    <cellStyle name="Normal 12 2 7" xfId="10594" xr:uid="{00000000-0005-0000-0000-0000B3560000}"/>
    <cellStyle name="Normal 12 2 8" xfId="18549" xr:uid="{00000000-0005-0000-0000-0000B4560000}"/>
    <cellStyle name="Normal 12 2_Exh G" xfId="3448" xr:uid="{00000000-0005-0000-0000-0000B5560000}"/>
    <cellStyle name="Normal 12 3" xfId="648" xr:uid="{00000000-0005-0000-0000-0000B6560000}"/>
    <cellStyle name="Normal 12 3 2" xfId="1676" xr:uid="{00000000-0005-0000-0000-0000B7560000}"/>
    <cellStyle name="Normal 12 3 2 2" xfId="5206" xr:uid="{00000000-0005-0000-0000-0000B8560000}"/>
    <cellStyle name="Normal 12 3 2 2 2" xfId="8797" xr:uid="{00000000-0005-0000-0000-0000B9560000}"/>
    <cellStyle name="Normal 12 3 2 2 2 2" xfId="16768" xr:uid="{00000000-0005-0000-0000-0000BA560000}"/>
    <cellStyle name="Normal 12 3 2 2 2 3" xfId="24714" xr:uid="{00000000-0005-0000-0000-0000BB560000}"/>
    <cellStyle name="Normal 12 3 2 2 3" xfId="13230" xr:uid="{00000000-0005-0000-0000-0000BC560000}"/>
    <cellStyle name="Normal 12 3 2 2 4" xfId="21185" xr:uid="{00000000-0005-0000-0000-0000BD560000}"/>
    <cellStyle name="Normal 12 3 2 3" xfId="7038" xr:uid="{00000000-0005-0000-0000-0000BE560000}"/>
    <cellStyle name="Normal 12 3 2 3 2" xfId="15010" xr:uid="{00000000-0005-0000-0000-0000BF560000}"/>
    <cellStyle name="Normal 12 3 2 3 3" xfId="22957" xr:uid="{00000000-0005-0000-0000-0000C0560000}"/>
    <cellStyle name="Normal 12 3 2 4" xfId="11474" xr:uid="{00000000-0005-0000-0000-0000C1560000}"/>
    <cellStyle name="Normal 12 3 2 5" xfId="19429" xr:uid="{00000000-0005-0000-0000-0000C2560000}"/>
    <cellStyle name="Normal 12 3 2_Exh G" xfId="3453" xr:uid="{00000000-0005-0000-0000-0000C3560000}"/>
    <cellStyle name="Normal 12 3 3" xfId="4327" xr:uid="{00000000-0005-0000-0000-0000C4560000}"/>
    <cellStyle name="Normal 12 3 3 2" xfId="7919" xr:uid="{00000000-0005-0000-0000-0000C5560000}"/>
    <cellStyle name="Normal 12 3 3 2 2" xfId="15890" xr:uid="{00000000-0005-0000-0000-0000C6560000}"/>
    <cellStyle name="Normal 12 3 3 2 3" xfId="23836" xr:uid="{00000000-0005-0000-0000-0000C7560000}"/>
    <cellStyle name="Normal 12 3 3 3" xfId="12352" xr:uid="{00000000-0005-0000-0000-0000C8560000}"/>
    <cellStyle name="Normal 12 3 3 4" xfId="20307" xr:uid="{00000000-0005-0000-0000-0000C9560000}"/>
    <cellStyle name="Normal 12 3 4" xfId="6147" xr:uid="{00000000-0005-0000-0000-0000CA560000}"/>
    <cellStyle name="Normal 12 3 4 2" xfId="14131" xr:uid="{00000000-0005-0000-0000-0000CB560000}"/>
    <cellStyle name="Normal 12 3 4 3" xfId="22079" xr:uid="{00000000-0005-0000-0000-0000CC560000}"/>
    <cellStyle name="Normal 12 3 5" xfId="9700" xr:uid="{00000000-0005-0000-0000-0000CD560000}"/>
    <cellStyle name="Normal 12 3 5 2" xfId="17658" xr:uid="{00000000-0005-0000-0000-0000CE560000}"/>
    <cellStyle name="Normal 12 3 5 3" xfId="25602" xr:uid="{00000000-0005-0000-0000-0000CF560000}"/>
    <cellStyle name="Normal 12 3 6" xfId="10596" xr:uid="{00000000-0005-0000-0000-0000D0560000}"/>
    <cellStyle name="Normal 12 3 7" xfId="18551" xr:uid="{00000000-0005-0000-0000-0000D1560000}"/>
    <cellStyle name="Normal 12 3_Exh G" xfId="3452" xr:uid="{00000000-0005-0000-0000-0000D2560000}"/>
    <cellStyle name="Normal 12 4" xfId="1014" xr:uid="{00000000-0005-0000-0000-0000D3560000}"/>
    <cellStyle name="Normal 12 4 2" xfId="1921" xr:uid="{00000000-0005-0000-0000-0000D4560000}"/>
    <cellStyle name="Normal 12 4 2 2" xfId="5439" xr:uid="{00000000-0005-0000-0000-0000D5560000}"/>
    <cellStyle name="Normal 12 4 2 2 2" xfId="9030" xr:uid="{00000000-0005-0000-0000-0000D6560000}"/>
    <cellStyle name="Normal 12 4 2 2 2 2" xfId="17001" xr:uid="{00000000-0005-0000-0000-0000D7560000}"/>
    <cellStyle name="Normal 12 4 2 2 2 3" xfId="24947" xr:uid="{00000000-0005-0000-0000-0000D8560000}"/>
    <cellStyle name="Normal 12 4 2 2 3" xfId="13463" xr:uid="{00000000-0005-0000-0000-0000D9560000}"/>
    <cellStyle name="Normal 12 4 2 2 4" xfId="21418" xr:uid="{00000000-0005-0000-0000-0000DA560000}"/>
    <cellStyle name="Normal 12 4 2 3" xfId="7271" xr:uid="{00000000-0005-0000-0000-0000DB560000}"/>
    <cellStyle name="Normal 12 4 2 3 2" xfId="15243" xr:uid="{00000000-0005-0000-0000-0000DC560000}"/>
    <cellStyle name="Normal 12 4 2 3 3" xfId="23190" xr:uid="{00000000-0005-0000-0000-0000DD560000}"/>
    <cellStyle name="Normal 12 4 2 4" xfId="11707" xr:uid="{00000000-0005-0000-0000-0000DE560000}"/>
    <cellStyle name="Normal 12 4 2 5" xfId="19662" xr:uid="{00000000-0005-0000-0000-0000DF560000}"/>
    <cellStyle name="Normal 12 4 2_Exh G" xfId="3455" xr:uid="{00000000-0005-0000-0000-0000E0560000}"/>
    <cellStyle name="Normal 12 4 3" xfId="4560" xr:uid="{00000000-0005-0000-0000-0000E1560000}"/>
    <cellStyle name="Normal 12 4 3 2" xfId="8152" xr:uid="{00000000-0005-0000-0000-0000E2560000}"/>
    <cellStyle name="Normal 12 4 3 2 2" xfId="16123" xr:uid="{00000000-0005-0000-0000-0000E3560000}"/>
    <cellStyle name="Normal 12 4 3 2 3" xfId="24069" xr:uid="{00000000-0005-0000-0000-0000E4560000}"/>
    <cellStyle name="Normal 12 4 3 3" xfId="12585" xr:uid="{00000000-0005-0000-0000-0000E5560000}"/>
    <cellStyle name="Normal 12 4 3 4" xfId="20540" xr:uid="{00000000-0005-0000-0000-0000E6560000}"/>
    <cellStyle name="Normal 12 4 4" xfId="6390" xr:uid="{00000000-0005-0000-0000-0000E7560000}"/>
    <cellStyle name="Normal 12 4 4 2" xfId="14365" xr:uid="{00000000-0005-0000-0000-0000E8560000}"/>
    <cellStyle name="Normal 12 4 4 3" xfId="22312" xr:uid="{00000000-0005-0000-0000-0000E9560000}"/>
    <cellStyle name="Normal 12 4 5" xfId="9933" xr:uid="{00000000-0005-0000-0000-0000EA560000}"/>
    <cellStyle name="Normal 12 4 5 2" xfId="17891" xr:uid="{00000000-0005-0000-0000-0000EB560000}"/>
    <cellStyle name="Normal 12 4 5 3" xfId="25835" xr:uid="{00000000-0005-0000-0000-0000EC560000}"/>
    <cellStyle name="Normal 12 4 6" xfId="10829" xr:uid="{00000000-0005-0000-0000-0000ED560000}"/>
    <cellStyle name="Normal 12 4 7" xfId="18784" xr:uid="{00000000-0005-0000-0000-0000EE560000}"/>
    <cellStyle name="Normal 12 4_Exh G" xfId="3454" xr:uid="{00000000-0005-0000-0000-0000EF560000}"/>
    <cellStyle name="Normal 12 5" xfId="1673" xr:uid="{00000000-0005-0000-0000-0000F0560000}"/>
    <cellStyle name="Normal 12 5 2" xfId="5203" xr:uid="{00000000-0005-0000-0000-0000F1560000}"/>
    <cellStyle name="Normal 12 5 2 2" xfId="8794" xr:uid="{00000000-0005-0000-0000-0000F2560000}"/>
    <cellStyle name="Normal 12 5 2 2 2" xfId="16765" xr:uid="{00000000-0005-0000-0000-0000F3560000}"/>
    <cellStyle name="Normal 12 5 2 2 3" xfId="24711" xr:uid="{00000000-0005-0000-0000-0000F4560000}"/>
    <cellStyle name="Normal 12 5 2 3" xfId="13227" xr:uid="{00000000-0005-0000-0000-0000F5560000}"/>
    <cellStyle name="Normal 12 5 2 4" xfId="21182" xr:uid="{00000000-0005-0000-0000-0000F6560000}"/>
    <cellStyle name="Normal 12 5 3" xfId="7035" xr:uid="{00000000-0005-0000-0000-0000F7560000}"/>
    <cellStyle name="Normal 12 5 3 2" xfId="15007" xr:uid="{00000000-0005-0000-0000-0000F8560000}"/>
    <cellStyle name="Normal 12 5 3 3" xfId="22954" xr:uid="{00000000-0005-0000-0000-0000F9560000}"/>
    <cellStyle name="Normal 12 5 4" xfId="11471" xr:uid="{00000000-0005-0000-0000-0000FA560000}"/>
    <cellStyle name="Normal 12 5 5" xfId="19426" xr:uid="{00000000-0005-0000-0000-0000FB560000}"/>
    <cellStyle name="Normal 12 5_Exh G" xfId="3456" xr:uid="{00000000-0005-0000-0000-0000FC560000}"/>
    <cellStyle name="Normal 12 6" xfId="4324" xr:uid="{00000000-0005-0000-0000-0000FD560000}"/>
    <cellStyle name="Normal 12 6 2" xfId="7916" xr:uid="{00000000-0005-0000-0000-0000FE560000}"/>
    <cellStyle name="Normal 12 6 2 2" xfId="15887" xr:uid="{00000000-0005-0000-0000-0000FF560000}"/>
    <cellStyle name="Normal 12 6 2 3" xfId="23833" xr:uid="{00000000-0005-0000-0000-000000570000}"/>
    <cellStyle name="Normal 12 6 3" xfId="12349" xr:uid="{00000000-0005-0000-0000-000001570000}"/>
    <cellStyle name="Normal 12 6 4" xfId="20304" xr:uid="{00000000-0005-0000-0000-000002570000}"/>
    <cellStyle name="Normal 12 7" xfId="6144" xr:uid="{00000000-0005-0000-0000-000003570000}"/>
    <cellStyle name="Normal 12 7 2" xfId="14128" xr:uid="{00000000-0005-0000-0000-000004570000}"/>
    <cellStyle name="Normal 12 7 3" xfId="22076" xr:uid="{00000000-0005-0000-0000-000005570000}"/>
    <cellStyle name="Normal 12 8" xfId="9697" xr:uid="{00000000-0005-0000-0000-000006570000}"/>
    <cellStyle name="Normal 12 8 2" xfId="17655" xr:uid="{00000000-0005-0000-0000-000007570000}"/>
    <cellStyle name="Normal 12 8 3" xfId="25599" xr:uid="{00000000-0005-0000-0000-000008570000}"/>
    <cellStyle name="Normal 12 9" xfId="10593" xr:uid="{00000000-0005-0000-0000-000009570000}"/>
    <cellStyle name="Normal 12_Exh G" xfId="3447" xr:uid="{00000000-0005-0000-0000-00000A570000}"/>
    <cellStyle name="Normal 13" xfId="649" xr:uid="{00000000-0005-0000-0000-00000B570000}"/>
    <cellStyle name="Normal 13 10" xfId="18552" xr:uid="{00000000-0005-0000-0000-00000C570000}"/>
    <cellStyle name="Normal 13 2" xfId="650" xr:uid="{00000000-0005-0000-0000-00000D570000}"/>
    <cellStyle name="Normal 13 2 2" xfId="651" xr:uid="{00000000-0005-0000-0000-00000E570000}"/>
    <cellStyle name="Normal 13 2 2 2" xfId="1679" xr:uid="{00000000-0005-0000-0000-00000F570000}"/>
    <cellStyle name="Normal 13 2 2 2 2" xfId="5209" xr:uid="{00000000-0005-0000-0000-000010570000}"/>
    <cellStyle name="Normal 13 2 2 2 2 2" xfId="8800" xr:uid="{00000000-0005-0000-0000-000011570000}"/>
    <cellStyle name="Normal 13 2 2 2 2 2 2" xfId="16771" xr:uid="{00000000-0005-0000-0000-000012570000}"/>
    <cellStyle name="Normal 13 2 2 2 2 2 3" xfId="24717" xr:uid="{00000000-0005-0000-0000-000013570000}"/>
    <cellStyle name="Normal 13 2 2 2 2 3" xfId="13233" xr:uid="{00000000-0005-0000-0000-000014570000}"/>
    <cellStyle name="Normal 13 2 2 2 2 4" xfId="21188" xr:uid="{00000000-0005-0000-0000-000015570000}"/>
    <cellStyle name="Normal 13 2 2 2 3" xfId="7041" xr:uid="{00000000-0005-0000-0000-000016570000}"/>
    <cellStyle name="Normal 13 2 2 2 3 2" xfId="15013" xr:uid="{00000000-0005-0000-0000-000017570000}"/>
    <cellStyle name="Normal 13 2 2 2 3 3" xfId="22960" xr:uid="{00000000-0005-0000-0000-000018570000}"/>
    <cellStyle name="Normal 13 2 2 2 4" xfId="11477" xr:uid="{00000000-0005-0000-0000-000019570000}"/>
    <cellStyle name="Normal 13 2 2 2 5" xfId="19432" xr:uid="{00000000-0005-0000-0000-00001A570000}"/>
    <cellStyle name="Normal 13 2 2 2_Exh G" xfId="3460" xr:uid="{00000000-0005-0000-0000-00001B570000}"/>
    <cellStyle name="Normal 13 2 2 3" xfId="4330" xr:uid="{00000000-0005-0000-0000-00001C570000}"/>
    <cellStyle name="Normal 13 2 2 3 2" xfId="7922" xr:uid="{00000000-0005-0000-0000-00001D570000}"/>
    <cellStyle name="Normal 13 2 2 3 2 2" xfId="15893" xr:uid="{00000000-0005-0000-0000-00001E570000}"/>
    <cellStyle name="Normal 13 2 2 3 2 3" xfId="23839" xr:uid="{00000000-0005-0000-0000-00001F570000}"/>
    <cellStyle name="Normal 13 2 2 3 3" xfId="12355" xr:uid="{00000000-0005-0000-0000-000020570000}"/>
    <cellStyle name="Normal 13 2 2 3 4" xfId="20310" xr:uid="{00000000-0005-0000-0000-000021570000}"/>
    <cellStyle name="Normal 13 2 2 4" xfId="6150" xr:uid="{00000000-0005-0000-0000-000022570000}"/>
    <cellStyle name="Normal 13 2 2 4 2" xfId="14134" xr:uid="{00000000-0005-0000-0000-000023570000}"/>
    <cellStyle name="Normal 13 2 2 4 3" xfId="22082" xr:uid="{00000000-0005-0000-0000-000024570000}"/>
    <cellStyle name="Normal 13 2 2 5" xfId="9703" xr:uid="{00000000-0005-0000-0000-000025570000}"/>
    <cellStyle name="Normal 13 2 2 5 2" xfId="17661" xr:uid="{00000000-0005-0000-0000-000026570000}"/>
    <cellStyle name="Normal 13 2 2 5 3" xfId="25605" xr:uid="{00000000-0005-0000-0000-000027570000}"/>
    <cellStyle name="Normal 13 2 2 6" xfId="10599" xr:uid="{00000000-0005-0000-0000-000028570000}"/>
    <cellStyle name="Normal 13 2 2 7" xfId="18554" xr:uid="{00000000-0005-0000-0000-000029570000}"/>
    <cellStyle name="Normal 13 2 2_Exh G" xfId="3459" xr:uid="{00000000-0005-0000-0000-00002A570000}"/>
    <cellStyle name="Normal 13 2 3" xfId="1678" xr:uid="{00000000-0005-0000-0000-00002B570000}"/>
    <cellStyle name="Normal 13 2 3 2" xfId="5208" xr:uid="{00000000-0005-0000-0000-00002C570000}"/>
    <cellStyle name="Normal 13 2 3 2 2" xfId="8799" xr:uid="{00000000-0005-0000-0000-00002D570000}"/>
    <cellStyle name="Normal 13 2 3 2 2 2" xfId="16770" xr:uid="{00000000-0005-0000-0000-00002E570000}"/>
    <cellStyle name="Normal 13 2 3 2 2 3" xfId="24716" xr:uid="{00000000-0005-0000-0000-00002F570000}"/>
    <cellStyle name="Normal 13 2 3 2 3" xfId="13232" xr:uid="{00000000-0005-0000-0000-000030570000}"/>
    <cellStyle name="Normal 13 2 3 2 4" xfId="21187" xr:uid="{00000000-0005-0000-0000-000031570000}"/>
    <cellStyle name="Normal 13 2 3 3" xfId="7040" xr:uid="{00000000-0005-0000-0000-000032570000}"/>
    <cellStyle name="Normal 13 2 3 3 2" xfId="15012" xr:uid="{00000000-0005-0000-0000-000033570000}"/>
    <cellStyle name="Normal 13 2 3 3 3" xfId="22959" xr:uid="{00000000-0005-0000-0000-000034570000}"/>
    <cellStyle name="Normal 13 2 3 4" xfId="11476" xr:uid="{00000000-0005-0000-0000-000035570000}"/>
    <cellStyle name="Normal 13 2 3 5" xfId="19431" xr:uid="{00000000-0005-0000-0000-000036570000}"/>
    <cellStyle name="Normal 13 2 3_Exh G" xfId="3461" xr:uid="{00000000-0005-0000-0000-000037570000}"/>
    <cellStyle name="Normal 13 2 4" xfId="4329" xr:uid="{00000000-0005-0000-0000-000038570000}"/>
    <cellStyle name="Normal 13 2 4 2" xfId="7921" xr:uid="{00000000-0005-0000-0000-000039570000}"/>
    <cellStyle name="Normal 13 2 4 2 2" xfId="15892" xr:uid="{00000000-0005-0000-0000-00003A570000}"/>
    <cellStyle name="Normal 13 2 4 2 3" xfId="23838" xr:uid="{00000000-0005-0000-0000-00003B570000}"/>
    <cellStyle name="Normal 13 2 4 3" xfId="12354" xr:uid="{00000000-0005-0000-0000-00003C570000}"/>
    <cellStyle name="Normal 13 2 4 4" xfId="20309" xr:uid="{00000000-0005-0000-0000-00003D570000}"/>
    <cellStyle name="Normal 13 2 5" xfId="6149" xr:uid="{00000000-0005-0000-0000-00003E570000}"/>
    <cellStyle name="Normal 13 2 5 2" xfId="14133" xr:uid="{00000000-0005-0000-0000-00003F570000}"/>
    <cellStyle name="Normal 13 2 5 3" xfId="22081" xr:uid="{00000000-0005-0000-0000-000040570000}"/>
    <cellStyle name="Normal 13 2 6" xfId="9702" xr:uid="{00000000-0005-0000-0000-000041570000}"/>
    <cellStyle name="Normal 13 2 6 2" xfId="17660" xr:uid="{00000000-0005-0000-0000-000042570000}"/>
    <cellStyle name="Normal 13 2 6 3" xfId="25604" xr:uid="{00000000-0005-0000-0000-000043570000}"/>
    <cellStyle name="Normal 13 2 7" xfId="10598" xr:uid="{00000000-0005-0000-0000-000044570000}"/>
    <cellStyle name="Normal 13 2 8" xfId="18553" xr:uid="{00000000-0005-0000-0000-000045570000}"/>
    <cellStyle name="Normal 13 2_Exh G" xfId="3458" xr:uid="{00000000-0005-0000-0000-000046570000}"/>
    <cellStyle name="Normal 13 3" xfId="652" xr:uid="{00000000-0005-0000-0000-000047570000}"/>
    <cellStyle name="Normal 13 3 2" xfId="1680" xr:uid="{00000000-0005-0000-0000-000048570000}"/>
    <cellStyle name="Normal 13 3 2 2" xfId="5210" xr:uid="{00000000-0005-0000-0000-000049570000}"/>
    <cellStyle name="Normal 13 3 2 2 2" xfId="8801" xr:uid="{00000000-0005-0000-0000-00004A570000}"/>
    <cellStyle name="Normal 13 3 2 2 2 2" xfId="16772" xr:uid="{00000000-0005-0000-0000-00004B570000}"/>
    <cellStyle name="Normal 13 3 2 2 2 3" xfId="24718" xr:uid="{00000000-0005-0000-0000-00004C570000}"/>
    <cellStyle name="Normal 13 3 2 2 3" xfId="13234" xr:uid="{00000000-0005-0000-0000-00004D570000}"/>
    <cellStyle name="Normal 13 3 2 2 4" xfId="21189" xr:uid="{00000000-0005-0000-0000-00004E570000}"/>
    <cellStyle name="Normal 13 3 2 3" xfId="7042" xr:uid="{00000000-0005-0000-0000-00004F570000}"/>
    <cellStyle name="Normal 13 3 2 3 2" xfId="15014" xr:uid="{00000000-0005-0000-0000-000050570000}"/>
    <cellStyle name="Normal 13 3 2 3 3" xfId="22961" xr:uid="{00000000-0005-0000-0000-000051570000}"/>
    <cellStyle name="Normal 13 3 2 4" xfId="11478" xr:uid="{00000000-0005-0000-0000-000052570000}"/>
    <cellStyle name="Normal 13 3 2 5" xfId="19433" xr:uid="{00000000-0005-0000-0000-000053570000}"/>
    <cellStyle name="Normal 13 3 2_Exh G" xfId="3463" xr:uid="{00000000-0005-0000-0000-000054570000}"/>
    <cellStyle name="Normal 13 3 3" xfId="4331" xr:uid="{00000000-0005-0000-0000-000055570000}"/>
    <cellStyle name="Normal 13 3 3 2" xfId="7923" xr:uid="{00000000-0005-0000-0000-000056570000}"/>
    <cellStyle name="Normal 13 3 3 2 2" xfId="15894" xr:uid="{00000000-0005-0000-0000-000057570000}"/>
    <cellStyle name="Normal 13 3 3 2 3" xfId="23840" xr:uid="{00000000-0005-0000-0000-000058570000}"/>
    <cellStyle name="Normal 13 3 3 3" xfId="12356" xr:uid="{00000000-0005-0000-0000-000059570000}"/>
    <cellStyle name="Normal 13 3 3 4" xfId="20311" xr:uid="{00000000-0005-0000-0000-00005A570000}"/>
    <cellStyle name="Normal 13 3 4" xfId="6151" xr:uid="{00000000-0005-0000-0000-00005B570000}"/>
    <cellStyle name="Normal 13 3 4 2" xfId="14135" xr:uid="{00000000-0005-0000-0000-00005C570000}"/>
    <cellStyle name="Normal 13 3 4 3" xfId="22083" xr:uid="{00000000-0005-0000-0000-00005D570000}"/>
    <cellStyle name="Normal 13 3 5" xfId="9704" xr:uid="{00000000-0005-0000-0000-00005E570000}"/>
    <cellStyle name="Normal 13 3 5 2" xfId="17662" xr:uid="{00000000-0005-0000-0000-00005F570000}"/>
    <cellStyle name="Normal 13 3 5 3" xfId="25606" xr:uid="{00000000-0005-0000-0000-000060570000}"/>
    <cellStyle name="Normal 13 3 6" xfId="10600" xr:uid="{00000000-0005-0000-0000-000061570000}"/>
    <cellStyle name="Normal 13 3 7" xfId="18555" xr:uid="{00000000-0005-0000-0000-000062570000}"/>
    <cellStyle name="Normal 13 3_Exh G" xfId="3462" xr:uid="{00000000-0005-0000-0000-000063570000}"/>
    <cellStyle name="Normal 13 4" xfId="1015" xr:uid="{00000000-0005-0000-0000-000064570000}"/>
    <cellStyle name="Normal 13 4 2" xfId="1922" xr:uid="{00000000-0005-0000-0000-000065570000}"/>
    <cellStyle name="Normal 13 4 2 2" xfId="5440" xr:uid="{00000000-0005-0000-0000-000066570000}"/>
    <cellStyle name="Normal 13 4 2 2 2" xfId="9031" xr:uid="{00000000-0005-0000-0000-000067570000}"/>
    <cellStyle name="Normal 13 4 2 2 2 2" xfId="17002" xr:uid="{00000000-0005-0000-0000-000068570000}"/>
    <cellStyle name="Normal 13 4 2 2 2 3" xfId="24948" xr:uid="{00000000-0005-0000-0000-000069570000}"/>
    <cellStyle name="Normal 13 4 2 2 3" xfId="13464" xr:uid="{00000000-0005-0000-0000-00006A570000}"/>
    <cellStyle name="Normal 13 4 2 2 4" xfId="21419" xr:uid="{00000000-0005-0000-0000-00006B570000}"/>
    <cellStyle name="Normal 13 4 2 3" xfId="7272" xr:uid="{00000000-0005-0000-0000-00006C570000}"/>
    <cellStyle name="Normal 13 4 2 3 2" xfId="15244" xr:uid="{00000000-0005-0000-0000-00006D570000}"/>
    <cellStyle name="Normal 13 4 2 3 3" xfId="23191" xr:uid="{00000000-0005-0000-0000-00006E570000}"/>
    <cellStyle name="Normal 13 4 2 4" xfId="11708" xr:uid="{00000000-0005-0000-0000-00006F570000}"/>
    <cellStyle name="Normal 13 4 2 5" xfId="19663" xr:uid="{00000000-0005-0000-0000-000070570000}"/>
    <cellStyle name="Normal 13 4 2_Exh G" xfId="3465" xr:uid="{00000000-0005-0000-0000-000071570000}"/>
    <cellStyle name="Normal 13 4 3" xfId="4561" xr:uid="{00000000-0005-0000-0000-000072570000}"/>
    <cellStyle name="Normal 13 4 3 2" xfId="8153" xr:uid="{00000000-0005-0000-0000-000073570000}"/>
    <cellStyle name="Normal 13 4 3 2 2" xfId="16124" xr:uid="{00000000-0005-0000-0000-000074570000}"/>
    <cellStyle name="Normal 13 4 3 2 3" xfId="24070" xr:uid="{00000000-0005-0000-0000-000075570000}"/>
    <cellStyle name="Normal 13 4 3 3" xfId="12586" xr:uid="{00000000-0005-0000-0000-000076570000}"/>
    <cellStyle name="Normal 13 4 3 4" xfId="20541" xr:uid="{00000000-0005-0000-0000-000077570000}"/>
    <cellStyle name="Normal 13 4 4" xfId="6391" xr:uid="{00000000-0005-0000-0000-000078570000}"/>
    <cellStyle name="Normal 13 4 4 2" xfId="14366" xr:uid="{00000000-0005-0000-0000-000079570000}"/>
    <cellStyle name="Normal 13 4 4 3" xfId="22313" xr:uid="{00000000-0005-0000-0000-00007A570000}"/>
    <cellStyle name="Normal 13 4 5" xfId="9934" xr:uid="{00000000-0005-0000-0000-00007B570000}"/>
    <cellStyle name="Normal 13 4 5 2" xfId="17892" xr:uid="{00000000-0005-0000-0000-00007C570000}"/>
    <cellStyle name="Normal 13 4 5 3" xfId="25836" xr:uid="{00000000-0005-0000-0000-00007D570000}"/>
    <cellStyle name="Normal 13 4 6" xfId="10830" xr:uid="{00000000-0005-0000-0000-00007E570000}"/>
    <cellStyle name="Normal 13 4 7" xfId="18785" xr:uid="{00000000-0005-0000-0000-00007F570000}"/>
    <cellStyle name="Normal 13 4_Exh G" xfId="3464" xr:uid="{00000000-0005-0000-0000-000080570000}"/>
    <cellStyle name="Normal 13 5" xfId="1677" xr:uid="{00000000-0005-0000-0000-000081570000}"/>
    <cellStyle name="Normal 13 5 2" xfId="5207" xr:uid="{00000000-0005-0000-0000-000082570000}"/>
    <cellStyle name="Normal 13 5 2 2" xfId="8798" xr:uid="{00000000-0005-0000-0000-000083570000}"/>
    <cellStyle name="Normal 13 5 2 2 2" xfId="16769" xr:uid="{00000000-0005-0000-0000-000084570000}"/>
    <cellStyle name="Normal 13 5 2 2 3" xfId="24715" xr:uid="{00000000-0005-0000-0000-000085570000}"/>
    <cellStyle name="Normal 13 5 2 3" xfId="13231" xr:uid="{00000000-0005-0000-0000-000086570000}"/>
    <cellStyle name="Normal 13 5 2 4" xfId="21186" xr:uid="{00000000-0005-0000-0000-000087570000}"/>
    <cellStyle name="Normal 13 5 3" xfId="7039" xr:uid="{00000000-0005-0000-0000-000088570000}"/>
    <cellStyle name="Normal 13 5 3 2" xfId="15011" xr:uid="{00000000-0005-0000-0000-000089570000}"/>
    <cellStyle name="Normal 13 5 3 3" xfId="22958" xr:uid="{00000000-0005-0000-0000-00008A570000}"/>
    <cellStyle name="Normal 13 5 4" xfId="11475" xr:uid="{00000000-0005-0000-0000-00008B570000}"/>
    <cellStyle name="Normal 13 5 5" xfId="19430" xr:uid="{00000000-0005-0000-0000-00008C570000}"/>
    <cellStyle name="Normal 13 5_Exh G" xfId="3466" xr:uid="{00000000-0005-0000-0000-00008D570000}"/>
    <cellStyle name="Normal 13 6" xfId="4328" xr:uid="{00000000-0005-0000-0000-00008E570000}"/>
    <cellStyle name="Normal 13 6 2" xfId="7920" xr:uid="{00000000-0005-0000-0000-00008F570000}"/>
    <cellStyle name="Normal 13 6 2 2" xfId="15891" xr:uid="{00000000-0005-0000-0000-000090570000}"/>
    <cellStyle name="Normal 13 6 2 3" xfId="23837" xr:uid="{00000000-0005-0000-0000-000091570000}"/>
    <cellStyle name="Normal 13 6 3" xfId="12353" xr:uid="{00000000-0005-0000-0000-000092570000}"/>
    <cellStyle name="Normal 13 6 4" xfId="20308" xr:uid="{00000000-0005-0000-0000-000093570000}"/>
    <cellStyle name="Normal 13 7" xfId="6148" xr:uid="{00000000-0005-0000-0000-000094570000}"/>
    <cellStyle name="Normal 13 7 2" xfId="14132" xr:uid="{00000000-0005-0000-0000-000095570000}"/>
    <cellStyle name="Normal 13 7 3" xfId="22080" xr:uid="{00000000-0005-0000-0000-000096570000}"/>
    <cellStyle name="Normal 13 8" xfId="9701" xr:uid="{00000000-0005-0000-0000-000097570000}"/>
    <cellStyle name="Normal 13 8 2" xfId="17659" xr:uid="{00000000-0005-0000-0000-000098570000}"/>
    <cellStyle name="Normal 13 8 3" xfId="25603" xr:uid="{00000000-0005-0000-0000-000099570000}"/>
    <cellStyle name="Normal 13 9" xfId="10597" xr:uid="{00000000-0005-0000-0000-00009A570000}"/>
    <cellStyle name="Normal 13_Exh G" xfId="3457" xr:uid="{00000000-0005-0000-0000-00009B570000}"/>
    <cellStyle name="Normal 14" xfId="653" xr:uid="{00000000-0005-0000-0000-00009C570000}"/>
    <cellStyle name="Normal 14 10" xfId="10601" xr:uid="{00000000-0005-0000-0000-00009D570000}"/>
    <cellStyle name="Normal 14 11" xfId="18556" xr:uid="{00000000-0005-0000-0000-00009E570000}"/>
    <cellStyle name="Normal 14 2" xfId="654" xr:uid="{00000000-0005-0000-0000-00009F570000}"/>
    <cellStyle name="Normal 14 2 2" xfId="655" xr:uid="{00000000-0005-0000-0000-0000A0570000}"/>
    <cellStyle name="Normal 14 2 2 2" xfId="1683" xr:uid="{00000000-0005-0000-0000-0000A1570000}"/>
    <cellStyle name="Normal 14 2 2 2 2" xfId="5213" xr:uid="{00000000-0005-0000-0000-0000A2570000}"/>
    <cellStyle name="Normal 14 2 2 2 2 2" xfId="8804" xr:uid="{00000000-0005-0000-0000-0000A3570000}"/>
    <cellStyle name="Normal 14 2 2 2 2 2 2" xfId="16775" xr:uid="{00000000-0005-0000-0000-0000A4570000}"/>
    <cellStyle name="Normal 14 2 2 2 2 2 3" xfId="24721" xr:uid="{00000000-0005-0000-0000-0000A5570000}"/>
    <cellStyle name="Normal 14 2 2 2 2 3" xfId="13237" xr:uid="{00000000-0005-0000-0000-0000A6570000}"/>
    <cellStyle name="Normal 14 2 2 2 2 4" xfId="21192" xr:uid="{00000000-0005-0000-0000-0000A7570000}"/>
    <cellStyle name="Normal 14 2 2 2 3" xfId="7045" xr:uid="{00000000-0005-0000-0000-0000A8570000}"/>
    <cellStyle name="Normal 14 2 2 2 3 2" xfId="15017" xr:uid="{00000000-0005-0000-0000-0000A9570000}"/>
    <cellStyle name="Normal 14 2 2 2 3 3" xfId="22964" xr:uid="{00000000-0005-0000-0000-0000AA570000}"/>
    <cellStyle name="Normal 14 2 2 2 4" xfId="11481" xr:uid="{00000000-0005-0000-0000-0000AB570000}"/>
    <cellStyle name="Normal 14 2 2 2 5" xfId="19436" xr:uid="{00000000-0005-0000-0000-0000AC570000}"/>
    <cellStyle name="Normal 14 2 2 2_Exh G" xfId="3470" xr:uid="{00000000-0005-0000-0000-0000AD570000}"/>
    <cellStyle name="Normal 14 2 2 3" xfId="4334" xr:uid="{00000000-0005-0000-0000-0000AE570000}"/>
    <cellStyle name="Normal 14 2 2 3 2" xfId="7926" xr:uid="{00000000-0005-0000-0000-0000AF570000}"/>
    <cellStyle name="Normal 14 2 2 3 2 2" xfId="15897" xr:uid="{00000000-0005-0000-0000-0000B0570000}"/>
    <cellStyle name="Normal 14 2 2 3 2 3" xfId="23843" xr:uid="{00000000-0005-0000-0000-0000B1570000}"/>
    <cellStyle name="Normal 14 2 2 3 3" xfId="12359" xr:uid="{00000000-0005-0000-0000-0000B2570000}"/>
    <cellStyle name="Normal 14 2 2 3 4" xfId="20314" xr:uid="{00000000-0005-0000-0000-0000B3570000}"/>
    <cellStyle name="Normal 14 2 2 4" xfId="6154" xr:uid="{00000000-0005-0000-0000-0000B4570000}"/>
    <cellStyle name="Normal 14 2 2 4 2" xfId="14138" xr:uid="{00000000-0005-0000-0000-0000B5570000}"/>
    <cellStyle name="Normal 14 2 2 4 3" xfId="22086" xr:uid="{00000000-0005-0000-0000-0000B6570000}"/>
    <cellStyle name="Normal 14 2 2 5" xfId="9707" xr:uid="{00000000-0005-0000-0000-0000B7570000}"/>
    <cellStyle name="Normal 14 2 2 5 2" xfId="17665" xr:uid="{00000000-0005-0000-0000-0000B8570000}"/>
    <cellStyle name="Normal 14 2 2 5 3" xfId="25609" xr:uid="{00000000-0005-0000-0000-0000B9570000}"/>
    <cellStyle name="Normal 14 2 2 6" xfId="10603" xr:uid="{00000000-0005-0000-0000-0000BA570000}"/>
    <cellStyle name="Normal 14 2 2 7" xfId="18558" xr:uid="{00000000-0005-0000-0000-0000BB570000}"/>
    <cellStyle name="Normal 14 2 2_Exh G" xfId="3469" xr:uid="{00000000-0005-0000-0000-0000BC570000}"/>
    <cellStyle name="Normal 14 2 3" xfId="1682" xr:uid="{00000000-0005-0000-0000-0000BD570000}"/>
    <cellStyle name="Normal 14 2 3 2" xfId="5212" xr:uid="{00000000-0005-0000-0000-0000BE570000}"/>
    <cellStyle name="Normal 14 2 3 2 2" xfId="8803" xr:uid="{00000000-0005-0000-0000-0000BF570000}"/>
    <cellStyle name="Normal 14 2 3 2 2 2" xfId="16774" xr:uid="{00000000-0005-0000-0000-0000C0570000}"/>
    <cellStyle name="Normal 14 2 3 2 2 3" xfId="24720" xr:uid="{00000000-0005-0000-0000-0000C1570000}"/>
    <cellStyle name="Normal 14 2 3 2 3" xfId="13236" xr:uid="{00000000-0005-0000-0000-0000C2570000}"/>
    <cellStyle name="Normal 14 2 3 2 4" xfId="21191" xr:uid="{00000000-0005-0000-0000-0000C3570000}"/>
    <cellStyle name="Normal 14 2 3 3" xfId="7044" xr:uid="{00000000-0005-0000-0000-0000C4570000}"/>
    <cellStyle name="Normal 14 2 3 3 2" xfId="15016" xr:uid="{00000000-0005-0000-0000-0000C5570000}"/>
    <cellStyle name="Normal 14 2 3 3 3" xfId="22963" xr:uid="{00000000-0005-0000-0000-0000C6570000}"/>
    <cellStyle name="Normal 14 2 3 4" xfId="11480" xr:uid="{00000000-0005-0000-0000-0000C7570000}"/>
    <cellStyle name="Normal 14 2 3 5" xfId="19435" xr:uid="{00000000-0005-0000-0000-0000C8570000}"/>
    <cellStyle name="Normal 14 2 3_Exh G" xfId="3471" xr:uid="{00000000-0005-0000-0000-0000C9570000}"/>
    <cellStyle name="Normal 14 2 4" xfId="4333" xr:uid="{00000000-0005-0000-0000-0000CA570000}"/>
    <cellStyle name="Normal 14 2 4 2" xfId="7925" xr:uid="{00000000-0005-0000-0000-0000CB570000}"/>
    <cellStyle name="Normal 14 2 4 2 2" xfId="15896" xr:uid="{00000000-0005-0000-0000-0000CC570000}"/>
    <cellStyle name="Normal 14 2 4 2 3" xfId="23842" xr:uid="{00000000-0005-0000-0000-0000CD570000}"/>
    <cellStyle name="Normal 14 2 4 3" xfId="12358" xr:uid="{00000000-0005-0000-0000-0000CE570000}"/>
    <cellStyle name="Normal 14 2 4 4" xfId="20313" xr:uid="{00000000-0005-0000-0000-0000CF570000}"/>
    <cellStyle name="Normal 14 2 5" xfId="6153" xr:uid="{00000000-0005-0000-0000-0000D0570000}"/>
    <cellStyle name="Normal 14 2 5 2" xfId="14137" xr:uid="{00000000-0005-0000-0000-0000D1570000}"/>
    <cellStyle name="Normal 14 2 5 3" xfId="22085" xr:uid="{00000000-0005-0000-0000-0000D2570000}"/>
    <cellStyle name="Normal 14 2 6" xfId="9706" xr:uid="{00000000-0005-0000-0000-0000D3570000}"/>
    <cellStyle name="Normal 14 2 6 2" xfId="17664" xr:uid="{00000000-0005-0000-0000-0000D4570000}"/>
    <cellStyle name="Normal 14 2 6 3" xfId="25608" xr:uid="{00000000-0005-0000-0000-0000D5570000}"/>
    <cellStyle name="Normal 14 2 7" xfId="10602" xr:uid="{00000000-0005-0000-0000-0000D6570000}"/>
    <cellStyle name="Normal 14 2 8" xfId="18557" xr:uid="{00000000-0005-0000-0000-0000D7570000}"/>
    <cellStyle name="Normal 14 2_Exh G" xfId="3468" xr:uid="{00000000-0005-0000-0000-0000D8570000}"/>
    <cellStyle name="Normal 14 3" xfId="656" xr:uid="{00000000-0005-0000-0000-0000D9570000}"/>
    <cellStyle name="Normal 14 3 2" xfId="1684" xr:uid="{00000000-0005-0000-0000-0000DA570000}"/>
    <cellStyle name="Normal 14 3 2 2" xfId="5214" xr:uid="{00000000-0005-0000-0000-0000DB570000}"/>
    <cellStyle name="Normal 14 3 2 2 2" xfId="8805" xr:uid="{00000000-0005-0000-0000-0000DC570000}"/>
    <cellStyle name="Normal 14 3 2 2 2 2" xfId="16776" xr:uid="{00000000-0005-0000-0000-0000DD570000}"/>
    <cellStyle name="Normal 14 3 2 2 2 3" xfId="24722" xr:uid="{00000000-0005-0000-0000-0000DE570000}"/>
    <cellStyle name="Normal 14 3 2 2 3" xfId="13238" xr:uid="{00000000-0005-0000-0000-0000DF570000}"/>
    <cellStyle name="Normal 14 3 2 2 4" xfId="21193" xr:uid="{00000000-0005-0000-0000-0000E0570000}"/>
    <cellStyle name="Normal 14 3 2 3" xfId="7046" xr:uid="{00000000-0005-0000-0000-0000E1570000}"/>
    <cellStyle name="Normal 14 3 2 3 2" xfId="15018" xr:uid="{00000000-0005-0000-0000-0000E2570000}"/>
    <cellStyle name="Normal 14 3 2 3 3" xfId="22965" xr:uid="{00000000-0005-0000-0000-0000E3570000}"/>
    <cellStyle name="Normal 14 3 2 4" xfId="11482" xr:uid="{00000000-0005-0000-0000-0000E4570000}"/>
    <cellStyle name="Normal 14 3 2 5" xfId="19437" xr:uid="{00000000-0005-0000-0000-0000E5570000}"/>
    <cellStyle name="Normal 14 3 2_Exh G" xfId="3473" xr:uid="{00000000-0005-0000-0000-0000E6570000}"/>
    <cellStyle name="Normal 14 3 3" xfId="4335" xr:uid="{00000000-0005-0000-0000-0000E7570000}"/>
    <cellStyle name="Normal 14 3 3 2" xfId="7927" xr:uid="{00000000-0005-0000-0000-0000E8570000}"/>
    <cellStyle name="Normal 14 3 3 2 2" xfId="15898" xr:uid="{00000000-0005-0000-0000-0000E9570000}"/>
    <cellStyle name="Normal 14 3 3 2 3" xfId="23844" xr:uid="{00000000-0005-0000-0000-0000EA570000}"/>
    <cellStyle name="Normal 14 3 3 3" xfId="12360" xr:uid="{00000000-0005-0000-0000-0000EB570000}"/>
    <cellStyle name="Normal 14 3 3 4" xfId="20315" xr:uid="{00000000-0005-0000-0000-0000EC570000}"/>
    <cellStyle name="Normal 14 3 4" xfId="6155" xr:uid="{00000000-0005-0000-0000-0000ED570000}"/>
    <cellStyle name="Normal 14 3 4 2" xfId="14139" xr:uid="{00000000-0005-0000-0000-0000EE570000}"/>
    <cellStyle name="Normal 14 3 4 3" xfId="22087" xr:uid="{00000000-0005-0000-0000-0000EF570000}"/>
    <cellStyle name="Normal 14 3 5" xfId="9708" xr:uid="{00000000-0005-0000-0000-0000F0570000}"/>
    <cellStyle name="Normal 14 3 5 2" xfId="17666" xr:uid="{00000000-0005-0000-0000-0000F1570000}"/>
    <cellStyle name="Normal 14 3 5 3" xfId="25610" xr:uid="{00000000-0005-0000-0000-0000F2570000}"/>
    <cellStyle name="Normal 14 3 6" xfId="10604" xr:uid="{00000000-0005-0000-0000-0000F3570000}"/>
    <cellStyle name="Normal 14 3 7" xfId="18559" xr:uid="{00000000-0005-0000-0000-0000F4570000}"/>
    <cellStyle name="Normal 14 3_Exh G" xfId="3472" xr:uid="{00000000-0005-0000-0000-0000F5570000}"/>
    <cellStyle name="Normal 14 4" xfId="740" xr:uid="{00000000-0005-0000-0000-0000F6570000}"/>
    <cellStyle name="Normal 14 4 2" xfId="1767" xr:uid="{00000000-0005-0000-0000-0000F7570000}"/>
    <cellStyle name="Normal 14 4_Exh G" xfId="3474" xr:uid="{00000000-0005-0000-0000-0000F8570000}"/>
    <cellStyle name="Normal 14 5" xfId="1016" xr:uid="{00000000-0005-0000-0000-0000F9570000}"/>
    <cellStyle name="Normal 14 6" xfId="1681" xr:uid="{00000000-0005-0000-0000-0000FA570000}"/>
    <cellStyle name="Normal 14 6 2" xfId="5211" xr:uid="{00000000-0005-0000-0000-0000FB570000}"/>
    <cellStyle name="Normal 14 6 2 2" xfId="8802" xr:uid="{00000000-0005-0000-0000-0000FC570000}"/>
    <cellStyle name="Normal 14 6 2 2 2" xfId="16773" xr:uid="{00000000-0005-0000-0000-0000FD570000}"/>
    <cellStyle name="Normal 14 6 2 2 3" xfId="24719" xr:uid="{00000000-0005-0000-0000-0000FE570000}"/>
    <cellStyle name="Normal 14 6 2 3" xfId="13235" xr:uid="{00000000-0005-0000-0000-0000FF570000}"/>
    <cellStyle name="Normal 14 6 2 4" xfId="21190" xr:uid="{00000000-0005-0000-0000-000000580000}"/>
    <cellStyle name="Normal 14 6 3" xfId="7043" xr:uid="{00000000-0005-0000-0000-000001580000}"/>
    <cellStyle name="Normal 14 6 3 2" xfId="15015" xr:uid="{00000000-0005-0000-0000-000002580000}"/>
    <cellStyle name="Normal 14 6 3 3" xfId="22962" xr:uid="{00000000-0005-0000-0000-000003580000}"/>
    <cellStyle name="Normal 14 6 4" xfId="11479" xr:uid="{00000000-0005-0000-0000-000004580000}"/>
    <cellStyle name="Normal 14 6 5" xfId="19434" xr:uid="{00000000-0005-0000-0000-000005580000}"/>
    <cellStyle name="Normal 14 6_Exh G" xfId="3475" xr:uid="{00000000-0005-0000-0000-000006580000}"/>
    <cellStyle name="Normal 14 7" xfId="4332" xr:uid="{00000000-0005-0000-0000-000007580000}"/>
    <cellStyle name="Normal 14 7 2" xfId="7924" xr:uid="{00000000-0005-0000-0000-000008580000}"/>
    <cellStyle name="Normal 14 7 2 2" xfId="15895" xr:uid="{00000000-0005-0000-0000-000009580000}"/>
    <cellStyle name="Normal 14 7 2 3" xfId="23841" xr:uid="{00000000-0005-0000-0000-00000A580000}"/>
    <cellStyle name="Normal 14 7 3" xfId="12357" xr:uid="{00000000-0005-0000-0000-00000B580000}"/>
    <cellStyle name="Normal 14 7 4" xfId="20312" xr:uid="{00000000-0005-0000-0000-00000C580000}"/>
    <cellStyle name="Normal 14 8" xfId="6152" xr:uid="{00000000-0005-0000-0000-00000D580000}"/>
    <cellStyle name="Normal 14 8 2" xfId="14136" xr:uid="{00000000-0005-0000-0000-00000E580000}"/>
    <cellStyle name="Normal 14 8 3" xfId="22084" xr:uid="{00000000-0005-0000-0000-00000F580000}"/>
    <cellStyle name="Normal 14 9" xfId="9705" xr:uid="{00000000-0005-0000-0000-000010580000}"/>
    <cellStyle name="Normal 14 9 2" xfId="17663" xr:uid="{00000000-0005-0000-0000-000011580000}"/>
    <cellStyle name="Normal 14 9 3" xfId="25607" xr:uid="{00000000-0005-0000-0000-000012580000}"/>
    <cellStyle name="Normal 14_Exh G" xfId="3467" xr:uid="{00000000-0005-0000-0000-000013580000}"/>
    <cellStyle name="Normal 15" xfId="657" xr:uid="{00000000-0005-0000-0000-000014580000}"/>
    <cellStyle name="Normal 15 2" xfId="658" xr:uid="{00000000-0005-0000-0000-000015580000}"/>
    <cellStyle name="Normal 15 2 2" xfId="659" xr:uid="{00000000-0005-0000-0000-000016580000}"/>
    <cellStyle name="Normal 15 2 2 2" xfId="1687" xr:uid="{00000000-0005-0000-0000-000017580000}"/>
    <cellStyle name="Normal 15 2 2 2 2" xfId="5217" xr:uid="{00000000-0005-0000-0000-000018580000}"/>
    <cellStyle name="Normal 15 2 2 2 2 2" xfId="8808" xr:uid="{00000000-0005-0000-0000-000019580000}"/>
    <cellStyle name="Normal 15 2 2 2 2 2 2" xfId="16779" xr:uid="{00000000-0005-0000-0000-00001A580000}"/>
    <cellStyle name="Normal 15 2 2 2 2 2 3" xfId="24725" xr:uid="{00000000-0005-0000-0000-00001B580000}"/>
    <cellStyle name="Normal 15 2 2 2 2 3" xfId="13241" xr:uid="{00000000-0005-0000-0000-00001C580000}"/>
    <cellStyle name="Normal 15 2 2 2 2 4" xfId="21196" xr:uid="{00000000-0005-0000-0000-00001D580000}"/>
    <cellStyle name="Normal 15 2 2 2 3" xfId="7049" xr:uid="{00000000-0005-0000-0000-00001E580000}"/>
    <cellStyle name="Normal 15 2 2 2 3 2" xfId="15021" xr:uid="{00000000-0005-0000-0000-00001F580000}"/>
    <cellStyle name="Normal 15 2 2 2 3 3" xfId="22968" xr:uid="{00000000-0005-0000-0000-000020580000}"/>
    <cellStyle name="Normal 15 2 2 2 4" xfId="11485" xr:uid="{00000000-0005-0000-0000-000021580000}"/>
    <cellStyle name="Normal 15 2 2 2 5" xfId="19440" xr:uid="{00000000-0005-0000-0000-000022580000}"/>
    <cellStyle name="Normal 15 2 2 2_Exh G" xfId="3479" xr:uid="{00000000-0005-0000-0000-000023580000}"/>
    <cellStyle name="Normal 15 2 2 3" xfId="4338" xr:uid="{00000000-0005-0000-0000-000024580000}"/>
    <cellStyle name="Normal 15 2 2 3 2" xfId="7930" xr:uid="{00000000-0005-0000-0000-000025580000}"/>
    <cellStyle name="Normal 15 2 2 3 2 2" xfId="15901" xr:uid="{00000000-0005-0000-0000-000026580000}"/>
    <cellStyle name="Normal 15 2 2 3 2 3" xfId="23847" xr:uid="{00000000-0005-0000-0000-000027580000}"/>
    <cellStyle name="Normal 15 2 2 3 3" xfId="12363" xr:uid="{00000000-0005-0000-0000-000028580000}"/>
    <cellStyle name="Normal 15 2 2 3 4" xfId="20318" xr:uid="{00000000-0005-0000-0000-000029580000}"/>
    <cellStyle name="Normal 15 2 2 4" xfId="6158" xr:uid="{00000000-0005-0000-0000-00002A580000}"/>
    <cellStyle name="Normal 15 2 2 4 2" xfId="14142" xr:uid="{00000000-0005-0000-0000-00002B580000}"/>
    <cellStyle name="Normal 15 2 2 4 3" xfId="22090" xr:uid="{00000000-0005-0000-0000-00002C580000}"/>
    <cellStyle name="Normal 15 2 2 5" xfId="9711" xr:uid="{00000000-0005-0000-0000-00002D580000}"/>
    <cellStyle name="Normal 15 2 2 5 2" xfId="17669" xr:uid="{00000000-0005-0000-0000-00002E580000}"/>
    <cellStyle name="Normal 15 2 2 5 3" xfId="25613" xr:uid="{00000000-0005-0000-0000-00002F580000}"/>
    <cellStyle name="Normal 15 2 2 6" xfId="10607" xr:uid="{00000000-0005-0000-0000-000030580000}"/>
    <cellStyle name="Normal 15 2 2 7" xfId="18562" xr:uid="{00000000-0005-0000-0000-000031580000}"/>
    <cellStyle name="Normal 15 2 2_Exh G" xfId="3478" xr:uid="{00000000-0005-0000-0000-000032580000}"/>
    <cellStyle name="Normal 15 2 3" xfId="1686" xr:uid="{00000000-0005-0000-0000-000033580000}"/>
    <cellStyle name="Normal 15 2 3 2" xfId="5216" xr:uid="{00000000-0005-0000-0000-000034580000}"/>
    <cellStyle name="Normal 15 2 3 2 2" xfId="8807" xr:uid="{00000000-0005-0000-0000-000035580000}"/>
    <cellStyle name="Normal 15 2 3 2 2 2" xfId="16778" xr:uid="{00000000-0005-0000-0000-000036580000}"/>
    <cellStyle name="Normal 15 2 3 2 2 3" xfId="24724" xr:uid="{00000000-0005-0000-0000-000037580000}"/>
    <cellStyle name="Normal 15 2 3 2 3" xfId="13240" xr:uid="{00000000-0005-0000-0000-000038580000}"/>
    <cellStyle name="Normal 15 2 3 2 4" xfId="21195" xr:uid="{00000000-0005-0000-0000-000039580000}"/>
    <cellStyle name="Normal 15 2 3 3" xfId="7048" xr:uid="{00000000-0005-0000-0000-00003A580000}"/>
    <cellStyle name="Normal 15 2 3 3 2" xfId="15020" xr:uid="{00000000-0005-0000-0000-00003B580000}"/>
    <cellStyle name="Normal 15 2 3 3 3" xfId="22967" xr:uid="{00000000-0005-0000-0000-00003C580000}"/>
    <cellStyle name="Normal 15 2 3 4" xfId="11484" xr:uid="{00000000-0005-0000-0000-00003D580000}"/>
    <cellStyle name="Normal 15 2 3 5" xfId="19439" xr:uid="{00000000-0005-0000-0000-00003E580000}"/>
    <cellStyle name="Normal 15 2 3_Exh G" xfId="3480" xr:uid="{00000000-0005-0000-0000-00003F580000}"/>
    <cellStyle name="Normal 15 2 4" xfId="4337" xr:uid="{00000000-0005-0000-0000-000040580000}"/>
    <cellStyle name="Normal 15 2 4 2" xfId="7929" xr:uid="{00000000-0005-0000-0000-000041580000}"/>
    <cellStyle name="Normal 15 2 4 2 2" xfId="15900" xr:uid="{00000000-0005-0000-0000-000042580000}"/>
    <cellStyle name="Normal 15 2 4 2 3" xfId="23846" xr:uid="{00000000-0005-0000-0000-000043580000}"/>
    <cellStyle name="Normal 15 2 4 3" xfId="12362" xr:uid="{00000000-0005-0000-0000-000044580000}"/>
    <cellStyle name="Normal 15 2 4 4" xfId="20317" xr:uid="{00000000-0005-0000-0000-000045580000}"/>
    <cellStyle name="Normal 15 2 5" xfId="6157" xr:uid="{00000000-0005-0000-0000-000046580000}"/>
    <cellStyle name="Normal 15 2 5 2" xfId="14141" xr:uid="{00000000-0005-0000-0000-000047580000}"/>
    <cellStyle name="Normal 15 2 5 3" xfId="22089" xr:uid="{00000000-0005-0000-0000-000048580000}"/>
    <cellStyle name="Normal 15 2 6" xfId="9710" xr:uid="{00000000-0005-0000-0000-000049580000}"/>
    <cellStyle name="Normal 15 2 6 2" xfId="17668" xr:uid="{00000000-0005-0000-0000-00004A580000}"/>
    <cellStyle name="Normal 15 2 6 3" xfId="25612" xr:uid="{00000000-0005-0000-0000-00004B580000}"/>
    <cellStyle name="Normal 15 2 7" xfId="10606" xr:uid="{00000000-0005-0000-0000-00004C580000}"/>
    <cellStyle name="Normal 15 2 8" xfId="18561" xr:uid="{00000000-0005-0000-0000-00004D580000}"/>
    <cellStyle name="Normal 15 2_Exh G" xfId="3477" xr:uid="{00000000-0005-0000-0000-00004E580000}"/>
    <cellStyle name="Normal 15 3" xfId="660" xr:uid="{00000000-0005-0000-0000-00004F580000}"/>
    <cellStyle name="Normal 15 3 2" xfId="1688" xr:uid="{00000000-0005-0000-0000-000050580000}"/>
    <cellStyle name="Normal 15 3 2 2" xfId="5218" xr:uid="{00000000-0005-0000-0000-000051580000}"/>
    <cellStyle name="Normal 15 3 2 2 2" xfId="8809" xr:uid="{00000000-0005-0000-0000-000052580000}"/>
    <cellStyle name="Normal 15 3 2 2 2 2" xfId="16780" xr:uid="{00000000-0005-0000-0000-000053580000}"/>
    <cellStyle name="Normal 15 3 2 2 2 3" xfId="24726" xr:uid="{00000000-0005-0000-0000-000054580000}"/>
    <cellStyle name="Normal 15 3 2 2 3" xfId="13242" xr:uid="{00000000-0005-0000-0000-000055580000}"/>
    <cellStyle name="Normal 15 3 2 2 4" xfId="21197" xr:uid="{00000000-0005-0000-0000-000056580000}"/>
    <cellStyle name="Normal 15 3 2 3" xfId="7050" xr:uid="{00000000-0005-0000-0000-000057580000}"/>
    <cellStyle name="Normal 15 3 2 3 2" xfId="15022" xr:uid="{00000000-0005-0000-0000-000058580000}"/>
    <cellStyle name="Normal 15 3 2 3 3" xfId="22969" xr:uid="{00000000-0005-0000-0000-000059580000}"/>
    <cellStyle name="Normal 15 3 2 4" xfId="11486" xr:uid="{00000000-0005-0000-0000-00005A580000}"/>
    <cellStyle name="Normal 15 3 2 5" xfId="19441" xr:uid="{00000000-0005-0000-0000-00005B580000}"/>
    <cellStyle name="Normal 15 3 2_Exh G" xfId="3482" xr:uid="{00000000-0005-0000-0000-00005C580000}"/>
    <cellStyle name="Normal 15 3 3" xfId="4339" xr:uid="{00000000-0005-0000-0000-00005D580000}"/>
    <cellStyle name="Normal 15 3 3 2" xfId="7931" xr:uid="{00000000-0005-0000-0000-00005E580000}"/>
    <cellStyle name="Normal 15 3 3 2 2" xfId="15902" xr:uid="{00000000-0005-0000-0000-00005F580000}"/>
    <cellStyle name="Normal 15 3 3 2 3" xfId="23848" xr:uid="{00000000-0005-0000-0000-000060580000}"/>
    <cellStyle name="Normal 15 3 3 3" xfId="12364" xr:uid="{00000000-0005-0000-0000-000061580000}"/>
    <cellStyle name="Normal 15 3 3 4" xfId="20319" xr:uid="{00000000-0005-0000-0000-000062580000}"/>
    <cellStyle name="Normal 15 3 4" xfId="6159" xr:uid="{00000000-0005-0000-0000-000063580000}"/>
    <cellStyle name="Normal 15 3 4 2" xfId="14143" xr:uid="{00000000-0005-0000-0000-000064580000}"/>
    <cellStyle name="Normal 15 3 4 3" xfId="22091" xr:uid="{00000000-0005-0000-0000-000065580000}"/>
    <cellStyle name="Normal 15 3 5" xfId="9712" xr:uid="{00000000-0005-0000-0000-000066580000}"/>
    <cellStyle name="Normal 15 3 5 2" xfId="17670" xr:uid="{00000000-0005-0000-0000-000067580000}"/>
    <cellStyle name="Normal 15 3 5 3" xfId="25614" xr:uid="{00000000-0005-0000-0000-000068580000}"/>
    <cellStyle name="Normal 15 3 6" xfId="10608" xr:uid="{00000000-0005-0000-0000-000069580000}"/>
    <cellStyle name="Normal 15 3 7" xfId="18563" xr:uid="{00000000-0005-0000-0000-00006A580000}"/>
    <cellStyle name="Normal 15 3_Exh G" xfId="3481" xr:uid="{00000000-0005-0000-0000-00006B580000}"/>
    <cellStyle name="Normal 15 4" xfId="1685" xr:uid="{00000000-0005-0000-0000-00006C580000}"/>
    <cellStyle name="Normal 15 4 2" xfId="5215" xr:uid="{00000000-0005-0000-0000-00006D580000}"/>
    <cellStyle name="Normal 15 4 2 2" xfId="8806" xr:uid="{00000000-0005-0000-0000-00006E580000}"/>
    <cellStyle name="Normal 15 4 2 2 2" xfId="16777" xr:uid="{00000000-0005-0000-0000-00006F580000}"/>
    <cellStyle name="Normal 15 4 2 2 3" xfId="24723" xr:uid="{00000000-0005-0000-0000-000070580000}"/>
    <cellStyle name="Normal 15 4 2 3" xfId="13239" xr:uid="{00000000-0005-0000-0000-000071580000}"/>
    <cellStyle name="Normal 15 4 2 4" xfId="21194" xr:uid="{00000000-0005-0000-0000-000072580000}"/>
    <cellStyle name="Normal 15 4 3" xfId="7047" xr:uid="{00000000-0005-0000-0000-000073580000}"/>
    <cellStyle name="Normal 15 4 3 2" xfId="15019" xr:uid="{00000000-0005-0000-0000-000074580000}"/>
    <cellStyle name="Normal 15 4 3 3" xfId="22966" xr:uid="{00000000-0005-0000-0000-000075580000}"/>
    <cellStyle name="Normal 15 4 4" xfId="11483" xr:uid="{00000000-0005-0000-0000-000076580000}"/>
    <cellStyle name="Normal 15 4 5" xfId="19438" xr:uid="{00000000-0005-0000-0000-000077580000}"/>
    <cellStyle name="Normal 15 4_Exh G" xfId="3483" xr:uid="{00000000-0005-0000-0000-000078580000}"/>
    <cellStyle name="Normal 15 5" xfId="4336" xr:uid="{00000000-0005-0000-0000-000079580000}"/>
    <cellStyle name="Normal 15 5 2" xfId="7928" xr:uid="{00000000-0005-0000-0000-00007A580000}"/>
    <cellStyle name="Normal 15 5 2 2" xfId="15899" xr:uid="{00000000-0005-0000-0000-00007B580000}"/>
    <cellStyle name="Normal 15 5 2 3" xfId="23845" xr:uid="{00000000-0005-0000-0000-00007C580000}"/>
    <cellStyle name="Normal 15 5 3" xfId="12361" xr:uid="{00000000-0005-0000-0000-00007D580000}"/>
    <cellStyle name="Normal 15 5 4" xfId="20316" xr:uid="{00000000-0005-0000-0000-00007E580000}"/>
    <cellStyle name="Normal 15 6" xfId="6156" xr:uid="{00000000-0005-0000-0000-00007F580000}"/>
    <cellStyle name="Normal 15 6 2" xfId="14140" xr:uid="{00000000-0005-0000-0000-000080580000}"/>
    <cellStyle name="Normal 15 6 3" xfId="22088" xr:uid="{00000000-0005-0000-0000-000081580000}"/>
    <cellStyle name="Normal 15 7" xfId="9709" xr:uid="{00000000-0005-0000-0000-000082580000}"/>
    <cellStyle name="Normal 15 7 2" xfId="17667" xr:uid="{00000000-0005-0000-0000-000083580000}"/>
    <cellStyle name="Normal 15 7 3" xfId="25611" xr:uid="{00000000-0005-0000-0000-000084580000}"/>
    <cellStyle name="Normal 15 8" xfId="10605" xr:uid="{00000000-0005-0000-0000-000085580000}"/>
    <cellStyle name="Normal 15 9" xfId="18560" xr:uid="{00000000-0005-0000-0000-000086580000}"/>
    <cellStyle name="Normal 15_Exh G" xfId="3476" xr:uid="{00000000-0005-0000-0000-000087580000}"/>
    <cellStyle name="Normal 16" xfId="661" xr:uid="{00000000-0005-0000-0000-000088580000}"/>
    <cellStyle name="Normal 16 2" xfId="662" xr:uid="{00000000-0005-0000-0000-000089580000}"/>
    <cellStyle name="Normal 16 2 2" xfId="663" xr:uid="{00000000-0005-0000-0000-00008A580000}"/>
    <cellStyle name="Normal 16 2 2 2" xfId="1691" xr:uid="{00000000-0005-0000-0000-00008B580000}"/>
    <cellStyle name="Normal 16 2 2 2 2" xfId="5221" xr:uid="{00000000-0005-0000-0000-00008C580000}"/>
    <cellStyle name="Normal 16 2 2 2 2 2" xfId="8812" xr:uid="{00000000-0005-0000-0000-00008D580000}"/>
    <cellStyle name="Normal 16 2 2 2 2 2 2" xfId="16783" xr:uid="{00000000-0005-0000-0000-00008E580000}"/>
    <cellStyle name="Normal 16 2 2 2 2 2 3" xfId="24729" xr:uid="{00000000-0005-0000-0000-00008F580000}"/>
    <cellStyle name="Normal 16 2 2 2 2 3" xfId="13245" xr:uid="{00000000-0005-0000-0000-000090580000}"/>
    <cellStyle name="Normal 16 2 2 2 2 4" xfId="21200" xr:uid="{00000000-0005-0000-0000-000091580000}"/>
    <cellStyle name="Normal 16 2 2 2 3" xfId="7053" xr:uid="{00000000-0005-0000-0000-000092580000}"/>
    <cellStyle name="Normal 16 2 2 2 3 2" xfId="15025" xr:uid="{00000000-0005-0000-0000-000093580000}"/>
    <cellStyle name="Normal 16 2 2 2 3 3" xfId="22972" xr:uid="{00000000-0005-0000-0000-000094580000}"/>
    <cellStyle name="Normal 16 2 2 2 4" xfId="11489" xr:uid="{00000000-0005-0000-0000-000095580000}"/>
    <cellStyle name="Normal 16 2 2 2 5" xfId="19444" xr:uid="{00000000-0005-0000-0000-000096580000}"/>
    <cellStyle name="Normal 16 2 2 2_Exh G" xfId="3487" xr:uid="{00000000-0005-0000-0000-000097580000}"/>
    <cellStyle name="Normal 16 2 2 3" xfId="4342" xr:uid="{00000000-0005-0000-0000-000098580000}"/>
    <cellStyle name="Normal 16 2 2 3 2" xfId="7934" xr:uid="{00000000-0005-0000-0000-000099580000}"/>
    <cellStyle name="Normal 16 2 2 3 2 2" xfId="15905" xr:uid="{00000000-0005-0000-0000-00009A580000}"/>
    <cellStyle name="Normal 16 2 2 3 2 3" xfId="23851" xr:uid="{00000000-0005-0000-0000-00009B580000}"/>
    <cellStyle name="Normal 16 2 2 3 3" xfId="12367" xr:uid="{00000000-0005-0000-0000-00009C580000}"/>
    <cellStyle name="Normal 16 2 2 3 4" xfId="20322" xr:uid="{00000000-0005-0000-0000-00009D580000}"/>
    <cellStyle name="Normal 16 2 2 4" xfId="6162" xr:uid="{00000000-0005-0000-0000-00009E580000}"/>
    <cellStyle name="Normal 16 2 2 4 2" xfId="14146" xr:uid="{00000000-0005-0000-0000-00009F580000}"/>
    <cellStyle name="Normal 16 2 2 4 3" xfId="22094" xr:uid="{00000000-0005-0000-0000-0000A0580000}"/>
    <cellStyle name="Normal 16 2 2 5" xfId="9715" xr:uid="{00000000-0005-0000-0000-0000A1580000}"/>
    <cellStyle name="Normal 16 2 2 5 2" xfId="17673" xr:uid="{00000000-0005-0000-0000-0000A2580000}"/>
    <cellStyle name="Normal 16 2 2 5 3" xfId="25617" xr:uid="{00000000-0005-0000-0000-0000A3580000}"/>
    <cellStyle name="Normal 16 2 2 6" xfId="10611" xr:uid="{00000000-0005-0000-0000-0000A4580000}"/>
    <cellStyle name="Normal 16 2 2 7" xfId="18566" xr:uid="{00000000-0005-0000-0000-0000A5580000}"/>
    <cellStyle name="Normal 16 2 2_Exh G" xfId="3486" xr:uid="{00000000-0005-0000-0000-0000A6580000}"/>
    <cellStyle name="Normal 16 2 3" xfId="1690" xr:uid="{00000000-0005-0000-0000-0000A7580000}"/>
    <cellStyle name="Normal 16 2 3 2" xfId="5220" xr:uid="{00000000-0005-0000-0000-0000A8580000}"/>
    <cellStyle name="Normal 16 2 3 2 2" xfId="8811" xr:uid="{00000000-0005-0000-0000-0000A9580000}"/>
    <cellStyle name="Normal 16 2 3 2 2 2" xfId="16782" xr:uid="{00000000-0005-0000-0000-0000AA580000}"/>
    <cellStyle name="Normal 16 2 3 2 2 3" xfId="24728" xr:uid="{00000000-0005-0000-0000-0000AB580000}"/>
    <cellStyle name="Normal 16 2 3 2 3" xfId="13244" xr:uid="{00000000-0005-0000-0000-0000AC580000}"/>
    <cellStyle name="Normal 16 2 3 2 4" xfId="21199" xr:uid="{00000000-0005-0000-0000-0000AD580000}"/>
    <cellStyle name="Normal 16 2 3 3" xfId="7052" xr:uid="{00000000-0005-0000-0000-0000AE580000}"/>
    <cellStyle name="Normal 16 2 3 3 2" xfId="15024" xr:uid="{00000000-0005-0000-0000-0000AF580000}"/>
    <cellStyle name="Normal 16 2 3 3 3" xfId="22971" xr:uid="{00000000-0005-0000-0000-0000B0580000}"/>
    <cellStyle name="Normal 16 2 3 4" xfId="11488" xr:uid="{00000000-0005-0000-0000-0000B1580000}"/>
    <cellStyle name="Normal 16 2 3 5" xfId="19443" xr:uid="{00000000-0005-0000-0000-0000B2580000}"/>
    <cellStyle name="Normal 16 2 3_Exh G" xfId="3488" xr:uid="{00000000-0005-0000-0000-0000B3580000}"/>
    <cellStyle name="Normal 16 2 4" xfId="4341" xr:uid="{00000000-0005-0000-0000-0000B4580000}"/>
    <cellStyle name="Normal 16 2 4 2" xfId="7933" xr:uid="{00000000-0005-0000-0000-0000B5580000}"/>
    <cellStyle name="Normal 16 2 4 2 2" xfId="15904" xr:uid="{00000000-0005-0000-0000-0000B6580000}"/>
    <cellStyle name="Normal 16 2 4 2 3" xfId="23850" xr:uid="{00000000-0005-0000-0000-0000B7580000}"/>
    <cellStyle name="Normal 16 2 4 3" xfId="12366" xr:uid="{00000000-0005-0000-0000-0000B8580000}"/>
    <cellStyle name="Normal 16 2 4 4" xfId="20321" xr:uid="{00000000-0005-0000-0000-0000B9580000}"/>
    <cellStyle name="Normal 16 2 5" xfId="6161" xr:uid="{00000000-0005-0000-0000-0000BA580000}"/>
    <cellStyle name="Normal 16 2 5 2" xfId="14145" xr:uid="{00000000-0005-0000-0000-0000BB580000}"/>
    <cellStyle name="Normal 16 2 5 3" xfId="22093" xr:uid="{00000000-0005-0000-0000-0000BC580000}"/>
    <cellStyle name="Normal 16 2 6" xfId="9714" xr:uid="{00000000-0005-0000-0000-0000BD580000}"/>
    <cellStyle name="Normal 16 2 6 2" xfId="17672" xr:uid="{00000000-0005-0000-0000-0000BE580000}"/>
    <cellStyle name="Normal 16 2 6 3" xfId="25616" xr:uid="{00000000-0005-0000-0000-0000BF580000}"/>
    <cellStyle name="Normal 16 2 7" xfId="10610" xr:uid="{00000000-0005-0000-0000-0000C0580000}"/>
    <cellStyle name="Normal 16 2 8" xfId="18565" xr:uid="{00000000-0005-0000-0000-0000C1580000}"/>
    <cellStyle name="Normal 16 2_Exh G" xfId="3485" xr:uid="{00000000-0005-0000-0000-0000C2580000}"/>
    <cellStyle name="Normal 16 3" xfId="664" xr:uid="{00000000-0005-0000-0000-0000C3580000}"/>
    <cellStyle name="Normal 16 3 2" xfId="1692" xr:uid="{00000000-0005-0000-0000-0000C4580000}"/>
    <cellStyle name="Normal 16 3 2 2" xfId="5222" xr:uid="{00000000-0005-0000-0000-0000C5580000}"/>
    <cellStyle name="Normal 16 3 2 2 2" xfId="8813" xr:uid="{00000000-0005-0000-0000-0000C6580000}"/>
    <cellStyle name="Normal 16 3 2 2 2 2" xfId="16784" xr:uid="{00000000-0005-0000-0000-0000C7580000}"/>
    <cellStyle name="Normal 16 3 2 2 2 3" xfId="24730" xr:uid="{00000000-0005-0000-0000-0000C8580000}"/>
    <cellStyle name="Normal 16 3 2 2 3" xfId="13246" xr:uid="{00000000-0005-0000-0000-0000C9580000}"/>
    <cellStyle name="Normal 16 3 2 2 4" xfId="21201" xr:uid="{00000000-0005-0000-0000-0000CA580000}"/>
    <cellStyle name="Normal 16 3 2 3" xfId="7054" xr:uid="{00000000-0005-0000-0000-0000CB580000}"/>
    <cellStyle name="Normal 16 3 2 3 2" xfId="15026" xr:uid="{00000000-0005-0000-0000-0000CC580000}"/>
    <cellStyle name="Normal 16 3 2 3 3" xfId="22973" xr:uid="{00000000-0005-0000-0000-0000CD580000}"/>
    <cellStyle name="Normal 16 3 2 4" xfId="11490" xr:uid="{00000000-0005-0000-0000-0000CE580000}"/>
    <cellStyle name="Normal 16 3 2 5" xfId="19445" xr:uid="{00000000-0005-0000-0000-0000CF580000}"/>
    <cellStyle name="Normal 16 3 2_Exh G" xfId="3490" xr:uid="{00000000-0005-0000-0000-0000D0580000}"/>
    <cellStyle name="Normal 16 3 3" xfId="4343" xr:uid="{00000000-0005-0000-0000-0000D1580000}"/>
    <cellStyle name="Normal 16 3 3 2" xfId="7935" xr:uid="{00000000-0005-0000-0000-0000D2580000}"/>
    <cellStyle name="Normal 16 3 3 2 2" xfId="15906" xr:uid="{00000000-0005-0000-0000-0000D3580000}"/>
    <cellStyle name="Normal 16 3 3 2 3" xfId="23852" xr:uid="{00000000-0005-0000-0000-0000D4580000}"/>
    <cellStyle name="Normal 16 3 3 3" xfId="12368" xr:uid="{00000000-0005-0000-0000-0000D5580000}"/>
    <cellStyle name="Normal 16 3 3 4" xfId="20323" xr:uid="{00000000-0005-0000-0000-0000D6580000}"/>
    <cellStyle name="Normal 16 3 4" xfId="6163" xr:uid="{00000000-0005-0000-0000-0000D7580000}"/>
    <cellStyle name="Normal 16 3 4 2" xfId="14147" xr:uid="{00000000-0005-0000-0000-0000D8580000}"/>
    <cellStyle name="Normal 16 3 4 3" xfId="22095" xr:uid="{00000000-0005-0000-0000-0000D9580000}"/>
    <cellStyle name="Normal 16 3 5" xfId="9716" xr:uid="{00000000-0005-0000-0000-0000DA580000}"/>
    <cellStyle name="Normal 16 3 5 2" xfId="17674" xr:uid="{00000000-0005-0000-0000-0000DB580000}"/>
    <cellStyle name="Normal 16 3 5 3" xfId="25618" xr:uid="{00000000-0005-0000-0000-0000DC580000}"/>
    <cellStyle name="Normal 16 3 6" xfId="10612" xr:uid="{00000000-0005-0000-0000-0000DD580000}"/>
    <cellStyle name="Normal 16 3 7" xfId="18567" xr:uid="{00000000-0005-0000-0000-0000DE580000}"/>
    <cellStyle name="Normal 16 3_Exh G" xfId="3489" xr:uid="{00000000-0005-0000-0000-0000DF580000}"/>
    <cellStyle name="Normal 16 4" xfId="1689" xr:uid="{00000000-0005-0000-0000-0000E0580000}"/>
    <cellStyle name="Normal 16 4 2" xfId="5219" xr:uid="{00000000-0005-0000-0000-0000E1580000}"/>
    <cellStyle name="Normal 16 4 2 2" xfId="8810" xr:uid="{00000000-0005-0000-0000-0000E2580000}"/>
    <cellStyle name="Normal 16 4 2 2 2" xfId="16781" xr:uid="{00000000-0005-0000-0000-0000E3580000}"/>
    <cellStyle name="Normal 16 4 2 2 3" xfId="24727" xr:uid="{00000000-0005-0000-0000-0000E4580000}"/>
    <cellStyle name="Normal 16 4 2 3" xfId="13243" xr:uid="{00000000-0005-0000-0000-0000E5580000}"/>
    <cellStyle name="Normal 16 4 2 4" xfId="21198" xr:uid="{00000000-0005-0000-0000-0000E6580000}"/>
    <cellStyle name="Normal 16 4 3" xfId="7051" xr:uid="{00000000-0005-0000-0000-0000E7580000}"/>
    <cellStyle name="Normal 16 4 3 2" xfId="15023" xr:uid="{00000000-0005-0000-0000-0000E8580000}"/>
    <cellStyle name="Normal 16 4 3 3" xfId="22970" xr:uid="{00000000-0005-0000-0000-0000E9580000}"/>
    <cellStyle name="Normal 16 4 4" xfId="11487" xr:uid="{00000000-0005-0000-0000-0000EA580000}"/>
    <cellStyle name="Normal 16 4 5" xfId="19442" xr:uid="{00000000-0005-0000-0000-0000EB580000}"/>
    <cellStyle name="Normal 16 4_Exh G" xfId="3491" xr:uid="{00000000-0005-0000-0000-0000EC580000}"/>
    <cellStyle name="Normal 16 5" xfId="4340" xr:uid="{00000000-0005-0000-0000-0000ED580000}"/>
    <cellStyle name="Normal 16 5 2" xfId="7932" xr:uid="{00000000-0005-0000-0000-0000EE580000}"/>
    <cellStyle name="Normal 16 5 2 2" xfId="15903" xr:uid="{00000000-0005-0000-0000-0000EF580000}"/>
    <cellStyle name="Normal 16 5 2 3" xfId="23849" xr:uid="{00000000-0005-0000-0000-0000F0580000}"/>
    <cellStyle name="Normal 16 5 3" xfId="12365" xr:uid="{00000000-0005-0000-0000-0000F1580000}"/>
    <cellStyle name="Normal 16 5 4" xfId="20320" xr:uid="{00000000-0005-0000-0000-0000F2580000}"/>
    <cellStyle name="Normal 16 6" xfId="6160" xr:uid="{00000000-0005-0000-0000-0000F3580000}"/>
    <cellStyle name="Normal 16 6 2" xfId="14144" xr:uid="{00000000-0005-0000-0000-0000F4580000}"/>
    <cellStyle name="Normal 16 6 3" xfId="22092" xr:uid="{00000000-0005-0000-0000-0000F5580000}"/>
    <cellStyle name="Normal 16 7" xfId="9713" xr:uid="{00000000-0005-0000-0000-0000F6580000}"/>
    <cellStyle name="Normal 16 7 2" xfId="17671" xr:uid="{00000000-0005-0000-0000-0000F7580000}"/>
    <cellStyle name="Normal 16 7 3" xfId="25615" xr:uid="{00000000-0005-0000-0000-0000F8580000}"/>
    <cellStyle name="Normal 16 8" xfId="10609" xr:uid="{00000000-0005-0000-0000-0000F9580000}"/>
    <cellStyle name="Normal 16 9" xfId="18564" xr:uid="{00000000-0005-0000-0000-0000FA580000}"/>
    <cellStyle name="Normal 16_Exh G" xfId="3484" xr:uid="{00000000-0005-0000-0000-0000FB580000}"/>
    <cellStyle name="Normal 17" xfId="665" xr:uid="{00000000-0005-0000-0000-0000FC580000}"/>
    <cellStyle name="Normal 17 2" xfId="1693" xr:uid="{00000000-0005-0000-0000-0000FD580000}"/>
    <cellStyle name="Normal 17 2 2" xfId="5223" xr:uid="{00000000-0005-0000-0000-0000FE580000}"/>
    <cellStyle name="Normal 17 2 2 2" xfId="8814" xr:uid="{00000000-0005-0000-0000-0000FF580000}"/>
    <cellStyle name="Normal 17 2 2 2 2" xfId="16785" xr:uid="{00000000-0005-0000-0000-000000590000}"/>
    <cellStyle name="Normal 17 2 2 2 3" xfId="24731" xr:uid="{00000000-0005-0000-0000-000001590000}"/>
    <cellStyle name="Normal 17 2 2 3" xfId="13247" xr:uid="{00000000-0005-0000-0000-000002590000}"/>
    <cellStyle name="Normal 17 2 2 4" xfId="21202" xr:uid="{00000000-0005-0000-0000-000003590000}"/>
    <cellStyle name="Normal 17 2 3" xfId="7055" xr:uid="{00000000-0005-0000-0000-000004590000}"/>
    <cellStyle name="Normal 17 2 3 2" xfId="15027" xr:uid="{00000000-0005-0000-0000-000005590000}"/>
    <cellStyle name="Normal 17 2 3 3" xfId="22974" xr:uid="{00000000-0005-0000-0000-000006590000}"/>
    <cellStyle name="Normal 17 2 4" xfId="11491" xr:uid="{00000000-0005-0000-0000-000007590000}"/>
    <cellStyle name="Normal 17 2 5" xfId="19446" xr:uid="{00000000-0005-0000-0000-000008590000}"/>
    <cellStyle name="Normal 17 2_Exh G" xfId="3493" xr:uid="{00000000-0005-0000-0000-000009590000}"/>
    <cellStyle name="Normal 17 3" xfId="4344" xr:uid="{00000000-0005-0000-0000-00000A590000}"/>
    <cellStyle name="Normal 17 3 2" xfId="7936" xr:uid="{00000000-0005-0000-0000-00000B590000}"/>
    <cellStyle name="Normal 17 3 2 2" xfId="15907" xr:uid="{00000000-0005-0000-0000-00000C590000}"/>
    <cellStyle name="Normal 17 3 2 3" xfId="23853" xr:uid="{00000000-0005-0000-0000-00000D590000}"/>
    <cellStyle name="Normal 17 3 3" xfId="12369" xr:uid="{00000000-0005-0000-0000-00000E590000}"/>
    <cellStyle name="Normal 17 3 4" xfId="20324" xr:uid="{00000000-0005-0000-0000-00000F590000}"/>
    <cellStyle name="Normal 17 4" xfId="6164" xr:uid="{00000000-0005-0000-0000-000010590000}"/>
    <cellStyle name="Normal 17 4 2" xfId="14148" xr:uid="{00000000-0005-0000-0000-000011590000}"/>
    <cellStyle name="Normal 17 4 3" xfId="22096" xr:uid="{00000000-0005-0000-0000-000012590000}"/>
    <cellStyle name="Normal 17 5" xfId="9717" xr:uid="{00000000-0005-0000-0000-000013590000}"/>
    <cellStyle name="Normal 17 5 2" xfId="17675" xr:uid="{00000000-0005-0000-0000-000014590000}"/>
    <cellStyle name="Normal 17 5 3" xfId="25619" xr:uid="{00000000-0005-0000-0000-000015590000}"/>
    <cellStyle name="Normal 17 6" xfId="10613" xr:uid="{00000000-0005-0000-0000-000016590000}"/>
    <cellStyle name="Normal 17 7" xfId="18568" xr:uid="{00000000-0005-0000-0000-000017590000}"/>
    <cellStyle name="Normal 17_Exh G" xfId="3492" xr:uid="{00000000-0005-0000-0000-000018590000}"/>
    <cellStyle name="Normal 18" xfId="739" xr:uid="{00000000-0005-0000-0000-000019590000}"/>
    <cellStyle name="Normal 19" xfId="827" xr:uid="{00000000-0005-0000-0000-00001A590000}"/>
    <cellStyle name="Normal 19 2" xfId="1769" xr:uid="{00000000-0005-0000-0000-00001B590000}"/>
    <cellStyle name="Normal 19 2 2" xfId="5298" xr:uid="{00000000-0005-0000-0000-00001C590000}"/>
    <cellStyle name="Normal 19 2 2 2" xfId="8889" xr:uid="{00000000-0005-0000-0000-00001D590000}"/>
    <cellStyle name="Normal 19 2 2 2 2" xfId="16860" xr:uid="{00000000-0005-0000-0000-00001E590000}"/>
    <cellStyle name="Normal 19 2 2 2 3" xfId="24806" xr:uid="{00000000-0005-0000-0000-00001F590000}"/>
    <cellStyle name="Normal 19 2 2 3" xfId="13322" xr:uid="{00000000-0005-0000-0000-000020590000}"/>
    <cellStyle name="Normal 19 2 2 4" xfId="21277" xr:uid="{00000000-0005-0000-0000-000021590000}"/>
    <cellStyle name="Normal 19 2 3" xfId="7130" xr:uid="{00000000-0005-0000-0000-000022590000}"/>
    <cellStyle name="Normal 19 2 3 2" xfId="15102" xr:uid="{00000000-0005-0000-0000-000023590000}"/>
    <cellStyle name="Normal 19 2 3 3" xfId="23049" xr:uid="{00000000-0005-0000-0000-000024590000}"/>
    <cellStyle name="Normal 19 2 4" xfId="11566" xr:uid="{00000000-0005-0000-0000-000025590000}"/>
    <cellStyle name="Normal 19 2 5" xfId="19521" xr:uid="{00000000-0005-0000-0000-000026590000}"/>
    <cellStyle name="Normal 19 2_Exh G" xfId="3495" xr:uid="{00000000-0005-0000-0000-000027590000}"/>
    <cellStyle name="Normal 19 3" xfId="4419" xr:uid="{00000000-0005-0000-0000-000028590000}"/>
    <cellStyle name="Normal 19 3 2" xfId="8011" xr:uid="{00000000-0005-0000-0000-000029590000}"/>
    <cellStyle name="Normal 19 3 2 2" xfId="15982" xr:uid="{00000000-0005-0000-0000-00002A590000}"/>
    <cellStyle name="Normal 19 3 2 3" xfId="23928" xr:uid="{00000000-0005-0000-0000-00002B590000}"/>
    <cellStyle name="Normal 19 3 3" xfId="12444" xr:uid="{00000000-0005-0000-0000-00002C590000}"/>
    <cellStyle name="Normal 19 3 4" xfId="20399" xr:uid="{00000000-0005-0000-0000-00002D590000}"/>
    <cellStyle name="Normal 19 4" xfId="6249" xr:uid="{00000000-0005-0000-0000-00002E590000}"/>
    <cellStyle name="Normal 19 4 2" xfId="14224" xr:uid="{00000000-0005-0000-0000-00002F590000}"/>
    <cellStyle name="Normal 19 4 3" xfId="22171" xr:uid="{00000000-0005-0000-0000-000030590000}"/>
    <cellStyle name="Normal 19 5" xfId="9792" xr:uid="{00000000-0005-0000-0000-000031590000}"/>
    <cellStyle name="Normal 19 5 2" xfId="17750" xr:uid="{00000000-0005-0000-0000-000032590000}"/>
    <cellStyle name="Normal 19 5 3" xfId="25694" xr:uid="{00000000-0005-0000-0000-000033590000}"/>
    <cellStyle name="Normal 19 6" xfId="10688" xr:uid="{00000000-0005-0000-0000-000034590000}"/>
    <cellStyle name="Normal 19 7" xfId="18643" xr:uid="{00000000-0005-0000-0000-000035590000}"/>
    <cellStyle name="Normal 19_Exh G" xfId="3494" xr:uid="{00000000-0005-0000-0000-000036590000}"/>
    <cellStyle name="Normal 2" xfId="2" xr:uid="{00000000-0005-0000-0000-000037590000}"/>
    <cellStyle name="Normal 2 10" xfId="5462" xr:uid="{00000000-0005-0000-0000-000038590000}"/>
    <cellStyle name="Normal 2 10 2" xfId="9053" xr:uid="{00000000-0005-0000-0000-000039590000}"/>
    <cellStyle name="Normal 2 10 2 2" xfId="17020" xr:uid="{00000000-0005-0000-0000-00003A590000}"/>
    <cellStyle name="Normal 2 10 2 3" xfId="24966" xr:uid="{00000000-0005-0000-0000-00003B590000}"/>
    <cellStyle name="Normal 2 10 3" xfId="13483" xr:uid="{00000000-0005-0000-0000-00003C590000}"/>
    <cellStyle name="Normal 2 10 4" xfId="21437" xr:uid="{00000000-0005-0000-0000-00003D590000}"/>
    <cellStyle name="Normal 2 11" xfId="5465" xr:uid="{00000000-0005-0000-0000-00003E590000}"/>
    <cellStyle name="Normal 2 11 2" xfId="9056" xr:uid="{00000000-0005-0000-0000-00003F590000}"/>
    <cellStyle name="Normal 2 11 2 2" xfId="17021" xr:uid="{00000000-0005-0000-0000-000040590000}"/>
    <cellStyle name="Normal 2 11 2 3" xfId="24967" xr:uid="{00000000-0005-0000-0000-000041590000}"/>
    <cellStyle name="Normal 2 11 3" xfId="13484" xr:uid="{00000000-0005-0000-0000-000042590000}"/>
    <cellStyle name="Normal 2 11 4" xfId="21438" xr:uid="{00000000-0005-0000-0000-000043590000}"/>
    <cellStyle name="Normal 2 12" xfId="5483" xr:uid="{00000000-0005-0000-0000-000044590000}"/>
    <cellStyle name="Normal 2 12 2" xfId="9063" xr:uid="{00000000-0005-0000-0000-000045590000}"/>
    <cellStyle name="Normal 2 12 2 2" xfId="17024" xr:uid="{00000000-0005-0000-0000-000046590000}"/>
    <cellStyle name="Normal 2 12 2 3" xfId="24970" xr:uid="{00000000-0005-0000-0000-000047590000}"/>
    <cellStyle name="Normal 2 12 3" xfId="13487" xr:uid="{00000000-0005-0000-0000-000048590000}"/>
    <cellStyle name="Normal 2 12 4" xfId="21441" xr:uid="{00000000-0005-0000-0000-000049590000}"/>
    <cellStyle name="Normal 2 13" xfId="5489" xr:uid="{00000000-0005-0000-0000-00004A590000}"/>
    <cellStyle name="Normal 2 13 2" xfId="9068" xr:uid="{00000000-0005-0000-0000-00004B590000}"/>
    <cellStyle name="Normal 2 13 2 2" xfId="17027" xr:uid="{00000000-0005-0000-0000-00004C590000}"/>
    <cellStyle name="Normal 2 13 2 3" xfId="24973" xr:uid="{00000000-0005-0000-0000-00004D590000}"/>
    <cellStyle name="Normal 2 13 3" xfId="13490" xr:uid="{00000000-0005-0000-0000-00004E590000}"/>
    <cellStyle name="Normal 2 13 4" xfId="21444" xr:uid="{00000000-0005-0000-0000-00004F590000}"/>
    <cellStyle name="Normal 2 14" xfId="5495" xr:uid="{00000000-0005-0000-0000-000050590000}"/>
    <cellStyle name="Normal 2 14 2" xfId="5515" xr:uid="{00000000-0005-0000-0000-000051590000}"/>
    <cellStyle name="Normal 2 14 3" xfId="13493" xr:uid="{00000000-0005-0000-0000-000052590000}"/>
    <cellStyle name="Normal 2 14 4" xfId="21445" xr:uid="{00000000-0005-0000-0000-000053590000}"/>
    <cellStyle name="Normal 2 15" xfId="5501" xr:uid="{00000000-0005-0000-0000-000054590000}"/>
    <cellStyle name="Normal 2 15 2" xfId="13498" xr:uid="{00000000-0005-0000-0000-000055590000}"/>
    <cellStyle name="Normal 2 15 3" xfId="21448" xr:uid="{00000000-0005-0000-0000-000056590000}"/>
    <cellStyle name="Normal 2 16" xfId="5506" xr:uid="{00000000-0005-0000-0000-000057590000}"/>
    <cellStyle name="Normal 2 16 2" xfId="13502" xr:uid="{00000000-0005-0000-0000-000058590000}"/>
    <cellStyle name="Normal 2 16 3" xfId="21451" xr:uid="{00000000-0005-0000-0000-000059590000}"/>
    <cellStyle name="Normal 2 17" xfId="9071" xr:uid="{00000000-0005-0000-0000-00005A590000}"/>
    <cellStyle name="Normal 2 17 2" xfId="17030" xr:uid="{00000000-0005-0000-0000-00005B590000}"/>
    <cellStyle name="Normal 2 17 3" xfId="24974" xr:uid="{00000000-0005-0000-0000-00005C590000}"/>
    <cellStyle name="Normal 2 18" xfId="9959" xr:uid="{00000000-0005-0000-0000-00005D590000}"/>
    <cellStyle name="Normal 2 18 2" xfId="17916" xr:uid="{00000000-0005-0000-0000-00005E590000}"/>
    <cellStyle name="Normal 2 18 3" xfId="25858" xr:uid="{00000000-0005-0000-0000-00005F590000}"/>
    <cellStyle name="Normal 2 19" xfId="9968" xr:uid="{00000000-0005-0000-0000-000060590000}"/>
    <cellStyle name="Normal 2 2" xfId="18" xr:uid="{00000000-0005-0000-0000-000061590000}"/>
    <cellStyle name="Normal 2 2 10" xfId="5503" xr:uid="{00000000-0005-0000-0000-000062590000}"/>
    <cellStyle name="Normal 2 2 10 2" xfId="13500" xr:uid="{00000000-0005-0000-0000-000063590000}"/>
    <cellStyle name="Normal 2 2 10 3" xfId="21450" xr:uid="{00000000-0005-0000-0000-000064590000}"/>
    <cellStyle name="Normal 2 2 11" xfId="5510" xr:uid="{00000000-0005-0000-0000-000065590000}"/>
    <cellStyle name="Normal 2 2 11 2" xfId="13503" xr:uid="{00000000-0005-0000-0000-000066590000}"/>
    <cellStyle name="Normal 2 2 11 3" xfId="21452" xr:uid="{00000000-0005-0000-0000-000067590000}"/>
    <cellStyle name="Normal 2 2 12" xfId="9072" xr:uid="{00000000-0005-0000-0000-000068590000}"/>
    <cellStyle name="Normal 2 2 12 2" xfId="17031" xr:uid="{00000000-0005-0000-0000-000069590000}"/>
    <cellStyle name="Normal 2 2 12 3" xfId="24975" xr:uid="{00000000-0005-0000-0000-00006A590000}"/>
    <cellStyle name="Normal 2 2 13" xfId="9073" xr:uid="{00000000-0005-0000-0000-00006B590000}"/>
    <cellStyle name="Normal 2 2 14" xfId="9960" xr:uid="{00000000-0005-0000-0000-00006C590000}"/>
    <cellStyle name="Normal 2 2 14 2" xfId="17917" xr:uid="{00000000-0005-0000-0000-00006D590000}"/>
    <cellStyle name="Normal 2 2 14 3" xfId="25859" xr:uid="{00000000-0005-0000-0000-00006E590000}"/>
    <cellStyle name="Normal 2 2 15" xfId="9969" xr:uid="{00000000-0005-0000-0000-00006F590000}"/>
    <cellStyle name="Normal 2 2 16" xfId="25872" xr:uid="{00000000-0005-0000-0000-000070590000}"/>
    <cellStyle name="Normal 2 2 2" xfId="666" xr:uid="{00000000-0005-0000-0000-000071590000}"/>
    <cellStyle name="Normal 2 2 2 2" xfId="1694" xr:uid="{00000000-0005-0000-0000-000072590000}"/>
    <cellStyle name="Normal 2 2 2 2 2" xfId="5224" xr:uid="{00000000-0005-0000-0000-000073590000}"/>
    <cellStyle name="Normal 2 2 2 2 2 2" xfId="8815" xr:uid="{00000000-0005-0000-0000-000074590000}"/>
    <cellStyle name="Normal 2 2 2 2 2 2 2" xfId="16786" xr:uid="{00000000-0005-0000-0000-000075590000}"/>
    <cellStyle name="Normal 2 2 2 2 2 2 3" xfId="24732" xr:uid="{00000000-0005-0000-0000-000076590000}"/>
    <cellStyle name="Normal 2 2 2 2 2 3" xfId="13248" xr:uid="{00000000-0005-0000-0000-000077590000}"/>
    <cellStyle name="Normal 2 2 2 2 2 4" xfId="21203" xr:uid="{00000000-0005-0000-0000-000078590000}"/>
    <cellStyle name="Normal 2 2 2 2 3" xfId="7056" xr:uid="{00000000-0005-0000-0000-000079590000}"/>
    <cellStyle name="Normal 2 2 2 2 3 2" xfId="15028" xr:uid="{00000000-0005-0000-0000-00007A590000}"/>
    <cellStyle name="Normal 2 2 2 2 3 3" xfId="22975" xr:uid="{00000000-0005-0000-0000-00007B590000}"/>
    <cellStyle name="Normal 2 2 2 2 4" xfId="11492" xr:uid="{00000000-0005-0000-0000-00007C590000}"/>
    <cellStyle name="Normal 2 2 2 2 5" xfId="19447" xr:uid="{00000000-0005-0000-0000-00007D590000}"/>
    <cellStyle name="Normal 2 2 2 2_Exh G" xfId="3498" xr:uid="{00000000-0005-0000-0000-00007E590000}"/>
    <cellStyle name="Normal 2 2 2 3" xfId="4345" xr:uid="{00000000-0005-0000-0000-00007F590000}"/>
    <cellStyle name="Normal 2 2 2 3 2" xfId="7937" xr:uid="{00000000-0005-0000-0000-000080590000}"/>
    <cellStyle name="Normal 2 2 2 3 2 2" xfId="15908" xr:uid="{00000000-0005-0000-0000-000081590000}"/>
    <cellStyle name="Normal 2 2 2 3 2 3" xfId="23854" xr:uid="{00000000-0005-0000-0000-000082590000}"/>
    <cellStyle name="Normal 2 2 2 3 3" xfId="12370" xr:uid="{00000000-0005-0000-0000-000083590000}"/>
    <cellStyle name="Normal 2 2 2 3 4" xfId="20325" xr:uid="{00000000-0005-0000-0000-000084590000}"/>
    <cellStyle name="Normal 2 2 2 4" xfId="6165" xr:uid="{00000000-0005-0000-0000-000085590000}"/>
    <cellStyle name="Normal 2 2 2 4 2" xfId="14149" xr:uid="{00000000-0005-0000-0000-000086590000}"/>
    <cellStyle name="Normal 2 2 2 4 3" xfId="22097" xr:uid="{00000000-0005-0000-0000-000087590000}"/>
    <cellStyle name="Normal 2 2 2 5" xfId="9718" xr:uid="{00000000-0005-0000-0000-000088590000}"/>
    <cellStyle name="Normal 2 2 2 5 2" xfId="17676" xr:uid="{00000000-0005-0000-0000-000089590000}"/>
    <cellStyle name="Normal 2 2 2 5 3" xfId="25620" xr:uid="{00000000-0005-0000-0000-00008A590000}"/>
    <cellStyle name="Normal 2 2 2 6" xfId="10614" xr:uid="{00000000-0005-0000-0000-00008B590000}"/>
    <cellStyle name="Normal 2 2 2 7" xfId="18569" xr:uid="{00000000-0005-0000-0000-00008C590000}"/>
    <cellStyle name="Normal 2 2 2_Exh G" xfId="3497" xr:uid="{00000000-0005-0000-0000-00008D590000}"/>
    <cellStyle name="Normal 2 2 3" xfId="1049" xr:uid="{00000000-0005-0000-0000-00008E590000}"/>
    <cellStyle name="Normal 2 2 4" xfId="3700" xr:uid="{00000000-0005-0000-0000-00008F590000}"/>
    <cellStyle name="Normal 2 2 5" xfId="5471" xr:uid="{00000000-0005-0000-0000-000090590000}"/>
    <cellStyle name="Normal 2 2 5 2" xfId="9057" xr:uid="{00000000-0005-0000-0000-000091590000}"/>
    <cellStyle name="Normal 2 2 5 2 2" xfId="17022" xr:uid="{00000000-0005-0000-0000-000092590000}"/>
    <cellStyle name="Normal 2 2 5 2 3" xfId="24968" xr:uid="{00000000-0005-0000-0000-000093590000}"/>
    <cellStyle name="Normal 2 2 5 3" xfId="13485" xr:uid="{00000000-0005-0000-0000-000094590000}"/>
    <cellStyle name="Normal 2 2 5 4" xfId="21439" xr:uid="{00000000-0005-0000-0000-000095590000}"/>
    <cellStyle name="Normal 2 2 6" xfId="5478" xr:uid="{00000000-0005-0000-0000-000096590000}"/>
    <cellStyle name="Normal 2 2 6 2" xfId="9059" xr:uid="{00000000-0005-0000-0000-000097590000}"/>
    <cellStyle name="Normal 2 2 6 2 2" xfId="17023" xr:uid="{00000000-0005-0000-0000-000098590000}"/>
    <cellStyle name="Normal 2 2 6 2 3" xfId="24969" xr:uid="{00000000-0005-0000-0000-000099590000}"/>
    <cellStyle name="Normal 2 2 6 3" xfId="13486" xr:uid="{00000000-0005-0000-0000-00009A590000}"/>
    <cellStyle name="Normal 2 2 6 4" xfId="21440" xr:uid="{00000000-0005-0000-0000-00009B590000}"/>
    <cellStyle name="Normal 2 2 7" xfId="5496" xr:uid="{00000000-0005-0000-0000-00009C590000}"/>
    <cellStyle name="Normal 2 2 7 2" xfId="5520" xr:uid="{00000000-0005-0000-0000-00009D590000}"/>
    <cellStyle name="Normal 2 2 7 3" xfId="13494" xr:uid="{00000000-0005-0000-0000-00009E590000}"/>
    <cellStyle name="Normal 2 2 7 4" xfId="21446" xr:uid="{00000000-0005-0000-0000-00009F590000}"/>
    <cellStyle name="Normal 2 2 8" xfId="5498" xr:uid="{00000000-0005-0000-0000-0000A0590000}"/>
    <cellStyle name="Normal 2 2 8 2" xfId="13495" xr:uid="{00000000-0005-0000-0000-0000A1590000}"/>
    <cellStyle name="Normal 2 2 8 3" xfId="21447" xr:uid="{00000000-0005-0000-0000-0000A2590000}"/>
    <cellStyle name="Normal 2 2 9" xfId="5502" xr:uid="{00000000-0005-0000-0000-0000A3590000}"/>
    <cellStyle name="Normal 2 2 9 2" xfId="13499" xr:uid="{00000000-0005-0000-0000-0000A4590000}"/>
    <cellStyle name="Normal 2 2 9 3" xfId="21449" xr:uid="{00000000-0005-0000-0000-0000A5590000}"/>
    <cellStyle name="Normal 2 2_Exh G" xfId="3496" xr:uid="{00000000-0005-0000-0000-0000A6590000}"/>
    <cellStyle name="Normal 2 3" xfId="667" xr:uid="{00000000-0005-0000-0000-0000A7590000}"/>
    <cellStyle name="Normal 2 3 2" xfId="836" xr:uid="{00000000-0005-0000-0000-0000A8590000}"/>
    <cellStyle name="Normal 2 3 2 2" xfId="1776" xr:uid="{00000000-0005-0000-0000-0000A9590000}"/>
    <cellStyle name="Normal 2 3 2_Exh G" xfId="3500" xr:uid="{00000000-0005-0000-0000-0000AA590000}"/>
    <cellStyle name="Normal 2 3 3" xfId="1695" xr:uid="{00000000-0005-0000-0000-0000AB590000}"/>
    <cellStyle name="Normal 2 3 3 2" xfId="5225" xr:uid="{00000000-0005-0000-0000-0000AC590000}"/>
    <cellStyle name="Normal 2 3 3 2 2" xfId="8816" xr:uid="{00000000-0005-0000-0000-0000AD590000}"/>
    <cellStyle name="Normal 2 3 3 2 2 2" xfId="16787" xr:uid="{00000000-0005-0000-0000-0000AE590000}"/>
    <cellStyle name="Normal 2 3 3 2 2 3" xfId="24733" xr:uid="{00000000-0005-0000-0000-0000AF590000}"/>
    <cellStyle name="Normal 2 3 3 2 3" xfId="13249" xr:uid="{00000000-0005-0000-0000-0000B0590000}"/>
    <cellStyle name="Normal 2 3 3 2 4" xfId="21204" xr:uid="{00000000-0005-0000-0000-0000B1590000}"/>
    <cellStyle name="Normal 2 3 3 3" xfId="7057" xr:uid="{00000000-0005-0000-0000-0000B2590000}"/>
    <cellStyle name="Normal 2 3 3 3 2" xfId="15029" xr:uid="{00000000-0005-0000-0000-0000B3590000}"/>
    <cellStyle name="Normal 2 3 3 3 3" xfId="22976" xr:uid="{00000000-0005-0000-0000-0000B4590000}"/>
    <cellStyle name="Normal 2 3 3 4" xfId="11493" xr:uid="{00000000-0005-0000-0000-0000B5590000}"/>
    <cellStyle name="Normal 2 3 3 5" xfId="19448" xr:uid="{00000000-0005-0000-0000-0000B6590000}"/>
    <cellStyle name="Normal 2 3 3_Exh G" xfId="3501" xr:uid="{00000000-0005-0000-0000-0000B7590000}"/>
    <cellStyle name="Normal 2 3 4" xfId="4346" xr:uid="{00000000-0005-0000-0000-0000B8590000}"/>
    <cellStyle name="Normal 2 3 4 2" xfId="7938" xr:uid="{00000000-0005-0000-0000-0000B9590000}"/>
    <cellStyle name="Normal 2 3 4 2 2" xfId="15909" xr:uid="{00000000-0005-0000-0000-0000BA590000}"/>
    <cellStyle name="Normal 2 3 4 2 3" xfId="23855" xr:uid="{00000000-0005-0000-0000-0000BB590000}"/>
    <cellStyle name="Normal 2 3 4 3" xfId="12371" xr:uid="{00000000-0005-0000-0000-0000BC590000}"/>
    <cellStyle name="Normal 2 3 4 4" xfId="20326" xr:uid="{00000000-0005-0000-0000-0000BD590000}"/>
    <cellStyle name="Normal 2 3 5" xfId="6166" xr:uid="{00000000-0005-0000-0000-0000BE590000}"/>
    <cellStyle name="Normal 2 3 5 2" xfId="14150" xr:uid="{00000000-0005-0000-0000-0000BF590000}"/>
    <cellStyle name="Normal 2 3 5 3" xfId="22098" xr:uid="{00000000-0005-0000-0000-0000C0590000}"/>
    <cellStyle name="Normal 2 3 6" xfId="7291" xr:uid="{00000000-0005-0000-0000-0000C1590000}"/>
    <cellStyle name="Normal 2 3 6 2" xfId="15262" xr:uid="{00000000-0005-0000-0000-0000C2590000}"/>
    <cellStyle name="Normal 2 3 6 3" xfId="23209" xr:uid="{00000000-0005-0000-0000-0000C3590000}"/>
    <cellStyle name="Normal 2 3 7" xfId="9719" xr:uid="{00000000-0005-0000-0000-0000C4590000}"/>
    <cellStyle name="Normal 2 3 7 2" xfId="17677" xr:uid="{00000000-0005-0000-0000-0000C5590000}"/>
    <cellStyle name="Normal 2 3 7 3" xfId="25621" xr:uid="{00000000-0005-0000-0000-0000C6590000}"/>
    <cellStyle name="Normal 2 3 8" xfId="10615" xr:uid="{00000000-0005-0000-0000-0000C7590000}"/>
    <cellStyle name="Normal 2 3 9" xfId="18570" xr:uid="{00000000-0005-0000-0000-0000C8590000}"/>
    <cellStyle name="Normal 2 3_Exh G" xfId="3499" xr:uid="{00000000-0005-0000-0000-0000C9590000}"/>
    <cellStyle name="Normal 2 4" xfId="829" xr:uid="{00000000-0005-0000-0000-0000CA590000}"/>
    <cellStyle name="Normal 2 4 2" xfId="1770" xr:uid="{00000000-0005-0000-0000-0000CB590000}"/>
    <cellStyle name="Normal 2 4_Exh G" xfId="3502" xr:uid="{00000000-0005-0000-0000-0000CC590000}"/>
    <cellStyle name="Normal 2 5" xfId="837" xr:uid="{00000000-0005-0000-0000-0000CD590000}"/>
    <cellStyle name="Normal 2 5 2" xfId="1777" xr:uid="{00000000-0005-0000-0000-0000CE590000}"/>
    <cellStyle name="Normal 2 5_Exh G" xfId="3503" xr:uid="{00000000-0005-0000-0000-0000CF590000}"/>
    <cellStyle name="Normal 2 6" xfId="838" xr:uid="{00000000-0005-0000-0000-0000D0590000}"/>
    <cellStyle name="Normal 2 6 2" xfId="1778" xr:uid="{00000000-0005-0000-0000-0000D1590000}"/>
    <cellStyle name="Normal 2 6_Exh G" xfId="3504" xr:uid="{00000000-0005-0000-0000-0000D2590000}"/>
    <cellStyle name="Normal 2 7" xfId="839" xr:uid="{00000000-0005-0000-0000-0000D3590000}"/>
    <cellStyle name="Normal 2 7 2" xfId="858" xr:uid="{00000000-0005-0000-0000-0000D4590000}"/>
    <cellStyle name="Normal 2 7 2 2" xfId="1797" xr:uid="{00000000-0005-0000-0000-0000D5590000}"/>
    <cellStyle name="Normal 2 7 2_Exh G" xfId="3506" xr:uid="{00000000-0005-0000-0000-0000D6590000}"/>
    <cellStyle name="Normal 2 7 3" xfId="1779" xr:uid="{00000000-0005-0000-0000-0000D7590000}"/>
    <cellStyle name="Normal 2 7_Exh G" xfId="3505" xr:uid="{00000000-0005-0000-0000-0000D8590000}"/>
    <cellStyle name="Normal 2 8" xfId="859" xr:uid="{00000000-0005-0000-0000-0000D9590000}"/>
    <cellStyle name="Normal 2 8 2" xfId="1798" xr:uid="{00000000-0005-0000-0000-0000DA590000}"/>
    <cellStyle name="Normal 2 8_Exh G" xfId="3507" xr:uid="{00000000-0005-0000-0000-0000DB590000}"/>
    <cellStyle name="Normal 2 9" xfId="1017" xr:uid="{00000000-0005-0000-0000-0000DC590000}"/>
    <cellStyle name="Normal 20" xfId="828" xr:uid="{00000000-0005-0000-0000-0000DD590000}"/>
    <cellStyle name="Normal 21" xfId="830" xr:uid="{00000000-0005-0000-0000-0000DE590000}"/>
    <cellStyle name="Normal 22" xfId="831" xr:uid="{00000000-0005-0000-0000-0000DF590000}"/>
    <cellStyle name="Normal 22 10" xfId="18644" xr:uid="{00000000-0005-0000-0000-0000E0590000}"/>
    <cellStyle name="Normal 22 2" xfId="1771" xr:uid="{00000000-0005-0000-0000-0000E1590000}"/>
    <cellStyle name="Normal 22 2 2" xfId="5299" xr:uid="{00000000-0005-0000-0000-0000E2590000}"/>
    <cellStyle name="Normal 22 2 2 2" xfId="8890" xr:uid="{00000000-0005-0000-0000-0000E3590000}"/>
    <cellStyle name="Normal 22 2 2 2 2" xfId="16861" xr:uid="{00000000-0005-0000-0000-0000E4590000}"/>
    <cellStyle name="Normal 22 2 2 2 3" xfId="24807" xr:uid="{00000000-0005-0000-0000-0000E5590000}"/>
    <cellStyle name="Normal 22 2 2 3" xfId="13323" xr:uid="{00000000-0005-0000-0000-0000E6590000}"/>
    <cellStyle name="Normal 22 2 2 4" xfId="21278" xr:uid="{00000000-0005-0000-0000-0000E7590000}"/>
    <cellStyle name="Normal 22 2 3" xfId="7131" xr:uid="{00000000-0005-0000-0000-0000E8590000}"/>
    <cellStyle name="Normal 22 2 3 2" xfId="15103" xr:uid="{00000000-0005-0000-0000-0000E9590000}"/>
    <cellStyle name="Normal 22 2 3 3" xfId="23050" xr:uid="{00000000-0005-0000-0000-0000EA590000}"/>
    <cellStyle name="Normal 22 2 4" xfId="11567" xr:uid="{00000000-0005-0000-0000-0000EB590000}"/>
    <cellStyle name="Normal 22 2 5" xfId="19522" xr:uid="{00000000-0005-0000-0000-0000EC590000}"/>
    <cellStyle name="Normal 22 2_Exh G" xfId="3509" xr:uid="{00000000-0005-0000-0000-0000ED590000}"/>
    <cellStyle name="Normal 22 3" xfId="4420" xr:uid="{00000000-0005-0000-0000-0000EE590000}"/>
    <cellStyle name="Normal 22 3 2" xfId="8012" xr:uid="{00000000-0005-0000-0000-0000EF590000}"/>
    <cellStyle name="Normal 22 3 2 2" xfId="15983" xr:uid="{00000000-0005-0000-0000-0000F0590000}"/>
    <cellStyle name="Normal 22 3 2 3" xfId="23929" xr:uid="{00000000-0005-0000-0000-0000F1590000}"/>
    <cellStyle name="Normal 22 3 3" xfId="12445" xr:uid="{00000000-0005-0000-0000-0000F2590000}"/>
    <cellStyle name="Normal 22 3 4" xfId="20400" xr:uid="{00000000-0005-0000-0000-0000F3590000}"/>
    <cellStyle name="Normal 22 4" xfId="5487" xr:uid="{00000000-0005-0000-0000-0000F4590000}"/>
    <cellStyle name="Normal 22 4 2" xfId="9067" xr:uid="{00000000-0005-0000-0000-0000F5590000}"/>
    <cellStyle name="Normal 22 4 2 2" xfId="17026" xr:uid="{00000000-0005-0000-0000-0000F6590000}"/>
    <cellStyle name="Normal 22 4 2 3" xfId="24972" xr:uid="{00000000-0005-0000-0000-0000F7590000}"/>
    <cellStyle name="Normal 22 4 3" xfId="13489" xr:uid="{00000000-0005-0000-0000-0000F8590000}"/>
    <cellStyle name="Normal 22 4 4" xfId="21443" xr:uid="{00000000-0005-0000-0000-0000F9590000}"/>
    <cellStyle name="Normal 22 5" xfId="6250" xr:uid="{00000000-0005-0000-0000-0000FA590000}"/>
    <cellStyle name="Normal 22 5 2" xfId="14225" xr:uid="{00000000-0005-0000-0000-0000FB590000}"/>
    <cellStyle name="Normal 22 5 3" xfId="22172" xr:uid="{00000000-0005-0000-0000-0000FC590000}"/>
    <cellStyle name="Normal 22 6" xfId="9793" xr:uid="{00000000-0005-0000-0000-0000FD590000}"/>
    <cellStyle name="Normal 22 6 2" xfId="17751" xr:uid="{00000000-0005-0000-0000-0000FE590000}"/>
    <cellStyle name="Normal 22 6 3" xfId="25695" xr:uid="{00000000-0005-0000-0000-0000FF590000}"/>
    <cellStyle name="Normal 22 7" xfId="9953" xr:uid="{00000000-0005-0000-0000-0000005A0000}"/>
    <cellStyle name="Normal 22 7 2" xfId="17911" xr:uid="{00000000-0005-0000-0000-0000015A0000}"/>
    <cellStyle name="Normal 22 7 3" xfId="25855" xr:uid="{00000000-0005-0000-0000-0000025A0000}"/>
    <cellStyle name="Normal 22 8" xfId="9955" xr:uid="{00000000-0005-0000-0000-0000035A0000}"/>
    <cellStyle name="Normal 22 8 2" xfId="17913" xr:uid="{00000000-0005-0000-0000-0000045A0000}"/>
    <cellStyle name="Normal 22 8 3" xfId="25857" xr:uid="{00000000-0005-0000-0000-0000055A0000}"/>
    <cellStyle name="Normal 22 9" xfId="10689" xr:uid="{00000000-0005-0000-0000-0000065A0000}"/>
    <cellStyle name="Normal 22_Exh G" xfId="3508" xr:uid="{00000000-0005-0000-0000-0000075A0000}"/>
    <cellStyle name="Normal 23" xfId="840" xr:uid="{00000000-0005-0000-0000-0000085A0000}"/>
    <cellStyle name="Normal 24" xfId="841" xr:uid="{00000000-0005-0000-0000-0000095A0000}"/>
    <cellStyle name="Normal 24 2" xfId="1780" xr:uid="{00000000-0005-0000-0000-00000A5A0000}"/>
    <cellStyle name="Normal 24 2 2" xfId="5301" xr:uid="{00000000-0005-0000-0000-00000B5A0000}"/>
    <cellStyle name="Normal 24 2 2 2" xfId="8892" xr:uid="{00000000-0005-0000-0000-00000C5A0000}"/>
    <cellStyle name="Normal 24 2 2 2 2" xfId="16863" xr:uid="{00000000-0005-0000-0000-00000D5A0000}"/>
    <cellStyle name="Normal 24 2 2 2 3" xfId="24809" xr:uid="{00000000-0005-0000-0000-00000E5A0000}"/>
    <cellStyle name="Normal 24 2 2 3" xfId="13325" xr:uid="{00000000-0005-0000-0000-00000F5A0000}"/>
    <cellStyle name="Normal 24 2 2 4" xfId="21280" xr:uid="{00000000-0005-0000-0000-0000105A0000}"/>
    <cellStyle name="Normal 24 2 3" xfId="7133" xr:uid="{00000000-0005-0000-0000-0000115A0000}"/>
    <cellStyle name="Normal 24 2 3 2" xfId="15105" xr:uid="{00000000-0005-0000-0000-0000125A0000}"/>
    <cellStyle name="Normal 24 2 3 3" xfId="23052" xr:uid="{00000000-0005-0000-0000-0000135A0000}"/>
    <cellStyle name="Normal 24 2 4" xfId="11569" xr:uid="{00000000-0005-0000-0000-0000145A0000}"/>
    <cellStyle name="Normal 24 2 5" xfId="19524" xr:uid="{00000000-0005-0000-0000-0000155A0000}"/>
    <cellStyle name="Normal 24 2_Exh G" xfId="3511" xr:uid="{00000000-0005-0000-0000-0000165A0000}"/>
    <cellStyle name="Normal 24 3" xfId="4422" xr:uid="{00000000-0005-0000-0000-0000175A0000}"/>
    <cellStyle name="Normal 24 3 2" xfId="8014" xr:uid="{00000000-0005-0000-0000-0000185A0000}"/>
    <cellStyle name="Normal 24 3 2 2" xfId="15985" xr:uid="{00000000-0005-0000-0000-0000195A0000}"/>
    <cellStyle name="Normal 24 3 2 3" xfId="23931" xr:uid="{00000000-0005-0000-0000-00001A5A0000}"/>
    <cellStyle name="Normal 24 3 3" xfId="12447" xr:uid="{00000000-0005-0000-0000-00001B5A0000}"/>
    <cellStyle name="Normal 24 3 4" xfId="20402" xr:uid="{00000000-0005-0000-0000-00001C5A0000}"/>
    <cellStyle name="Normal 24 4" xfId="6252" xr:uid="{00000000-0005-0000-0000-00001D5A0000}"/>
    <cellStyle name="Normal 24 4 2" xfId="14227" xr:uid="{00000000-0005-0000-0000-00001E5A0000}"/>
    <cellStyle name="Normal 24 4 3" xfId="22174" xr:uid="{00000000-0005-0000-0000-00001F5A0000}"/>
    <cellStyle name="Normal 24 5" xfId="9795" xr:uid="{00000000-0005-0000-0000-0000205A0000}"/>
    <cellStyle name="Normal 24 5 2" xfId="17753" xr:uid="{00000000-0005-0000-0000-0000215A0000}"/>
    <cellStyle name="Normal 24 5 3" xfId="25697" xr:uid="{00000000-0005-0000-0000-0000225A0000}"/>
    <cellStyle name="Normal 24 6" xfId="10691" xr:uid="{00000000-0005-0000-0000-0000235A0000}"/>
    <cellStyle name="Normal 24 7" xfId="18646" xr:uid="{00000000-0005-0000-0000-0000245A0000}"/>
    <cellStyle name="Normal 24_Exh G" xfId="3510" xr:uid="{00000000-0005-0000-0000-0000255A0000}"/>
    <cellStyle name="Normal 25" xfId="860" xr:uid="{00000000-0005-0000-0000-0000265A0000}"/>
    <cellStyle name="Normal 26" xfId="1042" xr:uid="{00000000-0005-0000-0000-0000275A0000}"/>
    <cellStyle name="Normal 26 2" xfId="4579" xr:uid="{00000000-0005-0000-0000-0000285A0000}"/>
    <cellStyle name="Normal 26_Exh G" xfId="3512" xr:uid="{00000000-0005-0000-0000-0000295A0000}"/>
    <cellStyle name="Normal 27" xfId="1041" xr:uid="{00000000-0005-0000-0000-00002A5A0000}"/>
    <cellStyle name="Normal 27 2" xfId="25875" xr:uid="{00000000-0005-0000-0000-00002B5A0000}"/>
    <cellStyle name="Normal 28" xfId="5458" xr:uid="{00000000-0005-0000-0000-00002C5A0000}"/>
    <cellStyle name="Normal 29" xfId="5459" xr:uid="{00000000-0005-0000-0000-00002D5A0000}"/>
    <cellStyle name="Normal 29 2" xfId="9050" xr:uid="{00000000-0005-0000-0000-00002E5A0000}"/>
    <cellStyle name="Normal 3" xfId="3" xr:uid="{00000000-0005-0000-0000-00002F5A0000}"/>
    <cellStyle name="Normal 3 10" xfId="6411" xr:uid="{00000000-0005-0000-0000-0000305A0000}"/>
    <cellStyle name="Normal 3 2" xfId="668" xr:uid="{00000000-0005-0000-0000-0000315A0000}"/>
    <cellStyle name="Normal 3 2 2" xfId="669" xr:uid="{00000000-0005-0000-0000-0000325A0000}"/>
    <cellStyle name="Normal 3 2 2 2" xfId="1697" xr:uid="{00000000-0005-0000-0000-0000335A0000}"/>
    <cellStyle name="Normal 3 2 2 2 2" xfId="5227" xr:uid="{00000000-0005-0000-0000-0000345A0000}"/>
    <cellStyle name="Normal 3 2 2 2 2 2" xfId="8818" xr:uid="{00000000-0005-0000-0000-0000355A0000}"/>
    <cellStyle name="Normal 3 2 2 2 2 2 2" xfId="16789" xr:uid="{00000000-0005-0000-0000-0000365A0000}"/>
    <cellStyle name="Normal 3 2 2 2 2 2 3" xfId="24735" xr:uid="{00000000-0005-0000-0000-0000375A0000}"/>
    <cellStyle name="Normal 3 2 2 2 2 3" xfId="13251" xr:uid="{00000000-0005-0000-0000-0000385A0000}"/>
    <cellStyle name="Normal 3 2 2 2 2 4" xfId="21206" xr:uid="{00000000-0005-0000-0000-0000395A0000}"/>
    <cellStyle name="Normal 3 2 2 2 3" xfId="7059" xr:uid="{00000000-0005-0000-0000-00003A5A0000}"/>
    <cellStyle name="Normal 3 2 2 2 3 2" xfId="15031" xr:uid="{00000000-0005-0000-0000-00003B5A0000}"/>
    <cellStyle name="Normal 3 2 2 2 3 3" xfId="22978" xr:uid="{00000000-0005-0000-0000-00003C5A0000}"/>
    <cellStyle name="Normal 3 2 2 2 4" xfId="11495" xr:uid="{00000000-0005-0000-0000-00003D5A0000}"/>
    <cellStyle name="Normal 3 2 2 2 5" xfId="19450" xr:uid="{00000000-0005-0000-0000-00003E5A0000}"/>
    <cellStyle name="Normal 3 2 2 2_Exh G" xfId="3515" xr:uid="{00000000-0005-0000-0000-00003F5A0000}"/>
    <cellStyle name="Normal 3 2 2 3" xfId="4348" xr:uid="{00000000-0005-0000-0000-0000405A0000}"/>
    <cellStyle name="Normal 3 2 2 3 2" xfId="7940" xr:uid="{00000000-0005-0000-0000-0000415A0000}"/>
    <cellStyle name="Normal 3 2 2 3 2 2" xfId="15911" xr:uid="{00000000-0005-0000-0000-0000425A0000}"/>
    <cellStyle name="Normal 3 2 2 3 2 3" xfId="23857" xr:uid="{00000000-0005-0000-0000-0000435A0000}"/>
    <cellStyle name="Normal 3 2 2 3 3" xfId="12373" xr:uid="{00000000-0005-0000-0000-0000445A0000}"/>
    <cellStyle name="Normal 3 2 2 3 4" xfId="20328" xr:uid="{00000000-0005-0000-0000-0000455A0000}"/>
    <cellStyle name="Normal 3 2 2 4" xfId="6168" xr:uid="{00000000-0005-0000-0000-0000465A0000}"/>
    <cellStyle name="Normal 3 2 2 4 2" xfId="14152" xr:uid="{00000000-0005-0000-0000-0000475A0000}"/>
    <cellStyle name="Normal 3 2 2 4 3" xfId="22100" xr:uid="{00000000-0005-0000-0000-0000485A0000}"/>
    <cellStyle name="Normal 3 2 2 5" xfId="9721" xr:uid="{00000000-0005-0000-0000-0000495A0000}"/>
    <cellStyle name="Normal 3 2 2 5 2" xfId="17679" xr:uid="{00000000-0005-0000-0000-00004A5A0000}"/>
    <cellStyle name="Normal 3 2 2 5 3" xfId="25623" xr:uid="{00000000-0005-0000-0000-00004B5A0000}"/>
    <cellStyle name="Normal 3 2 2 6" xfId="10617" xr:uid="{00000000-0005-0000-0000-00004C5A0000}"/>
    <cellStyle name="Normal 3 2 2 7" xfId="18572" xr:uid="{00000000-0005-0000-0000-00004D5A0000}"/>
    <cellStyle name="Normal 3 2 2_Exh G" xfId="3514" xr:uid="{00000000-0005-0000-0000-00004E5A0000}"/>
    <cellStyle name="Normal 3 2 3" xfId="1019" xr:uid="{00000000-0005-0000-0000-00004F5A0000}"/>
    <cellStyle name="Normal 3 2 3 2" xfId="1924" xr:uid="{00000000-0005-0000-0000-0000505A0000}"/>
    <cellStyle name="Normal 3 2 3 2 2" xfId="5442" xr:uid="{00000000-0005-0000-0000-0000515A0000}"/>
    <cellStyle name="Normal 3 2 3 2 2 2" xfId="9033" xr:uid="{00000000-0005-0000-0000-0000525A0000}"/>
    <cellStyle name="Normal 3 2 3 2 2 2 2" xfId="17004" xr:uid="{00000000-0005-0000-0000-0000535A0000}"/>
    <cellStyle name="Normal 3 2 3 2 2 2 3" xfId="24950" xr:uid="{00000000-0005-0000-0000-0000545A0000}"/>
    <cellStyle name="Normal 3 2 3 2 2 3" xfId="13466" xr:uid="{00000000-0005-0000-0000-0000555A0000}"/>
    <cellStyle name="Normal 3 2 3 2 2 4" xfId="21421" xr:uid="{00000000-0005-0000-0000-0000565A0000}"/>
    <cellStyle name="Normal 3 2 3 2 3" xfId="7274" xr:uid="{00000000-0005-0000-0000-0000575A0000}"/>
    <cellStyle name="Normal 3 2 3 2 3 2" xfId="15246" xr:uid="{00000000-0005-0000-0000-0000585A0000}"/>
    <cellStyle name="Normal 3 2 3 2 3 3" xfId="23193" xr:uid="{00000000-0005-0000-0000-0000595A0000}"/>
    <cellStyle name="Normal 3 2 3 2 4" xfId="11710" xr:uid="{00000000-0005-0000-0000-00005A5A0000}"/>
    <cellStyle name="Normal 3 2 3 2 5" xfId="19665" xr:uid="{00000000-0005-0000-0000-00005B5A0000}"/>
    <cellStyle name="Normal 3 2 3 2_Exh G" xfId="3517" xr:uid="{00000000-0005-0000-0000-00005C5A0000}"/>
    <cellStyle name="Normal 3 2 3 3" xfId="4563" xr:uid="{00000000-0005-0000-0000-00005D5A0000}"/>
    <cellStyle name="Normal 3 2 3 3 2" xfId="8155" xr:uid="{00000000-0005-0000-0000-00005E5A0000}"/>
    <cellStyle name="Normal 3 2 3 3 2 2" xfId="16126" xr:uid="{00000000-0005-0000-0000-00005F5A0000}"/>
    <cellStyle name="Normal 3 2 3 3 2 3" xfId="24072" xr:uid="{00000000-0005-0000-0000-0000605A0000}"/>
    <cellStyle name="Normal 3 2 3 3 3" xfId="12588" xr:uid="{00000000-0005-0000-0000-0000615A0000}"/>
    <cellStyle name="Normal 3 2 3 3 4" xfId="20543" xr:uid="{00000000-0005-0000-0000-0000625A0000}"/>
    <cellStyle name="Normal 3 2 3 4" xfId="6393" xr:uid="{00000000-0005-0000-0000-0000635A0000}"/>
    <cellStyle name="Normal 3 2 3 4 2" xfId="14368" xr:uid="{00000000-0005-0000-0000-0000645A0000}"/>
    <cellStyle name="Normal 3 2 3 4 3" xfId="22315" xr:uid="{00000000-0005-0000-0000-0000655A0000}"/>
    <cellStyle name="Normal 3 2 3 5" xfId="9936" xr:uid="{00000000-0005-0000-0000-0000665A0000}"/>
    <cellStyle name="Normal 3 2 3 5 2" xfId="17894" xr:uid="{00000000-0005-0000-0000-0000675A0000}"/>
    <cellStyle name="Normal 3 2 3 5 3" xfId="25838" xr:uid="{00000000-0005-0000-0000-0000685A0000}"/>
    <cellStyle name="Normal 3 2 3 6" xfId="10832" xr:uid="{00000000-0005-0000-0000-0000695A0000}"/>
    <cellStyle name="Normal 3 2 3 7" xfId="18787" xr:uid="{00000000-0005-0000-0000-00006A5A0000}"/>
    <cellStyle name="Normal 3 2 3_Exh G" xfId="3516" xr:uid="{00000000-0005-0000-0000-00006B5A0000}"/>
    <cellStyle name="Normal 3 2 4" xfId="1696" xr:uid="{00000000-0005-0000-0000-00006C5A0000}"/>
    <cellStyle name="Normal 3 2 4 2" xfId="5226" xr:uid="{00000000-0005-0000-0000-00006D5A0000}"/>
    <cellStyle name="Normal 3 2 4 2 2" xfId="8817" xr:uid="{00000000-0005-0000-0000-00006E5A0000}"/>
    <cellStyle name="Normal 3 2 4 2 2 2" xfId="16788" xr:uid="{00000000-0005-0000-0000-00006F5A0000}"/>
    <cellStyle name="Normal 3 2 4 2 2 3" xfId="24734" xr:uid="{00000000-0005-0000-0000-0000705A0000}"/>
    <cellStyle name="Normal 3 2 4 2 3" xfId="13250" xr:uid="{00000000-0005-0000-0000-0000715A0000}"/>
    <cellStyle name="Normal 3 2 4 2 4" xfId="21205" xr:uid="{00000000-0005-0000-0000-0000725A0000}"/>
    <cellStyle name="Normal 3 2 4 3" xfId="7058" xr:uid="{00000000-0005-0000-0000-0000735A0000}"/>
    <cellStyle name="Normal 3 2 4 3 2" xfId="15030" xr:uid="{00000000-0005-0000-0000-0000745A0000}"/>
    <cellStyle name="Normal 3 2 4 3 3" xfId="22977" xr:uid="{00000000-0005-0000-0000-0000755A0000}"/>
    <cellStyle name="Normal 3 2 4 4" xfId="11494" xr:uid="{00000000-0005-0000-0000-0000765A0000}"/>
    <cellStyle name="Normal 3 2 4 5" xfId="19449" xr:uid="{00000000-0005-0000-0000-0000775A0000}"/>
    <cellStyle name="Normal 3 2 4_Exh G" xfId="3518" xr:uid="{00000000-0005-0000-0000-0000785A0000}"/>
    <cellStyle name="Normal 3 2 5" xfId="4347" xr:uid="{00000000-0005-0000-0000-0000795A0000}"/>
    <cellStyle name="Normal 3 2 5 2" xfId="7939" xr:uid="{00000000-0005-0000-0000-00007A5A0000}"/>
    <cellStyle name="Normal 3 2 5 2 2" xfId="15910" xr:uid="{00000000-0005-0000-0000-00007B5A0000}"/>
    <cellStyle name="Normal 3 2 5 2 3" xfId="23856" xr:uid="{00000000-0005-0000-0000-00007C5A0000}"/>
    <cellStyle name="Normal 3 2 5 3" xfId="12372" xr:uid="{00000000-0005-0000-0000-00007D5A0000}"/>
    <cellStyle name="Normal 3 2 5 4" xfId="20327" xr:uid="{00000000-0005-0000-0000-00007E5A0000}"/>
    <cellStyle name="Normal 3 2 6" xfId="6167" xr:uid="{00000000-0005-0000-0000-00007F5A0000}"/>
    <cellStyle name="Normal 3 2 6 2" xfId="14151" xr:uid="{00000000-0005-0000-0000-0000805A0000}"/>
    <cellStyle name="Normal 3 2 6 3" xfId="22099" xr:uid="{00000000-0005-0000-0000-0000815A0000}"/>
    <cellStyle name="Normal 3 2 7" xfId="9720" xr:uid="{00000000-0005-0000-0000-0000825A0000}"/>
    <cellStyle name="Normal 3 2 7 2" xfId="17678" xr:uid="{00000000-0005-0000-0000-0000835A0000}"/>
    <cellStyle name="Normal 3 2 7 3" xfId="25622" xr:uid="{00000000-0005-0000-0000-0000845A0000}"/>
    <cellStyle name="Normal 3 2 8" xfId="10616" xr:uid="{00000000-0005-0000-0000-0000855A0000}"/>
    <cellStyle name="Normal 3 2 9" xfId="18571" xr:uid="{00000000-0005-0000-0000-0000865A0000}"/>
    <cellStyle name="Normal 3 2_Exh G" xfId="3513" xr:uid="{00000000-0005-0000-0000-0000875A0000}"/>
    <cellStyle name="Normal 3 3" xfId="670" xr:uid="{00000000-0005-0000-0000-0000885A0000}"/>
    <cellStyle name="Normal 3 3 2" xfId="1698" xr:uid="{00000000-0005-0000-0000-0000895A0000}"/>
    <cellStyle name="Normal 3 3 2 2" xfId="5228" xr:uid="{00000000-0005-0000-0000-00008A5A0000}"/>
    <cellStyle name="Normal 3 3 2 2 2" xfId="8819" xr:uid="{00000000-0005-0000-0000-00008B5A0000}"/>
    <cellStyle name="Normal 3 3 2 2 2 2" xfId="16790" xr:uid="{00000000-0005-0000-0000-00008C5A0000}"/>
    <cellStyle name="Normal 3 3 2 2 2 3" xfId="24736" xr:uid="{00000000-0005-0000-0000-00008D5A0000}"/>
    <cellStyle name="Normal 3 3 2 2 3" xfId="13252" xr:uid="{00000000-0005-0000-0000-00008E5A0000}"/>
    <cellStyle name="Normal 3 3 2 2 4" xfId="21207" xr:uid="{00000000-0005-0000-0000-00008F5A0000}"/>
    <cellStyle name="Normal 3 3 2 3" xfId="7060" xr:uid="{00000000-0005-0000-0000-0000905A0000}"/>
    <cellStyle name="Normal 3 3 2 3 2" xfId="15032" xr:uid="{00000000-0005-0000-0000-0000915A0000}"/>
    <cellStyle name="Normal 3 3 2 3 3" xfId="22979" xr:uid="{00000000-0005-0000-0000-0000925A0000}"/>
    <cellStyle name="Normal 3 3 2 4" xfId="11496" xr:uid="{00000000-0005-0000-0000-0000935A0000}"/>
    <cellStyle name="Normal 3 3 2 5" xfId="19451" xr:uid="{00000000-0005-0000-0000-0000945A0000}"/>
    <cellStyle name="Normal 3 3 2_Exh G" xfId="3520" xr:uid="{00000000-0005-0000-0000-0000955A0000}"/>
    <cellStyle name="Normal 3 3 3" xfId="4349" xr:uid="{00000000-0005-0000-0000-0000965A0000}"/>
    <cellStyle name="Normal 3 3 3 2" xfId="7941" xr:uid="{00000000-0005-0000-0000-0000975A0000}"/>
    <cellStyle name="Normal 3 3 3 2 2" xfId="15912" xr:uid="{00000000-0005-0000-0000-0000985A0000}"/>
    <cellStyle name="Normal 3 3 3 2 3" xfId="23858" xr:uid="{00000000-0005-0000-0000-0000995A0000}"/>
    <cellStyle name="Normal 3 3 3 3" xfId="12374" xr:uid="{00000000-0005-0000-0000-00009A5A0000}"/>
    <cellStyle name="Normal 3 3 3 4" xfId="20329" xr:uid="{00000000-0005-0000-0000-00009B5A0000}"/>
    <cellStyle name="Normal 3 3 4" xfId="6169" xr:uid="{00000000-0005-0000-0000-00009C5A0000}"/>
    <cellStyle name="Normal 3 3 4 2" xfId="14153" xr:uid="{00000000-0005-0000-0000-00009D5A0000}"/>
    <cellStyle name="Normal 3 3 4 3" xfId="22101" xr:uid="{00000000-0005-0000-0000-00009E5A0000}"/>
    <cellStyle name="Normal 3 3 5" xfId="9722" xr:uid="{00000000-0005-0000-0000-00009F5A0000}"/>
    <cellStyle name="Normal 3 3 5 2" xfId="17680" xr:uid="{00000000-0005-0000-0000-0000A05A0000}"/>
    <cellStyle name="Normal 3 3 5 3" xfId="25624" xr:uid="{00000000-0005-0000-0000-0000A15A0000}"/>
    <cellStyle name="Normal 3 3 6" xfId="10618" xr:uid="{00000000-0005-0000-0000-0000A25A0000}"/>
    <cellStyle name="Normal 3 3 7" xfId="18573" xr:uid="{00000000-0005-0000-0000-0000A35A0000}"/>
    <cellStyle name="Normal 3 3_Exh G" xfId="3519" xr:uid="{00000000-0005-0000-0000-0000A45A0000}"/>
    <cellStyle name="Normal 3 4" xfId="1018" xr:uid="{00000000-0005-0000-0000-0000A55A0000}"/>
    <cellStyle name="Normal 3 4 2" xfId="1923" xr:uid="{00000000-0005-0000-0000-0000A65A0000}"/>
    <cellStyle name="Normal 3 4 2 2" xfId="5441" xr:uid="{00000000-0005-0000-0000-0000A75A0000}"/>
    <cellStyle name="Normal 3 4 2 2 2" xfId="9032" xr:uid="{00000000-0005-0000-0000-0000A85A0000}"/>
    <cellStyle name="Normal 3 4 2 2 2 2" xfId="17003" xr:uid="{00000000-0005-0000-0000-0000A95A0000}"/>
    <cellStyle name="Normal 3 4 2 2 2 3" xfId="24949" xr:uid="{00000000-0005-0000-0000-0000AA5A0000}"/>
    <cellStyle name="Normal 3 4 2 2 3" xfId="13465" xr:uid="{00000000-0005-0000-0000-0000AB5A0000}"/>
    <cellStyle name="Normal 3 4 2 2 4" xfId="21420" xr:uid="{00000000-0005-0000-0000-0000AC5A0000}"/>
    <cellStyle name="Normal 3 4 2 3" xfId="7273" xr:uid="{00000000-0005-0000-0000-0000AD5A0000}"/>
    <cellStyle name="Normal 3 4 2 3 2" xfId="15245" xr:uid="{00000000-0005-0000-0000-0000AE5A0000}"/>
    <cellStyle name="Normal 3 4 2 3 3" xfId="23192" xr:uid="{00000000-0005-0000-0000-0000AF5A0000}"/>
    <cellStyle name="Normal 3 4 2 4" xfId="11709" xr:uid="{00000000-0005-0000-0000-0000B05A0000}"/>
    <cellStyle name="Normal 3 4 2 5" xfId="19664" xr:uid="{00000000-0005-0000-0000-0000B15A0000}"/>
    <cellStyle name="Normal 3 4 2_Exh G" xfId="3522" xr:uid="{00000000-0005-0000-0000-0000B25A0000}"/>
    <cellStyle name="Normal 3 4 3" xfId="4562" xr:uid="{00000000-0005-0000-0000-0000B35A0000}"/>
    <cellStyle name="Normal 3 4 3 2" xfId="8154" xr:uid="{00000000-0005-0000-0000-0000B45A0000}"/>
    <cellStyle name="Normal 3 4 3 2 2" xfId="16125" xr:uid="{00000000-0005-0000-0000-0000B55A0000}"/>
    <cellStyle name="Normal 3 4 3 2 3" xfId="24071" xr:uid="{00000000-0005-0000-0000-0000B65A0000}"/>
    <cellStyle name="Normal 3 4 3 3" xfId="12587" xr:uid="{00000000-0005-0000-0000-0000B75A0000}"/>
    <cellStyle name="Normal 3 4 3 4" xfId="20542" xr:uid="{00000000-0005-0000-0000-0000B85A0000}"/>
    <cellStyle name="Normal 3 4 4" xfId="6392" xr:uid="{00000000-0005-0000-0000-0000B95A0000}"/>
    <cellStyle name="Normal 3 4 4 2" xfId="14367" xr:uid="{00000000-0005-0000-0000-0000BA5A0000}"/>
    <cellStyle name="Normal 3 4 4 3" xfId="22314" xr:uid="{00000000-0005-0000-0000-0000BB5A0000}"/>
    <cellStyle name="Normal 3 4 5" xfId="9935" xr:uid="{00000000-0005-0000-0000-0000BC5A0000}"/>
    <cellStyle name="Normal 3 4 5 2" xfId="17893" xr:uid="{00000000-0005-0000-0000-0000BD5A0000}"/>
    <cellStyle name="Normal 3 4 5 3" xfId="25837" xr:uid="{00000000-0005-0000-0000-0000BE5A0000}"/>
    <cellStyle name="Normal 3 4 6" xfId="10831" xr:uid="{00000000-0005-0000-0000-0000BF5A0000}"/>
    <cellStyle name="Normal 3 4 7" xfId="18786" xr:uid="{00000000-0005-0000-0000-0000C05A0000}"/>
    <cellStyle name="Normal 3 4_Exh G" xfId="3521" xr:uid="{00000000-0005-0000-0000-0000C15A0000}"/>
    <cellStyle name="Normal 3 5" xfId="5466" xr:uid="{00000000-0005-0000-0000-0000C25A0000}"/>
    <cellStyle name="Normal 3 6" xfId="5475" xr:uid="{00000000-0005-0000-0000-0000C35A0000}"/>
    <cellStyle name="Normal 3 7" xfId="5490" xr:uid="{00000000-0005-0000-0000-0000C45A0000}"/>
    <cellStyle name="Normal 3 8" xfId="5516" xr:uid="{00000000-0005-0000-0000-0000C55A0000}"/>
    <cellStyle name="Normal 3 9" xfId="5507" xr:uid="{00000000-0005-0000-0000-0000C65A0000}"/>
    <cellStyle name="Normal 30" xfId="5461" xr:uid="{00000000-0005-0000-0000-0000C75A0000}"/>
    <cellStyle name="Normal 30 2" xfId="9052" xr:uid="{00000000-0005-0000-0000-0000C85A0000}"/>
    <cellStyle name="Normal 31" xfId="5463" xr:uid="{00000000-0005-0000-0000-0000C95A0000}"/>
    <cellStyle name="Normal 31 2" xfId="9054" xr:uid="{00000000-0005-0000-0000-0000CA5A0000}"/>
    <cellStyle name="Normal 32" xfId="5464" xr:uid="{00000000-0005-0000-0000-0000CB5A0000}"/>
    <cellStyle name="Normal 32 2" xfId="9055" xr:uid="{00000000-0005-0000-0000-0000CC5A0000}"/>
    <cellStyle name="Normal 33" xfId="5481" xr:uid="{00000000-0005-0000-0000-0000CD5A0000}"/>
    <cellStyle name="Normal 33 2" xfId="9061" xr:uid="{00000000-0005-0000-0000-0000CE5A0000}"/>
    <cellStyle name="Normal 34" xfId="5482" xr:uid="{00000000-0005-0000-0000-0000CF5A0000}"/>
    <cellStyle name="Normal 34 2" xfId="9062" xr:uid="{00000000-0005-0000-0000-0000D05A0000}"/>
    <cellStyle name="Normal 35" xfId="5484" xr:uid="{00000000-0005-0000-0000-0000D15A0000}"/>
    <cellStyle name="Normal 35 2" xfId="9064" xr:uid="{00000000-0005-0000-0000-0000D25A0000}"/>
    <cellStyle name="Normal 36" xfId="5485" xr:uid="{00000000-0005-0000-0000-0000D35A0000}"/>
    <cellStyle name="Normal 36 2" xfId="9065" xr:uid="{00000000-0005-0000-0000-0000D45A0000}"/>
    <cellStyle name="Normal 37" xfId="5486" xr:uid="{00000000-0005-0000-0000-0000D55A0000}"/>
    <cellStyle name="Normal 37 2" xfId="9066" xr:uid="{00000000-0005-0000-0000-0000D65A0000}"/>
    <cellStyle name="Normal 37 2 2" xfId="17025" xr:uid="{00000000-0005-0000-0000-0000D75A0000}"/>
    <cellStyle name="Normal 37 2 3" xfId="24971" xr:uid="{00000000-0005-0000-0000-0000D85A0000}"/>
    <cellStyle name="Normal 37 3" xfId="13488" xr:uid="{00000000-0005-0000-0000-0000D95A0000}"/>
    <cellStyle name="Normal 37 4" xfId="21442" xr:uid="{00000000-0005-0000-0000-0000DA5A0000}"/>
    <cellStyle name="Normal 38" xfId="5488" xr:uid="{00000000-0005-0000-0000-0000DB5A0000}"/>
    <cellStyle name="Normal 39" xfId="5493" xr:uid="{00000000-0005-0000-0000-0000DC5A0000}"/>
    <cellStyle name="Normal 39 2" xfId="5513" xr:uid="{00000000-0005-0000-0000-0000DD5A0000}"/>
    <cellStyle name="Normal 39 2 2" xfId="13504" xr:uid="{00000000-0005-0000-0000-0000DE5A0000}"/>
    <cellStyle name="Normal 39 3" xfId="13491" xr:uid="{00000000-0005-0000-0000-0000DF5A0000}"/>
    <cellStyle name="Normal 4" xfId="4" xr:uid="{00000000-0005-0000-0000-0000E05A0000}"/>
    <cellStyle name="Normal 4 10" xfId="5517" xr:uid="{00000000-0005-0000-0000-0000E15A0000}"/>
    <cellStyle name="Normal 4 11" xfId="5508" xr:uid="{00000000-0005-0000-0000-0000E25A0000}"/>
    <cellStyle name="Normal 4 2" xfId="671" xr:uid="{00000000-0005-0000-0000-0000E35A0000}"/>
    <cellStyle name="Normal 4 2 10" xfId="5505" xr:uid="{00000000-0005-0000-0000-0000E45A0000}"/>
    <cellStyle name="Normal 4 2 11" xfId="9723" xr:uid="{00000000-0005-0000-0000-0000E55A0000}"/>
    <cellStyle name="Normal 4 2 11 2" xfId="17681" xr:uid="{00000000-0005-0000-0000-0000E65A0000}"/>
    <cellStyle name="Normal 4 2 11 3" xfId="25625" xr:uid="{00000000-0005-0000-0000-0000E75A0000}"/>
    <cellStyle name="Normal 4 2 12" xfId="10619" xr:uid="{00000000-0005-0000-0000-0000E85A0000}"/>
    <cellStyle name="Normal 4 2 13" xfId="18574" xr:uid="{00000000-0005-0000-0000-0000E95A0000}"/>
    <cellStyle name="Normal 4 2 2" xfId="672" xr:uid="{00000000-0005-0000-0000-0000EA5A0000}"/>
    <cellStyle name="Normal 4 2 2 2" xfId="1700" xr:uid="{00000000-0005-0000-0000-0000EB5A0000}"/>
    <cellStyle name="Normal 4 2 2 2 2" xfId="5230" xr:uid="{00000000-0005-0000-0000-0000EC5A0000}"/>
    <cellStyle name="Normal 4 2 2 2 2 2" xfId="8821" xr:uid="{00000000-0005-0000-0000-0000ED5A0000}"/>
    <cellStyle name="Normal 4 2 2 2 2 2 2" xfId="16792" xr:uid="{00000000-0005-0000-0000-0000EE5A0000}"/>
    <cellStyle name="Normal 4 2 2 2 2 2 3" xfId="24738" xr:uid="{00000000-0005-0000-0000-0000EF5A0000}"/>
    <cellStyle name="Normal 4 2 2 2 2 3" xfId="13254" xr:uid="{00000000-0005-0000-0000-0000F05A0000}"/>
    <cellStyle name="Normal 4 2 2 2 2 4" xfId="21209" xr:uid="{00000000-0005-0000-0000-0000F15A0000}"/>
    <cellStyle name="Normal 4 2 2 2 3" xfId="7062" xr:uid="{00000000-0005-0000-0000-0000F25A0000}"/>
    <cellStyle name="Normal 4 2 2 2 3 2" xfId="15034" xr:uid="{00000000-0005-0000-0000-0000F35A0000}"/>
    <cellStyle name="Normal 4 2 2 2 3 3" xfId="22981" xr:uid="{00000000-0005-0000-0000-0000F45A0000}"/>
    <cellStyle name="Normal 4 2 2 2 4" xfId="11498" xr:uid="{00000000-0005-0000-0000-0000F55A0000}"/>
    <cellStyle name="Normal 4 2 2 2 5" xfId="19453" xr:uid="{00000000-0005-0000-0000-0000F65A0000}"/>
    <cellStyle name="Normal 4 2 2 2_Exh G" xfId="3526" xr:uid="{00000000-0005-0000-0000-0000F75A0000}"/>
    <cellStyle name="Normal 4 2 2 3" xfId="4351" xr:uid="{00000000-0005-0000-0000-0000F85A0000}"/>
    <cellStyle name="Normal 4 2 2 3 2" xfId="7943" xr:uid="{00000000-0005-0000-0000-0000F95A0000}"/>
    <cellStyle name="Normal 4 2 2 3 2 2" xfId="15914" xr:uid="{00000000-0005-0000-0000-0000FA5A0000}"/>
    <cellStyle name="Normal 4 2 2 3 2 3" xfId="23860" xr:uid="{00000000-0005-0000-0000-0000FB5A0000}"/>
    <cellStyle name="Normal 4 2 2 3 3" xfId="12376" xr:uid="{00000000-0005-0000-0000-0000FC5A0000}"/>
    <cellStyle name="Normal 4 2 2 3 4" xfId="20331" xr:uid="{00000000-0005-0000-0000-0000FD5A0000}"/>
    <cellStyle name="Normal 4 2 2 4" xfId="6171" xr:uid="{00000000-0005-0000-0000-0000FE5A0000}"/>
    <cellStyle name="Normal 4 2 2 4 2" xfId="14155" xr:uid="{00000000-0005-0000-0000-0000FF5A0000}"/>
    <cellStyle name="Normal 4 2 2 4 3" xfId="22103" xr:uid="{00000000-0005-0000-0000-0000005B0000}"/>
    <cellStyle name="Normal 4 2 2 5" xfId="9724" xr:uid="{00000000-0005-0000-0000-0000015B0000}"/>
    <cellStyle name="Normal 4 2 2 5 2" xfId="17682" xr:uid="{00000000-0005-0000-0000-0000025B0000}"/>
    <cellStyle name="Normal 4 2 2 5 3" xfId="25626" xr:uid="{00000000-0005-0000-0000-0000035B0000}"/>
    <cellStyle name="Normal 4 2 2 6" xfId="10620" xr:uid="{00000000-0005-0000-0000-0000045B0000}"/>
    <cellStyle name="Normal 4 2 2 7" xfId="18575" xr:uid="{00000000-0005-0000-0000-0000055B0000}"/>
    <cellStyle name="Normal 4 2 2_Exh G" xfId="3525" xr:uid="{00000000-0005-0000-0000-0000065B0000}"/>
    <cellStyle name="Normal 4 2 3" xfId="1021" xr:uid="{00000000-0005-0000-0000-0000075B0000}"/>
    <cellStyle name="Normal 4 2 3 2" xfId="1926" xr:uid="{00000000-0005-0000-0000-0000085B0000}"/>
    <cellStyle name="Normal 4 2 3 2 2" xfId="5444" xr:uid="{00000000-0005-0000-0000-0000095B0000}"/>
    <cellStyle name="Normal 4 2 3 2 2 2" xfId="9035" xr:uid="{00000000-0005-0000-0000-00000A5B0000}"/>
    <cellStyle name="Normal 4 2 3 2 2 2 2" xfId="17006" xr:uid="{00000000-0005-0000-0000-00000B5B0000}"/>
    <cellStyle name="Normal 4 2 3 2 2 2 3" xfId="24952" xr:uid="{00000000-0005-0000-0000-00000C5B0000}"/>
    <cellStyle name="Normal 4 2 3 2 2 3" xfId="13468" xr:uid="{00000000-0005-0000-0000-00000D5B0000}"/>
    <cellStyle name="Normal 4 2 3 2 2 4" xfId="21423" xr:uid="{00000000-0005-0000-0000-00000E5B0000}"/>
    <cellStyle name="Normal 4 2 3 2 3" xfId="7276" xr:uid="{00000000-0005-0000-0000-00000F5B0000}"/>
    <cellStyle name="Normal 4 2 3 2 3 2" xfId="15248" xr:uid="{00000000-0005-0000-0000-0000105B0000}"/>
    <cellStyle name="Normal 4 2 3 2 3 3" xfId="23195" xr:uid="{00000000-0005-0000-0000-0000115B0000}"/>
    <cellStyle name="Normal 4 2 3 2 4" xfId="11712" xr:uid="{00000000-0005-0000-0000-0000125B0000}"/>
    <cellStyle name="Normal 4 2 3 2 5" xfId="19667" xr:uid="{00000000-0005-0000-0000-0000135B0000}"/>
    <cellStyle name="Normal 4 2 3 2_Exh G" xfId="3528" xr:uid="{00000000-0005-0000-0000-0000145B0000}"/>
    <cellStyle name="Normal 4 2 3 3" xfId="4565" xr:uid="{00000000-0005-0000-0000-0000155B0000}"/>
    <cellStyle name="Normal 4 2 3 3 2" xfId="8157" xr:uid="{00000000-0005-0000-0000-0000165B0000}"/>
    <cellStyle name="Normal 4 2 3 3 2 2" xfId="16128" xr:uid="{00000000-0005-0000-0000-0000175B0000}"/>
    <cellStyle name="Normal 4 2 3 3 2 3" xfId="24074" xr:uid="{00000000-0005-0000-0000-0000185B0000}"/>
    <cellStyle name="Normal 4 2 3 3 3" xfId="12590" xr:uid="{00000000-0005-0000-0000-0000195B0000}"/>
    <cellStyle name="Normal 4 2 3 3 4" xfId="20545" xr:uid="{00000000-0005-0000-0000-00001A5B0000}"/>
    <cellStyle name="Normal 4 2 3 4" xfId="6395" xr:uid="{00000000-0005-0000-0000-00001B5B0000}"/>
    <cellStyle name="Normal 4 2 3 4 2" xfId="14370" xr:uid="{00000000-0005-0000-0000-00001C5B0000}"/>
    <cellStyle name="Normal 4 2 3 4 3" xfId="22317" xr:uid="{00000000-0005-0000-0000-00001D5B0000}"/>
    <cellStyle name="Normal 4 2 3 5" xfId="9938" xr:uid="{00000000-0005-0000-0000-00001E5B0000}"/>
    <cellStyle name="Normal 4 2 3 5 2" xfId="17896" xr:uid="{00000000-0005-0000-0000-00001F5B0000}"/>
    <cellStyle name="Normal 4 2 3 5 3" xfId="25840" xr:uid="{00000000-0005-0000-0000-0000205B0000}"/>
    <cellStyle name="Normal 4 2 3 6" xfId="10834" xr:uid="{00000000-0005-0000-0000-0000215B0000}"/>
    <cellStyle name="Normal 4 2 3 7" xfId="18789" xr:uid="{00000000-0005-0000-0000-0000225B0000}"/>
    <cellStyle name="Normal 4 2 3_Exh G" xfId="3527" xr:uid="{00000000-0005-0000-0000-0000235B0000}"/>
    <cellStyle name="Normal 4 2 4" xfId="1699" xr:uid="{00000000-0005-0000-0000-0000245B0000}"/>
    <cellStyle name="Normal 4 2 4 2" xfId="5229" xr:uid="{00000000-0005-0000-0000-0000255B0000}"/>
    <cellStyle name="Normal 4 2 4 2 2" xfId="8820" xr:uid="{00000000-0005-0000-0000-0000265B0000}"/>
    <cellStyle name="Normal 4 2 4 2 2 2" xfId="16791" xr:uid="{00000000-0005-0000-0000-0000275B0000}"/>
    <cellStyle name="Normal 4 2 4 2 2 3" xfId="24737" xr:uid="{00000000-0005-0000-0000-0000285B0000}"/>
    <cellStyle name="Normal 4 2 4 2 3" xfId="13253" xr:uid="{00000000-0005-0000-0000-0000295B0000}"/>
    <cellStyle name="Normal 4 2 4 2 4" xfId="21208" xr:uid="{00000000-0005-0000-0000-00002A5B0000}"/>
    <cellStyle name="Normal 4 2 4 3" xfId="7061" xr:uid="{00000000-0005-0000-0000-00002B5B0000}"/>
    <cellStyle name="Normal 4 2 4 3 2" xfId="15033" xr:uid="{00000000-0005-0000-0000-00002C5B0000}"/>
    <cellStyle name="Normal 4 2 4 3 3" xfId="22980" xr:uid="{00000000-0005-0000-0000-00002D5B0000}"/>
    <cellStyle name="Normal 4 2 4 4" xfId="11497" xr:uid="{00000000-0005-0000-0000-00002E5B0000}"/>
    <cellStyle name="Normal 4 2 4 5" xfId="19452" xr:uid="{00000000-0005-0000-0000-00002F5B0000}"/>
    <cellStyle name="Normal 4 2 4_Exh G" xfId="3529" xr:uid="{00000000-0005-0000-0000-0000305B0000}"/>
    <cellStyle name="Normal 4 2 5" xfId="4350" xr:uid="{00000000-0005-0000-0000-0000315B0000}"/>
    <cellStyle name="Normal 4 2 5 2" xfId="7942" xr:uid="{00000000-0005-0000-0000-0000325B0000}"/>
    <cellStyle name="Normal 4 2 5 2 2" xfId="15913" xr:uid="{00000000-0005-0000-0000-0000335B0000}"/>
    <cellStyle name="Normal 4 2 5 2 3" xfId="23859" xr:uid="{00000000-0005-0000-0000-0000345B0000}"/>
    <cellStyle name="Normal 4 2 5 3" xfId="12375" xr:uid="{00000000-0005-0000-0000-0000355B0000}"/>
    <cellStyle name="Normal 4 2 5 4" xfId="20330" xr:uid="{00000000-0005-0000-0000-0000365B0000}"/>
    <cellStyle name="Normal 4 2 6" xfId="5472" xr:uid="{00000000-0005-0000-0000-0000375B0000}"/>
    <cellStyle name="Normal 4 2 7" xfId="5479" xr:uid="{00000000-0005-0000-0000-0000385B0000}"/>
    <cellStyle name="Normal 4 2 8" xfId="6170" xr:uid="{00000000-0005-0000-0000-0000395B0000}"/>
    <cellStyle name="Normal 4 2 8 2" xfId="14154" xr:uid="{00000000-0005-0000-0000-00003A5B0000}"/>
    <cellStyle name="Normal 4 2 8 3" xfId="22102" xr:uid="{00000000-0005-0000-0000-00003B5B0000}"/>
    <cellStyle name="Normal 4 2 9" xfId="5511" xr:uid="{00000000-0005-0000-0000-00003C5B0000}"/>
    <cellStyle name="Normal 4 2_Exh G" xfId="3524" xr:uid="{00000000-0005-0000-0000-00003D5B0000}"/>
    <cellStyle name="Normal 4 3" xfId="673" xr:uid="{00000000-0005-0000-0000-00003E5B0000}"/>
    <cellStyle name="Normal 4 3 2" xfId="1701" xr:uid="{00000000-0005-0000-0000-00003F5B0000}"/>
    <cellStyle name="Normal 4 3 2 2" xfId="5231" xr:uid="{00000000-0005-0000-0000-0000405B0000}"/>
    <cellStyle name="Normal 4 3 2 2 2" xfId="8822" xr:uid="{00000000-0005-0000-0000-0000415B0000}"/>
    <cellStyle name="Normal 4 3 2 2 2 2" xfId="16793" xr:uid="{00000000-0005-0000-0000-0000425B0000}"/>
    <cellStyle name="Normal 4 3 2 2 2 3" xfId="24739" xr:uid="{00000000-0005-0000-0000-0000435B0000}"/>
    <cellStyle name="Normal 4 3 2 2 3" xfId="13255" xr:uid="{00000000-0005-0000-0000-0000445B0000}"/>
    <cellStyle name="Normal 4 3 2 2 4" xfId="21210" xr:uid="{00000000-0005-0000-0000-0000455B0000}"/>
    <cellStyle name="Normal 4 3 2 3" xfId="7063" xr:uid="{00000000-0005-0000-0000-0000465B0000}"/>
    <cellStyle name="Normal 4 3 2 3 2" xfId="15035" xr:uid="{00000000-0005-0000-0000-0000475B0000}"/>
    <cellStyle name="Normal 4 3 2 3 3" xfId="22982" xr:uid="{00000000-0005-0000-0000-0000485B0000}"/>
    <cellStyle name="Normal 4 3 2 4" xfId="11499" xr:uid="{00000000-0005-0000-0000-0000495B0000}"/>
    <cellStyle name="Normal 4 3 2 5" xfId="19454" xr:uid="{00000000-0005-0000-0000-00004A5B0000}"/>
    <cellStyle name="Normal 4 3 2_Exh G" xfId="3531" xr:uid="{00000000-0005-0000-0000-00004B5B0000}"/>
    <cellStyle name="Normal 4 3 3" xfId="4352" xr:uid="{00000000-0005-0000-0000-00004C5B0000}"/>
    <cellStyle name="Normal 4 3 3 2" xfId="7944" xr:uid="{00000000-0005-0000-0000-00004D5B0000}"/>
    <cellStyle name="Normal 4 3 3 2 2" xfId="15915" xr:uid="{00000000-0005-0000-0000-00004E5B0000}"/>
    <cellStyle name="Normal 4 3 3 2 3" xfId="23861" xr:uid="{00000000-0005-0000-0000-00004F5B0000}"/>
    <cellStyle name="Normal 4 3 3 3" xfId="12377" xr:uid="{00000000-0005-0000-0000-0000505B0000}"/>
    <cellStyle name="Normal 4 3 3 4" xfId="20332" xr:uid="{00000000-0005-0000-0000-0000515B0000}"/>
    <cellStyle name="Normal 4 3 4" xfId="6172" xr:uid="{00000000-0005-0000-0000-0000525B0000}"/>
    <cellStyle name="Normal 4 3 4 2" xfId="14156" xr:uid="{00000000-0005-0000-0000-0000535B0000}"/>
    <cellStyle name="Normal 4 3 4 3" xfId="22104" xr:uid="{00000000-0005-0000-0000-0000545B0000}"/>
    <cellStyle name="Normal 4 3 5" xfId="9725" xr:uid="{00000000-0005-0000-0000-0000555B0000}"/>
    <cellStyle name="Normal 4 3 5 2" xfId="17683" xr:uid="{00000000-0005-0000-0000-0000565B0000}"/>
    <cellStyle name="Normal 4 3 5 3" xfId="25627" xr:uid="{00000000-0005-0000-0000-0000575B0000}"/>
    <cellStyle name="Normal 4 3 6" xfId="10621" xr:uid="{00000000-0005-0000-0000-0000585B0000}"/>
    <cellStyle name="Normal 4 3 7" xfId="18576" xr:uid="{00000000-0005-0000-0000-0000595B0000}"/>
    <cellStyle name="Normal 4 3_Exh G" xfId="3530" xr:uid="{00000000-0005-0000-0000-00005A5B0000}"/>
    <cellStyle name="Normal 4 4" xfId="1020" xr:uid="{00000000-0005-0000-0000-00005B5B0000}"/>
    <cellStyle name="Normal 4 4 2" xfId="1925" xr:uid="{00000000-0005-0000-0000-00005C5B0000}"/>
    <cellStyle name="Normal 4 4 2 2" xfId="5443" xr:uid="{00000000-0005-0000-0000-00005D5B0000}"/>
    <cellStyle name="Normal 4 4 2 2 2" xfId="9034" xr:uid="{00000000-0005-0000-0000-00005E5B0000}"/>
    <cellStyle name="Normal 4 4 2 2 2 2" xfId="17005" xr:uid="{00000000-0005-0000-0000-00005F5B0000}"/>
    <cellStyle name="Normal 4 4 2 2 2 3" xfId="24951" xr:uid="{00000000-0005-0000-0000-0000605B0000}"/>
    <cellStyle name="Normal 4 4 2 2 3" xfId="13467" xr:uid="{00000000-0005-0000-0000-0000615B0000}"/>
    <cellStyle name="Normal 4 4 2 2 4" xfId="21422" xr:uid="{00000000-0005-0000-0000-0000625B0000}"/>
    <cellStyle name="Normal 4 4 2 3" xfId="7275" xr:uid="{00000000-0005-0000-0000-0000635B0000}"/>
    <cellStyle name="Normal 4 4 2 3 2" xfId="15247" xr:uid="{00000000-0005-0000-0000-0000645B0000}"/>
    <cellStyle name="Normal 4 4 2 3 3" xfId="23194" xr:uid="{00000000-0005-0000-0000-0000655B0000}"/>
    <cellStyle name="Normal 4 4 2 4" xfId="11711" xr:uid="{00000000-0005-0000-0000-0000665B0000}"/>
    <cellStyle name="Normal 4 4 2 5" xfId="19666" xr:uid="{00000000-0005-0000-0000-0000675B0000}"/>
    <cellStyle name="Normal 4 4 2_Exh G" xfId="3533" xr:uid="{00000000-0005-0000-0000-0000685B0000}"/>
    <cellStyle name="Normal 4 4 3" xfId="4564" xr:uid="{00000000-0005-0000-0000-0000695B0000}"/>
    <cellStyle name="Normal 4 4 3 2" xfId="8156" xr:uid="{00000000-0005-0000-0000-00006A5B0000}"/>
    <cellStyle name="Normal 4 4 3 2 2" xfId="16127" xr:uid="{00000000-0005-0000-0000-00006B5B0000}"/>
    <cellStyle name="Normal 4 4 3 2 3" xfId="24073" xr:uid="{00000000-0005-0000-0000-00006C5B0000}"/>
    <cellStyle name="Normal 4 4 3 3" xfId="12589" xr:uid="{00000000-0005-0000-0000-00006D5B0000}"/>
    <cellStyle name="Normal 4 4 3 4" xfId="20544" xr:uid="{00000000-0005-0000-0000-00006E5B0000}"/>
    <cellStyle name="Normal 4 4 4" xfId="6394" xr:uid="{00000000-0005-0000-0000-00006F5B0000}"/>
    <cellStyle name="Normal 4 4 4 2" xfId="14369" xr:uid="{00000000-0005-0000-0000-0000705B0000}"/>
    <cellStyle name="Normal 4 4 4 3" xfId="22316" xr:uid="{00000000-0005-0000-0000-0000715B0000}"/>
    <cellStyle name="Normal 4 4 5" xfId="9937" xr:uid="{00000000-0005-0000-0000-0000725B0000}"/>
    <cellStyle name="Normal 4 4 5 2" xfId="17895" xr:uid="{00000000-0005-0000-0000-0000735B0000}"/>
    <cellStyle name="Normal 4 4 5 3" xfId="25839" xr:uid="{00000000-0005-0000-0000-0000745B0000}"/>
    <cellStyle name="Normal 4 4 6" xfId="10833" xr:uid="{00000000-0005-0000-0000-0000755B0000}"/>
    <cellStyle name="Normal 4 4 7" xfId="18788" xr:uid="{00000000-0005-0000-0000-0000765B0000}"/>
    <cellStyle name="Normal 4 4_Exh G" xfId="3532" xr:uid="{00000000-0005-0000-0000-0000775B0000}"/>
    <cellStyle name="Normal 4 5" xfId="1045" xr:uid="{00000000-0005-0000-0000-0000785B0000}"/>
    <cellStyle name="Normal 4 6" xfId="3698" xr:uid="{00000000-0005-0000-0000-0000795B0000}"/>
    <cellStyle name="Normal 4 7" xfId="5468" xr:uid="{00000000-0005-0000-0000-00007A5B0000}"/>
    <cellStyle name="Normal 4 8" xfId="5476" xr:uid="{00000000-0005-0000-0000-00007B5B0000}"/>
    <cellStyle name="Normal 4 9" xfId="5491" xr:uid="{00000000-0005-0000-0000-00007C5B0000}"/>
    <cellStyle name="Normal 4_Exh G" xfId="3523" xr:uid="{00000000-0005-0000-0000-00007D5B0000}"/>
    <cellStyle name="Normal 40" xfId="5494" xr:uid="{00000000-0005-0000-0000-00007E5B0000}"/>
    <cellStyle name="Normal 40 2" xfId="13492" xr:uid="{00000000-0005-0000-0000-00007F5B0000}"/>
    <cellStyle name="Normal 41" xfId="5499" xr:uid="{00000000-0005-0000-0000-0000805B0000}"/>
    <cellStyle name="Normal 41 2" xfId="13496" xr:uid="{00000000-0005-0000-0000-0000815B0000}"/>
    <cellStyle name="Normal 42" xfId="5500" xr:uid="{00000000-0005-0000-0000-0000825B0000}"/>
    <cellStyle name="Normal 42 2" xfId="13497" xr:uid="{00000000-0005-0000-0000-0000835B0000}"/>
    <cellStyle name="Normal 43" xfId="5504" xr:uid="{00000000-0005-0000-0000-0000845B0000}"/>
    <cellStyle name="Normal 43 2" xfId="13501" xr:uid="{00000000-0005-0000-0000-0000855B0000}"/>
    <cellStyle name="Normal 44" xfId="6248" xr:uid="{00000000-0005-0000-0000-0000865B0000}"/>
    <cellStyle name="Normal 44 2" xfId="14223" xr:uid="{00000000-0005-0000-0000-0000875B0000}"/>
    <cellStyle name="Normal 45" xfId="9069" xr:uid="{00000000-0005-0000-0000-0000885B0000}"/>
    <cellStyle name="Normal 45 2" xfId="17028" xr:uid="{00000000-0005-0000-0000-0000895B0000}"/>
    <cellStyle name="Normal 46" xfId="9070" xr:uid="{00000000-0005-0000-0000-00008A5B0000}"/>
    <cellStyle name="Normal 46 2" xfId="17029" xr:uid="{00000000-0005-0000-0000-00008B5B0000}"/>
    <cellStyle name="Normal 47" xfId="9952" xr:uid="{00000000-0005-0000-0000-00008C5B0000}"/>
    <cellStyle name="Normal 47 2" xfId="17910" xr:uid="{00000000-0005-0000-0000-00008D5B0000}"/>
    <cellStyle name="Normal 47 3" xfId="25854" xr:uid="{00000000-0005-0000-0000-00008E5B0000}"/>
    <cellStyle name="Normal 48" xfId="9954" xr:uid="{00000000-0005-0000-0000-00008F5B0000}"/>
    <cellStyle name="Normal 48 2" xfId="17912" xr:uid="{00000000-0005-0000-0000-0000905B0000}"/>
    <cellStyle name="Normal 48 3" xfId="25856" xr:uid="{00000000-0005-0000-0000-0000915B0000}"/>
    <cellStyle name="Normal 49" xfId="9956" xr:uid="{00000000-0005-0000-0000-0000925B0000}"/>
    <cellStyle name="Normal 5" xfId="8" xr:uid="{00000000-0005-0000-0000-0000935B0000}"/>
    <cellStyle name="Normal 5 2" xfId="814" xr:uid="{00000000-0005-0000-0000-0000945B0000}"/>
    <cellStyle name="Normal 5 2 10" xfId="9791" xr:uid="{00000000-0005-0000-0000-0000955B0000}"/>
    <cellStyle name="Normal 5 2 10 2" xfId="17749" xr:uid="{00000000-0005-0000-0000-0000965B0000}"/>
    <cellStyle name="Normal 5 2 10 3" xfId="25693" xr:uid="{00000000-0005-0000-0000-0000975B0000}"/>
    <cellStyle name="Normal 5 2 11" xfId="10687" xr:uid="{00000000-0005-0000-0000-0000985B0000}"/>
    <cellStyle name="Normal 5 2 12" xfId="18642" xr:uid="{00000000-0005-0000-0000-0000995B0000}"/>
    <cellStyle name="Normal 5 2 2" xfId="1023" xr:uid="{00000000-0005-0000-0000-00009A5B0000}"/>
    <cellStyle name="Normal 5 2 2 2" xfId="1928" xr:uid="{00000000-0005-0000-0000-00009B5B0000}"/>
    <cellStyle name="Normal 5 2 2 2 2" xfId="5446" xr:uid="{00000000-0005-0000-0000-00009C5B0000}"/>
    <cellStyle name="Normal 5 2 2 2 2 2" xfId="9037" xr:uid="{00000000-0005-0000-0000-00009D5B0000}"/>
    <cellStyle name="Normal 5 2 2 2 2 2 2" xfId="17008" xr:uid="{00000000-0005-0000-0000-00009E5B0000}"/>
    <cellStyle name="Normal 5 2 2 2 2 2 3" xfId="24954" xr:uid="{00000000-0005-0000-0000-00009F5B0000}"/>
    <cellStyle name="Normal 5 2 2 2 2 3" xfId="13470" xr:uid="{00000000-0005-0000-0000-0000A05B0000}"/>
    <cellStyle name="Normal 5 2 2 2 2 4" xfId="21425" xr:uid="{00000000-0005-0000-0000-0000A15B0000}"/>
    <cellStyle name="Normal 5 2 2 2 3" xfId="7278" xr:uid="{00000000-0005-0000-0000-0000A25B0000}"/>
    <cellStyle name="Normal 5 2 2 2 3 2" xfId="15250" xr:uid="{00000000-0005-0000-0000-0000A35B0000}"/>
    <cellStyle name="Normal 5 2 2 2 3 3" xfId="23197" xr:uid="{00000000-0005-0000-0000-0000A45B0000}"/>
    <cellStyle name="Normal 5 2 2 2 4" xfId="11714" xr:uid="{00000000-0005-0000-0000-0000A55B0000}"/>
    <cellStyle name="Normal 5 2 2 2 5" xfId="19669" xr:uid="{00000000-0005-0000-0000-0000A65B0000}"/>
    <cellStyle name="Normal 5 2 2 2_Exh G" xfId="3536" xr:uid="{00000000-0005-0000-0000-0000A75B0000}"/>
    <cellStyle name="Normal 5 2 2 3" xfId="4567" xr:uid="{00000000-0005-0000-0000-0000A85B0000}"/>
    <cellStyle name="Normal 5 2 2 3 2" xfId="8159" xr:uid="{00000000-0005-0000-0000-0000A95B0000}"/>
    <cellStyle name="Normal 5 2 2 3 2 2" xfId="16130" xr:uid="{00000000-0005-0000-0000-0000AA5B0000}"/>
    <cellStyle name="Normal 5 2 2 3 2 3" xfId="24076" xr:uid="{00000000-0005-0000-0000-0000AB5B0000}"/>
    <cellStyle name="Normal 5 2 2 3 3" xfId="12592" xr:uid="{00000000-0005-0000-0000-0000AC5B0000}"/>
    <cellStyle name="Normal 5 2 2 3 4" xfId="20547" xr:uid="{00000000-0005-0000-0000-0000AD5B0000}"/>
    <cellStyle name="Normal 5 2 2 4" xfId="6397" xr:uid="{00000000-0005-0000-0000-0000AE5B0000}"/>
    <cellStyle name="Normal 5 2 2 4 2" xfId="14372" xr:uid="{00000000-0005-0000-0000-0000AF5B0000}"/>
    <cellStyle name="Normal 5 2 2 4 3" xfId="22319" xr:uid="{00000000-0005-0000-0000-0000B05B0000}"/>
    <cellStyle name="Normal 5 2 2 5" xfId="9940" xr:uid="{00000000-0005-0000-0000-0000B15B0000}"/>
    <cellStyle name="Normal 5 2 2 5 2" xfId="17898" xr:uid="{00000000-0005-0000-0000-0000B25B0000}"/>
    <cellStyle name="Normal 5 2 2 5 3" xfId="25842" xr:uid="{00000000-0005-0000-0000-0000B35B0000}"/>
    <cellStyle name="Normal 5 2 2 6" xfId="10836" xr:uid="{00000000-0005-0000-0000-0000B45B0000}"/>
    <cellStyle name="Normal 5 2 2 7" xfId="18791" xr:uid="{00000000-0005-0000-0000-0000B55B0000}"/>
    <cellStyle name="Normal 5 2 2_Exh G" xfId="3535" xr:uid="{00000000-0005-0000-0000-0000B65B0000}"/>
    <cellStyle name="Normal 5 2 3" xfId="1768" xr:uid="{00000000-0005-0000-0000-0000B75B0000}"/>
    <cellStyle name="Normal 5 2 3 2" xfId="5297" xr:uid="{00000000-0005-0000-0000-0000B85B0000}"/>
    <cellStyle name="Normal 5 2 3 2 2" xfId="8888" xr:uid="{00000000-0005-0000-0000-0000B95B0000}"/>
    <cellStyle name="Normal 5 2 3 2 2 2" xfId="16859" xr:uid="{00000000-0005-0000-0000-0000BA5B0000}"/>
    <cellStyle name="Normal 5 2 3 2 2 3" xfId="24805" xr:uid="{00000000-0005-0000-0000-0000BB5B0000}"/>
    <cellStyle name="Normal 5 2 3 2 3" xfId="13321" xr:uid="{00000000-0005-0000-0000-0000BC5B0000}"/>
    <cellStyle name="Normal 5 2 3 2 4" xfId="21276" xr:uid="{00000000-0005-0000-0000-0000BD5B0000}"/>
    <cellStyle name="Normal 5 2 3 3" xfId="7129" xr:uid="{00000000-0005-0000-0000-0000BE5B0000}"/>
    <cellStyle name="Normal 5 2 3 3 2" xfId="15101" xr:uid="{00000000-0005-0000-0000-0000BF5B0000}"/>
    <cellStyle name="Normal 5 2 3 3 3" xfId="23048" xr:uid="{00000000-0005-0000-0000-0000C05B0000}"/>
    <cellStyle name="Normal 5 2 3 4" xfId="11565" xr:uid="{00000000-0005-0000-0000-0000C15B0000}"/>
    <cellStyle name="Normal 5 2 3 5" xfId="19520" xr:uid="{00000000-0005-0000-0000-0000C25B0000}"/>
    <cellStyle name="Normal 5 2 3_Exh G" xfId="3537" xr:uid="{00000000-0005-0000-0000-0000C35B0000}"/>
    <cellStyle name="Normal 5 2 4" xfId="4418" xr:uid="{00000000-0005-0000-0000-0000C45B0000}"/>
    <cellStyle name="Normal 5 2 4 2" xfId="8010" xr:uid="{00000000-0005-0000-0000-0000C55B0000}"/>
    <cellStyle name="Normal 5 2 4 2 2" xfId="15981" xr:uid="{00000000-0005-0000-0000-0000C65B0000}"/>
    <cellStyle name="Normal 5 2 4 2 3" xfId="23927" xr:uid="{00000000-0005-0000-0000-0000C75B0000}"/>
    <cellStyle name="Normal 5 2 4 3" xfId="12443" xr:uid="{00000000-0005-0000-0000-0000C85B0000}"/>
    <cellStyle name="Normal 5 2 4 4" xfId="20398" xr:uid="{00000000-0005-0000-0000-0000C95B0000}"/>
    <cellStyle name="Normal 5 2 5" xfId="5474" xr:uid="{00000000-0005-0000-0000-0000CA5B0000}"/>
    <cellStyle name="Normal 5 2 5 2" xfId="9058" xr:uid="{00000000-0005-0000-0000-0000CB5B0000}"/>
    <cellStyle name="Normal 5 2 6" xfId="5480" xr:uid="{00000000-0005-0000-0000-0000CC5B0000}"/>
    <cellStyle name="Normal 5 2 6 2" xfId="9060" xr:uid="{00000000-0005-0000-0000-0000CD5B0000}"/>
    <cellStyle name="Normal 5 2 7" xfId="6242" xr:uid="{00000000-0005-0000-0000-0000CE5B0000}"/>
    <cellStyle name="Normal 5 2 7 2" xfId="14222" xr:uid="{00000000-0005-0000-0000-0000CF5B0000}"/>
    <cellStyle name="Normal 5 2 7 3" xfId="22170" xr:uid="{00000000-0005-0000-0000-0000D05B0000}"/>
    <cellStyle name="Normal 5 2 8" xfId="5512" xr:uid="{00000000-0005-0000-0000-0000D15B0000}"/>
    <cellStyle name="Normal 5 2 9" xfId="6243" xr:uid="{00000000-0005-0000-0000-0000D25B0000}"/>
    <cellStyle name="Normal 5 2_Exh G" xfId="3534" xr:uid="{00000000-0005-0000-0000-0000D35B0000}"/>
    <cellStyle name="Normal 5 3" xfId="1022" xr:uid="{00000000-0005-0000-0000-0000D45B0000}"/>
    <cellStyle name="Normal 5 3 2" xfId="1927" xr:uid="{00000000-0005-0000-0000-0000D55B0000}"/>
    <cellStyle name="Normal 5 3 2 2" xfId="5445" xr:uid="{00000000-0005-0000-0000-0000D65B0000}"/>
    <cellStyle name="Normal 5 3 2 2 2" xfId="9036" xr:uid="{00000000-0005-0000-0000-0000D75B0000}"/>
    <cellStyle name="Normal 5 3 2 2 2 2" xfId="17007" xr:uid="{00000000-0005-0000-0000-0000D85B0000}"/>
    <cellStyle name="Normal 5 3 2 2 2 3" xfId="24953" xr:uid="{00000000-0005-0000-0000-0000D95B0000}"/>
    <cellStyle name="Normal 5 3 2 2 3" xfId="13469" xr:uid="{00000000-0005-0000-0000-0000DA5B0000}"/>
    <cellStyle name="Normal 5 3 2 2 4" xfId="21424" xr:uid="{00000000-0005-0000-0000-0000DB5B0000}"/>
    <cellStyle name="Normal 5 3 2 3" xfId="7277" xr:uid="{00000000-0005-0000-0000-0000DC5B0000}"/>
    <cellStyle name="Normal 5 3 2 3 2" xfId="15249" xr:uid="{00000000-0005-0000-0000-0000DD5B0000}"/>
    <cellStyle name="Normal 5 3 2 3 3" xfId="23196" xr:uid="{00000000-0005-0000-0000-0000DE5B0000}"/>
    <cellStyle name="Normal 5 3 2 4" xfId="11713" xr:uid="{00000000-0005-0000-0000-0000DF5B0000}"/>
    <cellStyle name="Normal 5 3 2 5" xfId="19668" xr:uid="{00000000-0005-0000-0000-0000E05B0000}"/>
    <cellStyle name="Normal 5 3 2_Exh G" xfId="3539" xr:uid="{00000000-0005-0000-0000-0000E15B0000}"/>
    <cellStyle name="Normal 5 3 3" xfId="4566" xr:uid="{00000000-0005-0000-0000-0000E25B0000}"/>
    <cellStyle name="Normal 5 3 3 2" xfId="8158" xr:uid="{00000000-0005-0000-0000-0000E35B0000}"/>
    <cellStyle name="Normal 5 3 3 2 2" xfId="16129" xr:uid="{00000000-0005-0000-0000-0000E45B0000}"/>
    <cellStyle name="Normal 5 3 3 2 3" xfId="24075" xr:uid="{00000000-0005-0000-0000-0000E55B0000}"/>
    <cellStyle name="Normal 5 3 3 3" xfId="12591" xr:uid="{00000000-0005-0000-0000-0000E65B0000}"/>
    <cellStyle name="Normal 5 3 3 4" xfId="20546" xr:uid="{00000000-0005-0000-0000-0000E75B0000}"/>
    <cellStyle name="Normal 5 3 4" xfId="6396" xr:uid="{00000000-0005-0000-0000-0000E85B0000}"/>
    <cellStyle name="Normal 5 3 4 2" xfId="14371" xr:uid="{00000000-0005-0000-0000-0000E95B0000}"/>
    <cellStyle name="Normal 5 3 4 3" xfId="22318" xr:uid="{00000000-0005-0000-0000-0000EA5B0000}"/>
    <cellStyle name="Normal 5 3 5" xfId="9939" xr:uid="{00000000-0005-0000-0000-0000EB5B0000}"/>
    <cellStyle name="Normal 5 3 5 2" xfId="17897" xr:uid="{00000000-0005-0000-0000-0000EC5B0000}"/>
    <cellStyle name="Normal 5 3 5 3" xfId="25841" xr:uid="{00000000-0005-0000-0000-0000ED5B0000}"/>
    <cellStyle name="Normal 5 3 6" xfId="10835" xr:uid="{00000000-0005-0000-0000-0000EE5B0000}"/>
    <cellStyle name="Normal 5 3 7" xfId="18790" xr:uid="{00000000-0005-0000-0000-0000EF5B0000}"/>
    <cellStyle name="Normal 5 3_Exh G" xfId="3538" xr:uid="{00000000-0005-0000-0000-0000F05B0000}"/>
    <cellStyle name="Normal 5 4" xfId="5470" xr:uid="{00000000-0005-0000-0000-0000F15B0000}"/>
    <cellStyle name="Normal 5 5" xfId="5477" xr:uid="{00000000-0005-0000-0000-0000F25B0000}"/>
    <cellStyle name="Normal 5 6" xfId="5492" xr:uid="{00000000-0005-0000-0000-0000F35B0000}"/>
    <cellStyle name="Normal 5 7" xfId="5519" xr:uid="{00000000-0005-0000-0000-0000F45B0000}"/>
    <cellStyle name="Normal 5 8" xfId="5509" xr:uid="{00000000-0005-0000-0000-0000F55B0000}"/>
    <cellStyle name="Normal 5 9" xfId="9051" xr:uid="{00000000-0005-0000-0000-0000F65B0000}"/>
    <cellStyle name="Normal 50" xfId="9957" xr:uid="{00000000-0005-0000-0000-0000F75B0000}"/>
    <cellStyle name="Normal 50 2" xfId="17914" xr:uid="{00000000-0005-0000-0000-0000F85B0000}"/>
    <cellStyle name="Normal 51" xfId="9958" xr:uid="{00000000-0005-0000-0000-0000F95B0000}"/>
    <cellStyle name="Normal 51 2" xfId="17915" xr:uid="{00000000-0005-0000-0000-0000FA5B0000}"/>
    <cellStyle name="Normal 52" xfId="9961" xr:uid="{00000000-0005-0000-0000-0000FB5B0000}"/>
    <cellStyle name="Normal 52 2" xfId="17918" xr:uid="{00000000-0005-0000-0000-0000FC5B0000}"/>
    <cellStyle name="Normal 53" xfId="9962" xr:uid="{00000000-0005-0000-0000-0000FD5B0000}"/>
    <cellStyle name="Normal 53 2" xfId="17919" xr:uid="{00000000-0005-0000-0000-0000FE5B0000}"/>
    <cellStyle name="Normal 54" xfId="9963" xr:uid="{00000000-0005-0000-0000-0000FF5B0000}"/>
    <cellStyle name="Normal 54 2" xfId="17920" xr:uid="{00000000-0005-0000-0000-0000005C0000}"/>
    <cellStyle name="Normal 55" xfId="9964" xr:uid="{00000000-0005-0000-0000-0000015C0000}"/>
    <cellStyle name="Normal 55 2" xfId="17921" xr:uid="{00000000-0005-0000-0000-0000025C0000}"/>
    <cellStyle name="Normal 56" xfId="9965" xr:uid="{00000000-0005-0000-0000-0000035C0000}"/>
    <cellStyle name="Normal 56 2" xfId="17922" xr:uid="{00000000-0005-0000-0000-0000045C0000}"/>
    <cellStyle name="Normal 57" xfId="9966" xr:uid="{00000000-0005-0000-0000-0000055C0000}"/>
    <cellStyle name="Normal 57 2" xfId="17923" xr:uid="{00000000-0005-0000-0000-0000065C0000}"/>
    <cellStyle name="Normal 57 3" xfId="25860" xr:uid="{00000000-0005-0000-0000-0000075C0000}"/>
    <cellStyle name="Normal 58" xfId="9967" xr:uid="{00000000-0005-0000-0000-0000085C0000}"/>
    <cellStyle name="Normal 59" xfId="25863" xr:uid="{00000000-0005-0000-0000-0000095C0000}"/>
    <cellStyle name="Normal 6" xfId="10" xr:uid="{00000000-0005-0000-0000-00000A5C0000}"/>
    <cellStyle name="Normal 6 2" xfId="674" xr:uid="{00000000-0005-0000-0000-00000B5C0000}"/>
    <cellStyle name="Normal 6 2 2" xfId="675" xr:uid="{00000000-0005-0000-0000-00000C5C0000}"/>
    <cellStyle name="Normal 6 2 2 2" xfId="1703" xr:uid="{00000000-0005-0000-0000-00000D5C0000}"/>
    <cellStyle name="Normal 6 2 2 2 2" xfId="5233" xr:uid="{00000000-0005-0000-0000-00000E5C0000}"/>
    <cellStyle name="Normal 6 2 2 2 2 2" xfId="8824" xr:uid="{00000000-0005-0000-0000-00000F5C0000}"/>
    <cellStyle name="Normal 6 2 2 2 2 2 2" xfId="16795" xr:uid="{00000000-0005-0000-0000-0000105C0000}"/>
    <cellStyle name="Normal 6 2 2 2 2 2 3" xfId="24741" xr:uid="{00000000-0005-0000-0000-0000115C0000}"/>
    <cellStyle name="Normal 6 2 2 2 2 3" xfId="13257" xr:uid="{00000000-0005-0000-0000-0000125C0000}"/>
    <cellStyle name="Normal 6 2 2 2 2 4" xfId="21212" xr:uid="{00000000-0005-0000-0000-0000135C0000}"/>
    <cellStyle name="Normal 6 2 2 2 3" xfId="7065" xr:uid="{00000000-0005-0000-0000-0000145C0000}"/>
    <cellStyle name="Normal 6 2 2 2 3 2" xfId="15037" xr:uid="{00000000-0005-0000-0000-0000155C0000}"/>
    <cellStyle name="Normal 6 2 2 2 3 3" xfId="22984" xr:uid="{00000000-0005-0000-0000-0000165C0000}"/>
    <cellStyle name="Normal 6 2 2 2 4" xfId="11501" xr:uid="{00000000-0005-0000-0000-0000175C0000}"/>
    <cellStyle name="Normal 6 2 2 2 5" xfId="19456" xr:uid="{00000000-0005-0000-0000-0000185C0000}"/>
    <cellStyle name="Normal 6 2 2 2_Exh G" xfId="3542" xr:uid="{00000000-0005-0000-0000-0000195C0000}"/>
    <cellStyle name="Normal 6 2 2 3" xfId="4354" xr:uid="{00000000-0005-0000-0000-00001A5C0000}"/>
    <cellStyle name="Normal 6 2 2 3 2" xfId="7946" xr:uid="{00000000-0005-0000-0000-00001B5C0000}"/>
    <cellStyle name="Normal 6 2 2 3 2 2" xfId="15917" xr:uid="{00000000-0005-0000-0000-00001C5C0000}"/>
    <cellStyle name="Normal 6 2 2 3 2 3" xfId="23863" xr:uid="{00000000-0005-0000-0000-00001D5C0000}"/>
    <cellStyle name="Normal 6 2 2 3 3" xfId="12379" xr:uid="{00000000-0005-0000-0000-00001E5C0000}"/>
    <cellStyle name="Normal 6 2 2 3 4" xfId="20334" xr:uid="{00000000-0005-0000-0000-00001F5C0000}"/>
    <cellStyle name="Normal 6 2 2 4" xfId="6174" xr:uid="{00000000-0005-0000-0000-0000205C0000}"/>
    <cellStyle name="Normal 6 2 2 4 2" xfId="14158" xr:uid="{00000000-0005-0000-0000-0000215C0000}"/>
    <cellStyle name="Normal 6 2 2 4 3" xfId="22106" xr:uid="{00000000-0005-0000-0000-0000225C0000}"/>
    <cellStyle name="Normal 6 2 2 5" xfId="9727" xr:uid="{00000000-0005-0000-0000-0000235C0000}"/>
    <cellStyle name="Normal 6 2 2 5 2" xfId="17685" xr:uid="{00000000-0005-0000-0000-0000245C0000}"/>
    <cellStyle name="Normal 6 2 2 5 3" xfId="25629" xr:uid="{00000000-0005-0000-0000-0000255C0000}"/>
    <cellStyle name="Normal 6 2 2 6" xfId="10623" xr:uid="{00000000-0005-0000-0000-0000265C0000}"/>
    <cellStyle name="Normal 6 2 2 7" xfId="18578" xr:uid="{00000000-0005-0000-0000-0000275C0000}"/>
    <cellStyle name="Normal 6 2 2_Exh G" xfId="3541" xr:uid="{00000000-0005-0000-0000-0000285C0000}"/>
    <cellStyle name="Normal 6 2 3" xfId="1702" xr:uid="{00000000-0005-0000-0000-0000295C0000}"/>
    <cellStyle name="Normal 6 2 3 2" xfId="5232" xr:uid="{00000000-0005-0000-0000-00002A5C0000}"/>
    <cellStyle name="Normal 6 2 3 2 2" xfId="8823" xr:uid="{00000000-0005-0000-0000-00002B5C0000}"/>
    <cellStyle name="Normal 6 2 3 2 2 2" xfId="16794" xr:uid="{00000000-0005-0000-0000-00002C5C0000}"/>
    <cellStyle name="Normal 6 2 3 2 2 3" xfId="24740" xr:uid="{00000000-0005-0000-0000-00002D5C0000}"/>
    <cellStyle name="Normal 6 2 3 2 3" xfId="13256" xr:uid="{00000000-0005-0000-0000-00002E5C0000}"/>
    <cellStyle name="Normal 6 2 3 2 4" xfId="21211" xr:uid="{00000000-0005-0000-0000-00002F5C0000}"/>
    <cellStyle name="Normal 6 2 3 3" xfId="7064" xr:uid="{00000000-0005-0000-0000-0000305C0000}"/>
    <cellStyle name="Normal 6 2 3 3 2" xfId="15036" xr:uid="{00000000-0005-0000-0000-0000315C0000}"/>
    <cellStyle name="Normal 6 2 3 3 3" xfId="22983" xr:uid="{00000000-0005-0000-0000-0000325C0000}"/>
    <cellStyle name="Normal 6 2 3 4" xfId="11500" xr:uid="{00000000-0005-0000-0000-0000335C0000}"/>
    <cellStyle name="Normal 6 2 3 5" xfId="19455" xr:uid="{00000000-0005-0000-0000-0000345C0000}"/>
    <cellStyle name="Normal 6 2 3_Exh G" xfId="3543" xr:uid="{00000000-0005-0000-0000-0000355C0000}"/>
    <cellStyle name="Normal 6 2 4" xfId="4353" xr:uid="{00000000-0005-0000-0000-0000365C0000}"/>
    <cellStyle name="Normal 6 2 4 2" xfId="7945" xr:uid="{00000000-0005-0000-0000-0000375C0000}"/>
    <cellStyle name="Normal 6 2 4 2 2" xfId="15916" xr:uid="{00000000-0005-0000-0000-0000385C0000}"/>
    <cellStyle name="Normal 6 2 4 2 3" xfId="23862" xr:uid="{00000000-0005-0000-0000-0000395C0000}"/>
    <cellStyle name="Normal 6 2 4 3" xfId="12378" xr:uid="{00000000-0005-0000-0000-00003A5C0000}"/>
    <cellStyle name="Normal 6 2 4 4" xfId="20333" xr:uid="{00000000-0005-0000-0000-00003B5C0000}"/>
    <cellStyle name="Normal 6 2 5" xfId="6173" xr:uid="{00000000-0005-0000-0000-00003C5C0000}"/>
    <cellStyle name="Normal 6 2 5 2" xfId="14157" xr:uid="{00000000-0005-0000-0000-00003D5C0000}"/>
    <cellStyle name="Normal 6 2 5 3" xfId="22105" xr:uid="{00000000-0005-0000-0000-00003E5C0000}"/>
    <cellStyle name="Normal 6 2 6" xfId="9726" xr:uid="{00000000-0005-0000-0000-00003F5C0000}"/>
    <cellStyle name="Normal 6 2 6 2" xfId="17684" xr:uid="{00000000-0005-0000-0000-0000405C0000}"/>
    <cellStyle name="Normal 6 2 6 3" xfId="25628" xr:uid="{00000000-0005-0000-0000-0000415C0000}"/>
    <cellStyle name="Normal 6 2 7" xfId="10622" xr:uid="{00000000-0005-0000-0000-0000425C0000}"/>
    <cellStyle name="Normal 6 2 8" xfId="18577" xr:uid="{00000000-0005-0000-0000-0000435C0000}"/>
    <cellStyle name="Normal 6 2_Exh G" xfId="3540" xr:uid="{00000000-0005-0000-0000-0000445C0000}"/>
    <cellStyle name="Normal 6 3" xfId="676" xr:uid="{00000000-0005-0000-0000-0000455C0000}"/>
    <cellStyle name="Normal 6 3 2" xfId="1704" xr:uid="{00000000-0005-0000-0000-0000465C0000}"/>
    <cellStyle name="Normal 6 3 2 2" xfId="5234" xr:uid="{00000000-0005-0000-0000-0000475C0000}"/>
    <cellStyle name="Normal 6 3 2 2 2" xfId="8825" xr:uid="{00000000-0005-0000-0000-0000485C0000}"/>
    <cellStyle name="Normal 6 3 2 2 2 2" xfId="16796" xr:uid="{00000000-0005-0000-0000-0000495C0000}"/>
    <cellStyle name="Normal 6 3 2 2 2 3" xfId="24742" xr:uid="{00000000-0005-0000-0000-00004A5C0000}"/>
    <cellStyle name="Normal 6 3 2 2 3" xfId="13258" xr:uid="{00000000-0005-0000-0000-00004B5C0000}"/>
    <cellStyle name="Normal 6 3 2 2 4" xfId="21213" xr:uid="{00000000-0005-0000-0000-00004C5C0000}"/>
    <cellStyle name="Normal 6 3 2 3" xfId="7066" xr:uid="{00000000-0005-0000-0000-00004D5C0000}"/>
    <cellStyle name="Normal 6 3 2 3 2" xfId="15038" xr:uid="{00000000-0005-0000-0000-00004E5C0000}"/>
    <cellStyle name="Normal 6 3 2 3 3" xfId="22985" xr:uid="{00000000-0005-0000-0000-00004F5C0000}"/>
    <cellStyle name="Normal 6 3 2 4" xfId="11502" xr:uid="{00000000-0005-0000-0000-0000505C0000}"/>
    <cellStyle name="Normal 6 3 2 5" xfId="19457" xr:uid="{00000000-0005-0000-0000-0000515C0000}"/>
    <cellStyle name="Normal 6 3 2_Exh G" xfId="3545" xr:uid="{00000000-0005-0000-0000-0000525C0000}"/>
    <cellStyle name="Normal 6 3 3" xfId="4355" xr:uid="{00000000-0005-0000-0000-0000535C0000}"/>
    <cellStyle name="Normal 6 3 3 2" xfId="7947" xr:uid="{00000000-0005-0000-0000-0000545C0000}"/>
    <cellStyle name="Normal 6 3 3 2 2" xfId="15918" xr:uid="{00000000-0005-0000-0000-0000555C0000}"/>
    <cellStyle name="Normal 6 3 3 2 3" xfId="23864" xr:uid="{00000000-0005-0000-0000-0000565C0000}"/>
    <cellStyle name="Normal 6 3 3 3" xfId="12380" xr:uid="{00000000-0005-0000-0000-0000575C0000}"/>
    <cellStyle name="Normal 6 3 3 4" xfId="20335" xr:uid="{00000000-0005-0000-0000-0000585C0000}"/>
    <cellStyle name="Normal 6 3 4" xfId="6175" xr:uid="{00000000-0005-0000-0000-0000595C0000}"/>
    <cellStyle name="Normal 6 3 4 2" xfId="14159" xr:uid="{00000000-0005-0000-0000-00005A5C0000}"/>
    <cellStyle name="Normal 6 3 4 3" xfId="22107" xr:uid="{00000000-0005-0000-0000-00005B5C0000}"/>
    <cellStyle name="Normal 6 3 5" xfId="9728" xr:uid="{00000000-0005-0000-0000-00005C5C0000}"/>
    <cellStyle name="Normal 6 3 5 2" xfId="17686" xr:uid="{00000000-0005-0000-0000-00005D5C0000}"/>
    <cellStyle name="Normal 6 3 5 3" xfId="25630" xr:uid="{00000000-0005-0000-0000-00005E5C0000}"/>
    <cellStyle name="Normal 6 3 6" xfId="10624" xr:uid="{00000000-0005-0000-0000-00005F5C0000}"/>
    <cellStyle name="Normal 6 3 7" xfId="18579" xr:uid="{00000000-0005-0000-0000-0000605C0000}"/>
    <cellStyle name="Normal 6 3_Exh G" xfId="3544" xr:uid="{00000000-0005-0000-0000-0000615C0000}"/>
    <cellStyle name="Normal 6 4" xfId="1024" xr:uid="{00000000-0005-0000-0000-0000625C0000}"/>
    <cellStyle name="Normal 7" xfId="17" xr:uid="{00000000-0005-0000-0000-0000635C0000}"/>
    <cellStyle name="Normal 7 2" xfId="677" xr:uid="{00000000-0005-0000-0000-0000645C0000}"/>
    <cellStyle name="Normal 7 2 2" xfId="678" xr:uid="{00000000-0005-0000-0000-0000655C0000}"/>
    <cellStyle name="Normal 7 2 2 2" xfId="1706" xr:uid="{00000000-0005-0000-0000-0000665C0000}"/>
    <cellStyle name="Normal 7 2 2 2 2" xfId="5236" xr:uid="{00000000-0005-0000-0000-0000675C0000}"/>
    <cellStyle name="Normal 7 2 2 2 2 2" xfId="8827" xr:uid="{00000000-0005-0000-0000-0000685C0000}"/>
    <cellStyle name="Normal 7 2 2 2 2 2 2" xfId="16798" xr:uid="{00000000-0005-0000-0000-0000695C0000}"/>
    <cellStyle name="Normal 7 2 2 2 2 2 3" xfId="24744" xr:uid="{00000000-0005-0000-0000-00006A5C0000}"/>
    <cellStyle name="Normal 7 2 2 2 2 3" xfId="13260" xr:uid="{00000000-0005-0000-0000-00006B5C0000}"/>
    <cellStyle name="Normal 7 2 2 2 2 4" xfId="21215" xr:uid="{00000000-0005-0000-0000-00006C5C0000}"/>
    <cellStyle name="Normal 7 2 2 2 3" xfId="7068" xr:uid="{00000000-0005-0000-0000-00006D5C0000}"/>
    <cellStyle name="Normal 7 2 2 2 3 2" xfId="15040" xr:uid="{00000000-0005-0000-0000-00006E5C0000}"/>
    <cellStyle name="Normal 7 2 2 2 3 3" xfId="22987" xr:uid="{00000000-0005-0000-0000-00006F5C0000}"/>
    <cellStyle name="Normal 7 2 2 2 4" xfId="11504" xr:uid="{00000000-0005-0000-0000-0000705C0000}"/>
    <cellStyle name="Normal 7 2 2 2 5" xfId="19459" xr:uid="{00000000-0005-0000-0000-0000715C0000}"/>
    <cellStyle name="Normal 7 2 2 2_Exh G" xfId="3548" xr:uid="{00000000-0005-0000-0000-0000725C0000}"/>
    <cellStyle name="Normal 7 2 2 3" xfId="4357" xr:uid="{00000000-0005-0000-0000-0000735C0000}"/>
    <cellStyle name="Normal 7 2 2 3 2" xfId="7949" xr:uid="{00000000-0005-0000-0000-0000745C0000}"/>
    <cellStyle name="Normal 7 2 2 3 2 2" xfId="15920" xr:uid="{00000000-0005-0000-0000-0000755C0000}"/>
    <cellStyle name="Normal 7 2 2 3 2 3" xfId="23866" xr:uid="{00000000-0005-0000-0000-0000765C0000}"/>
    <cellStyle name="Normal 7 2 2 3 3" xfId="12382" xr:uid="{00000000-0005-0000-0000-0000775C0000}"/>
    <cellStyle name="Normal 7 2 2 3 4" xfId="20337" xr:uid="{00000000-0005-0000-0000-0000785C0000}"/>
    <cellStyle name="Normal 7 2 2 4" xfId="6177" xr:uid="{00000000-0005-0000-0000-0000795C0000}"/>
    <cellStyle name="Normal 7 2 2 4 2" xfId="14161" xr:uid="{00000000-0005-0000-0000-00007A5C0000}"/>
    <cellStyle name="Normal 7 2 2 4 3" xfId="22109" xr:uid="{00000000-0005-0000-0000-00007B5C0000}"/>
    <cellStyle name="Normal 7 2 2 5" xfId="9730" xr:uid="{00000000-0005-0000-0000-00007C5C0000}"/>
    <cellStyle name="Normal 7 2 2 5 2" xfId="17688" xr:uid="{00000000-0005-0000-0000-00007D5C0000}"/>
    <cellStyle name="Normal 7 2 2 5 3" xfId="25632" xr:uid="{00000000-0005-0000-0000-00007E5C0000}"/>
    <cellStyle name="Normal 7 2 2 6" xfId="10626" xr:uid="{00000000-0005-0000-0000-00007F5C0000}"/>
    <cellStyle name="Normal 7 2 2 7" xfId="18581" xr:uid="{00000000-0005-0000-0000-0000805C0000}"/>
    <cellStyle name="Normal 7 2 2_Exh G" xfId="3547" xr:uid="{00000000-0005-0000-0000-0000815C0000}"/>
    <cellStyle name="Normal 7 2 3" xfId="1705" xr:uid="{00000000-0005-0000-0000-0000825C0000}"/>
    <cellStyle name="Normal 7 2 3 2" xfId="5235" xr:uid="{00000000-0005-0000-0000-0000835C0000}"/>
    <cellStyle name="Normal 7 2 3 2 2" xfId="8826" xr:uid="{00000000-0005-0000-0000-0000845C0000}"/>
    <cellStyle name="Normal 7 2 3 2 2 2" xfId="16797" xr:uid="{00000000-0005-0000-0000-0000855C0000}"/>
    <cellStyle name="Normal 7 2 3 2 2 3" xfId="24743" xr:uid="{00000000-0005-0000-0000-0000865C0000}"/>
    <cellStyle name="Normal 7 2 3 2 3" xfId="13259" xr:uid="{00000000-0005-0000-0000-0000875C0000}"/>
    <cellStyle name="Normal 7 2 3 2 4" xfId="21214" xr:uid="{00000000-0005-0000-0000-0000885C0000}"/>
    <cellStyle name="Normal 7 2 3 3" xfId="7067" xr:uid="{00000000-0005-0000-0000-0000895C0000}"/>
    <cellStyle name="Normal 7 2 3 3 2" xfId="15039" xr:uid="{00000000-0005-0000-0000-00008A5C0000}"/>
    <cellStyle name="Normal 7 2 3 3 3" xfId="22986" xr:uid="{00000000-0005-0000-0000-00008B5C0000}"/>
    <cellStyle name="Normal 7 2 3 4" xfId="11503" xr:uid="{00000000-0005-0000-0000-00008C5C0000}"/>
    <cellStyle name="Normal 7 2 3 5" xfId="19458" xr:uid="{00000000-0005-0000-0000-00008D5C0000}"/>
    <cellStyle name="Normal 7 2 3_Exh G" xfId="3549" xr:uid="{00000000-0005-0000-0000-00008E5C0000}"/>
    <cellStyle name="Normal 7 2 4" xfId="4356" xr:uid="{00000000-0005-0000-0000-00008F5C0000}"/>
    <cellStyle name="Normal 7 2 4 2" xfId="7948" xr:uid="{00000000-0005-0000-0000-0000905C0000}"/>
    <cellStyle name="Normal 7 2 4 2 2" xfId="15919" xr:uid="{00000000-0005-0000-0000-0000915C0000}"/>
    <cellStyle name="Normal 7 2 4 2 3" xfId="23865" xr:uid="{00000000-0005-0000-0000-0000925C0000}"/>
    <cellStyle name="Normal 7 2 4 3" xfId="12381" xr:uid="{00000000-0005-0000-0000-0000935C0000}"/>
    <cellStyle name="Normal 7 2 4 4" xfId="20336" xr:uid="{00000000-0005-0000-0000-0000945C0000}"/>
    <cellStyle name="Normal 7 2 5" xfId="6176" xr:uid="{00000000-0005-0000-0000-0000955C0000}"/>
    <cellStyle name="Normal 7 2 5 2" xfId="14160" xr:uid="{00000000-0005-0000-0000-0000965C0000}"/>
    <cellStyle name="Normal 7 2 5 3" xfId="22108" xr:uid="{00000000-0005-0000-0000-0000975C0000}"/>
    <cellStyle name="Normal 7 2 6" xfId="9729" xr:uid="{00000000-0005-0000-0000-0000985C0000}"/>
    <cellStyle name="Normal 7 2 6 2" xfId="17687" xr:uid="{00000000-0005-0000-0000-0000995C0000}"/>
    <cellStyle name="Normal 7 2 6 3" xfId="25631" xr:uid="{00000000-0005-0000-0000-00009A5C0000}"/>
    <cellStyle name="Normal 7 2 7" xfId="10625" xr:uid="{00000000-0005-0000-0000-00009B5C0000}"/>
    <cellStyle name="Normal 7 2 8" xfId="18580" xr:uid="{00000000-0005-0000-0000-00009C5C0000}"/>
    <cellStyle name="Normal 7 2_Exh G" xfId="3546" xr:uid="{00000000-0005-0000-0000-00009D5C0000}"/>
    <cellStyle name="Normal 7 3" xfId="679" xr:uid="{00000000-0005-0000-0000-00009E5C0000}"/>
    <cellStyle name="Normal 7 3 2" xfId="1707" xr:uid="{00000000-0005-0000-0000-00009F5C0000}"/>
    <cellStyle name="Normal 7 3 2 2" xfId="5237" xr:uid="{00000000-0005-0000-0000-0000A05C0000}"/>
    <cellStyle name="Normal 7 3 2 2 2" xfId="8828" xr:uid="{00000000-0005-0000-0000-0000A15C0000}"/>
    <cellStyle name="Normal 7 3 2 2 2 2" xfId="16799" xr:uid="{00000000-0005-0000-0000-0000A25C0000}"/>
    <cellStyle name="Normal 7 3 2 2 2 3" xfId="24745" xr:uid="{00000000-0005-0000-0000-0000A35C0000}"/>
    <cellStyle name="Normal 7 3 2 2 3" xfId="13261" xr:uid="{00000000-0005-0000-0000-0000A45C0000}"/>
    <cellStyle name="Normal 7 3 2 2 4" xfId="21216" xr:uid="{00000000-0005-0000-0000-0000A55C0000}"/>
    <cellStyle name="Normal 7 3 2 3" xfId="7069" xr:uid="{00000000-0005-0000-0000-0000A65C0000}"/>
    <cellStyle name="Normal 7 3 2 3 2" xfId="15041" xr:uid="{00000000-0005-0000-0000-0000A75C0000}"/>
    <cellStyle name="Normal 7 3 2 3 3" xfId="22988" xr:uid="{00000000-0005-0000-0000-0000A85C0000}"/>
    <cellStyle name="Normal 7 3 2 4" xfId="11505" xr:uid="{00000000-0005-0000-0000-0000A95C0000}"/>
    <cellStyle name="Normal 7 3 2 5" xfId="19460" xr:uid="{00000000-0005-0000-0000-0000AA5C0000}"/>
    <cellStyle name="Normal 7 3 2_Exh G" xfId="3551" xr:uid="{00000000-0005-0000-0000-0000AB5C0000}"/>
    <cellStyle name="Normal 7 3 3" xfId="4358" xr:uid="{00000000-0005-0000-0000-0000AC5C0000}"/>
    <cellStyle name="Normal 7 3 3 2" xfId="7950" xr:uid="{00000000-0005-0000-0000-0000AD5C0000}"/>
    <cellStyle name="Normal 7 3 3 2 2" xfId="15921" xr:uid="{00000000-0005-0000-0000-0000AE5C0000}"/>
    <cellStyle name="Normal 7 3 3 2 3" xfId="23867" xr:uid="{00000000-0005-0000-0000-0000AF5C0000}"/>
    <cellStyle name="Normal 7 3 3 3" xfId="12383" xr:uid="{00000000-0005-0000-0000-0000B05C0000}"/>
    <cellStyle name="Normal 7 3 3 4" xfId="20338" xr:uid="{00000000-0005-0000-0000-0000B15C0000}"/>
    <cellStyle name="Normal 7 3 4" xfId="6178" xr:uid="{00000000-0005-0000-0000-0000B25C0000}"/>
    <cellStyle name="Normal 7 3 4 2" xfId="14162" xr:uid="{00000000-0005-0000-0000-0000B35C0000}"/>
    <cellStyle name="Normal 7 3 4 3" xfId="22110" xr:uid="{00000000-0005-0000-0000-0000B45C0000}"/>
    <cellStyle name="Normal 7 3 5" xfId="9731" xr:uid="{00000000-0005-0000-0000-0000B55C0000}"/>
    <cellStyle name="Normal 7 3 5 2" xfId="17689" xr:uid="{00000000-0005-0000-0000-0000B65C0000}"/>
    <cellStyle name="Normal 7 3 5 3" xfId="25633" xr:uid="{00000000-0005-0000-0000-0000B75C0000}"/>
    <cellStyle name="Normal 7 3 6" xfId="10627" xr:uid="{00000000-0005-0000-0000-0000B85C0000}"/>
    <cellStyle name="Normal 7 3 7" xfId="18582" xr:uid="{00000000-0005-0000-0000-0000B95C0000}"/>
    <cellStyle name="Normal 7 3_Exh G" xfId="3550" xr:uid="{00000000-0005-0000-0000-0000BA5C0000}"/>
    <cellStyle name="Normal 7 4" xfId="1025" xr:uid="{00000000-0005-0000-0000-0000BB5C0000}"/>
    <cellStyle name="Normal 8" xfId="20" xr:uid="{00000000-0005-0000-0000-0000BC5C0000}"/>
    <cellStyle name="Normal 8 10" xfId="17925" xr:uid="{00000000-0005-0000-0000-0000BD5C0000}"/>
    <cellStyle name="Normal 8 2" xfId="680" xr:uid="{00000000-0005-0000-0000-0000BE5C0000}"/>
    <cellStyle name="Normal 8 2 2" xfId="681" xr:uid="{00000000-0005-0000-0000-0000BF5C0000}"/>
    <cellStyle name="Normal 8 2 2 2" xfId="1709" xr:uid="{00000000-0005-0000-0000-0000C05C0000}"/>
    <cellStyle name="Normal 8 2 2 2 2" xfId="5239" xr:uid="{00000000-0005-0000-0000-0000C15C0000}"/>
    <cellStyle name="Normal 8 2 2 2 2 2" xfId="8830" xr:uid="{00000000-0005-0000-0000-0000C25C0000}"/>
    <cellStyle name="Normal 8 2 2 2 2 2 2" xfId="16801" xr:uid="{00000000-0005-0000-0000-0000C35C0000}"/>
    <cellStyle name="Normal 8 2 2 2 2 2 3" xfId="24747" xr:uid="{00000000-0005-0000-0000-0000C45C0000}"/>
    <cellStyle name="Normal 8 2 2 2 2 3" xfId="13263" xr:uid="{00000000-0005-0000-0000-0000C55C0000}"/>
    <cellStyle name="Normal 8 2 2 2 2 4" xfId="21218" xr:uid="{00000000-0005-0000-0000-0000C65C0000}"/>
    <cellStyle name="Normal 8 2 2 2 3" xfId="7071" xr:uid="{00000000-0005-0000-0000-0000C75C0000}"/>
    <cellStyle name="Normal 8 2 2 2 3 2" xfId="15043" xr:uid="{00000000-0005-0000-0000-0000C85C0000}"/>
    <cellStyle name="Normal 8 2 2 2 3 3" xfId="22990" xr:uid="{00000000-0005-0000-0000-0000C95C0000}"/>
    <cellStyle name="Normal 8 2 2 2 4" xfId="11507" xr:uid="{00000000-0005-0000-0000-0000CA5C0000}"/>
    <cellStyle name="Normal 8 2 2 2 5" xfId="19462" xr:uid="{00000000-0005-0000-0000-0000CB5C0000}"/>
    <cellStyle name="Normal 8 2 2 2_Exh G" xfId="3555" xr:uid="{00000000-0005-0000-0000-0000CC5C0000}"/>
    <cellStyle name="Normal 8 2 2 3" xfId="4360" xr:uid="{00000000-0005-0000-0000-0000CD5C0000}"/>
    <cellStyle name="Normal 8 2 2 3 2" xfId="7952" xr:uid="{00000000-0005-0000-0000-0000CE5C0000}"/>
    <cellStyle name="Normal 8 2 2 3 2 2" xfId="15923" xr:uid="{00000000-0005-0000-0000-0000CF5C0000}"/>
    <cellStyle name="Normal 8 2 2 3 2 3" xfId="23869" xr:uid="{00000000-0005-0000-0000-0000D05C0000}"/>
    <cellStyle name="Normal 8 2 2 3 3" xfId="12385" xr:uid="{00000000-0005-0000-0000-0000D15C0000}"/>
    <cellStyle name="Normal 8 2 2 3 4" xfId="20340" xr:uid="{00000000-0005-0000-0000-0000D25C0000}"/>
    <cellStyle name="Normal 8 2 2 4" xfId="6180" xr:uid="{00000000-0005-0000-0000-0000D35C0000}"/>
    <cellStyle name="Normal 8 2 2 4 2" xfId="14164" xr:uid="{00000000-0005-0000-0000-0000D45C0000}"/>
    <cellStyle name="Normal 8 2 2 4 3" xfId="22112" xr:uid="{00000000-0005-0000-0000-0000D55C0000}"/>
    <cellStyle name="Normal 8 2 2 5" xfId="9733" xr:uid="{00000000-0005-0000-0000-0000D65C0000}"/>
    <cellStyle name="Normal 8 2 2 5 2" xfId="17691" xr:uid="{00000000-0005-0000-0000-0000D75C0000}"/>
    <cellStyle name="Normal 8 2 2 5 3" xfId="25635" xr:uid="{00000000-0005-0000-0000-0000D85C0000}"/>
    <cellStyle name="Normal 8 2 2 6" xfId="10629" xr:uid="{00000000-0005-0000-0000-0000D95C0000}"/>
    <cellStyle name="Normal 8 2 2 7" xfId="18584" xr:uid="{00000000-0005-0000-0000-0000DA5C0000}"/>
    <cellStyle name="Normal 8 2 2_Exh G" xfId="3554" xr:uid="{00000000-0005-0000-0000-0000DB5C0000}"/>
    <cellStyle name="Normal 8 2 3" xfId="1708" xr:uid="{00000000-0005-0000-0000-0000DC5C0000}"/>
    <cellStyle name="Normal 8 2 3 2" xfId="5238" xr:uid="{00000000-0005-0000-0000-0000DD5C0000}"/>
    <cellStyle name="Normal 8 2 3 2 2" xfId="8829" xr:uid="{00000000-0005-0000-0000-0000DE5C0000}"/>
    <cellStyle name="Normal 8 2 3 2 2 2" xfId="16800" xr:uid="{00000000-0005-0000-0000-0000DF5C0000}"/>
    <cellStyle name="Normal 8 2 3 2 2 3" xfId="24746" xr:uid="{00000000-0005-0000-0000-0000E05C0000}"/>
    <cellStyle name="Normal 8 2 3 2 3" xfId="13262" xr:uid="{00000000-0005-0000-0000-0000E15C0000}"/>
    <cellStyle name="Normal 8 2 3 2 4" xfId="21217" xr:uid="{00000000-0005-0000-0000-0000E25C0000}"/>
    <cellStyle name="Normal 8 2 3 3" xfId="7070" xr:uid="{00000000-0005-0000-0000-0000E35C0000}"/>
    <cellStyle name="Normal 8 2 3 3 2" xfId="15042" xr:uid="{00000000-0005-0000-0000-0000E45C0000}"/>
    <cellStyle name="Normal 8 2 3 3 3" xfId="22989" xr:uid="{00000000-0005-0000-0000-0000E55C0000}"/>
    <cellStyle name="Normal 8 2 3 4" xfId="11506" xr:uid="{00000000-0005-0000-0000-0000E65C0000}"/>
    <cellStyle name="Normal 8 2 3 5" xfId="19461" xr:uid="{00000000-0005-0000-0000-0000E75C0000}"/>
    <cellStyle name="Normal 8 2 3_Exh G" xfId="3556" xr:uid="{00000000-0005-0000-0000-0000E85C0000}"/>
    <cellStyle name="Normal 8 2 4" xfId="4359" xr:uid="{00000000-0005-0000-0000-0000E95C0000}"/>
    <cellStyle name="Normal 8 2 4 2" xfId="7951" xr:uid="{00000000-0005-0000-0000-0000EA5C0000}"/>
    <cellStyle name="Normal 8 2 4 2 2" xfId="15922" xr:uid="{00000000-0005-0000-0000-0000EB5C0000}"/>
    <cellStyle name="Normal 8 2 4 2 3" xfId="23868" xr:uid="{00000000-0005-0000-0000-0000EC5C0000}"/>
    <cellStyle name="Normal 8 2 4 3" xfId="12384" xr:uid="{00000000-0005-0000-0000-0000ED5C0000}"/>
    <cellStyle name="Normal 8 2 4 4" xfId="20339" xr:uid="{00000000-0005-0000-0000-0000EE5C0000}"/>
    <cellStyle name="Normal 8 2 5" xfId="6179" xr:uid="{00000000-0005-0000-0000-0000EF5C0000}"/>
    <cellStyle name="Normal 8 2 5 2" xfId="14163" xr:uid="{00000000-0005-0000-0000-0000F05C0000}"/>
    <cellStyle name="Normal 8 2 5 3" xfId="22111" xr:uid="{00000000-0005-0000-0000-0000F15C0000}"/>
    <cellStyle name="Normal 8 2 6" xfId="9732" xr:uid="{00000000-0005-0000-0000-0000F25C0000}"/>
    <cellStyle name="Normal 8 2 6 2" xfId="17690" xr:uid="{00000000-0005-0000-0000-0000F35C0000}"/>
    <cellStyle name="Normal 8 2 6 3" xfId="25634" xr:uid="{00000000-0005-0000-0000-0000F45C0000}"/>
    <cellStyle name="Normal 8 2 7" xfId="10628" xr:uid="{00000000-0005-0000-0000-0000F55C0000}"/>
    <cellStyle name="Normal 8 2 8" xfId="18583" xr:uid="{00000000-0005-0000-0000-0000F65C0000}"/>
    <cellStyle name="Normal 8 2_Exh G" xfId="3553" xr:uid="{00000000-0005-0000-0000-0000F75C0000}"/>
    <cellStyle name="Normal 8 3" xfId="682" xr:uid="{00000000-0005-0000-0000-0000F85C0000}"/>
    <cellStyle name="Normal 8 3 2" xfId="1710" xr:uid="{00000000-0005-0000-0000-0000F95C0000}"/>
    <cellStyle name="Normal 8 3 2 2" xfId="5240" xr:uid="{00000000-0005-0000-0000-0000FA5C0000}"/>
    <cellStyle name="Normal 8 3 2 2 2" xfId="8831" xr:uid="{00000000-0005-0000-0000-0000FB5C0000}"/>
    <cellStyle name="Normal 8 3 2 2 2 2" xfId="16802" xr:uid="{00000000-0005-0000-0000-0000FC5C0000}"/>
    <cellStyle name="Normal 8 3 2 2 2 3" xfId="24748" xr:uid="{00000000-0005-0000-0000-0000FD5C0000}"/>
    <cellStyle name="Normal 8 3 2 2 3" xfId="13264" xr:uid="{00000000-0005-0000-0000-0000FE5C0000}"/>
    <cellStyle name="Normal 8 3 2 2 4" xfId="21219" xr:uid="{00000000-0005-0000-0000-0000FF5C0000}"/>
    <cellStyle name="Normal 8 3 2 3" xfId="7072" xr:uid="{00000000-0005-0000-0000-0000005D0000}"/>
    <cellStyle name="Normal 8 3 2 3 2" xfId="15044" xr:uid="{00000000-0005-0000-0000-0000015D0000}"/>
    <cellStyle name="Normal 8 3 2 3 3" xfId="22991" xr:uid="{00000000-0005-0000-0000-0000025D0000}"/>
    <cellStyle name="Normal 8 3 2 4" xfId="11508" xr:uid="{00000000-0005-0000-0000-0000035D0000}"/>
    <cellStyle name="Normal 8 3 2 5" xfId="19463" xr:uid="{00000000-0005-0000-0000-0000045D0000}"/>
    <cellStyle name="Normal 8 3 2_Exh G" xfId="3558" xr:uid="{00000000-0005-0000-0000-0000055D0000}"/>
    <cellStyle name="Normal 8 3 3" xfId="4361" xr:uid="{00000000-0005-0000-0000-0000065D0000}"/>
    <cellStyle name="Normal 8 3 3 2" xfId="7953" xr:uid="{00000000-0005-0000-0000-0000075D0000}"/>
    <cellStyle name="Normal 8 3 3 2 2" xfId="15924" xr:uid="{00000000-0005-0000-0000-0000085D0000}"/>
    <cellStyle name="Normal 8 3 3 2 3" xfId="23870" xr:uid="{00000000-0005-0000-0000-0000095D0000}"/>
    <cellStyle name="Normal 8 3 3 3" xfId="12386" xr:uid="{00000000-0005-0000-0000-00000A5D0000}"/>
    <cellStyle name="Normal 8 3 3 4" xfId="20341" xr:uid="{00000000-0005-0000-0000-00000B5D0000}"/>
    <cellStyle name="Normal 8 3 4" xfId="6181" xr:uid="{00000000-0005-0000-0000-00000C5D0000}"/>
    <cellStyle name="Normal 8 3 4 2" xfId="14165" xr:uid="{00000000-0005-0000-0000-00000D5D0000}"/>
    <cellStyle name="Normal 8 3 4 3" xfId="22113" xr:uid="{00000000-0005-0000-0000-00000E5D0000}"/>
    <cellStyle name="Normal 8 3 5" xfId="9734" xr:uid="{00000000-0005-0000-0000-00000F5D0000}"/>
    <cellStyle name="Normal 8 3 5 2" xfId="17692" xr:uid="{00000000-0005-0000-0000-0000105D0000}"/>
    <cellStyle name="Normal 8 3 5 3" xfId="25636" xr:uid="{00000000-0005-0000-0000-0000115D0000}"/>
    <cellStyle name="Normal 8 3 6" xfId="10630" xr:uid="{00000000-0005-0000-0000-0000125D0000}"/>
    <cellStyle name="Normal 8 3 7" xfId="18585" xr:uid="{00000000-0005-0000-0000-0000135D0000}"/>
    <cellStyle name="Normal 8 3_Exh G" xfId="3557" xr:uid="{00000000-0005-0000-0000-0000145D0000}"/>
    <cellStyle name="Normal 8 4" xfId="1026" xr:uid="{00000000-0005-0000-0000-0000155D0000}"/>
    <cellStyle name="Normal 8 5" xfId="1050" xr:uid="{00000000-0005-0000-0000-0000165D0000}"/>
    <cellStyle name="Normal 8 5 2" xfId="4580" xr:uid="{00000000-0005-0000-0000-0000175D0000}"/>
    <cellStyle name="Normal 8 5 2 2" xfId="8171" xr:uid="{00000000-0005-0000-0000-0000185D0000}"/>
    <cellStyle name="Normal 8 5 2 2 2" xfId="16142" xr:uid="{00000000-0005-0000-0000-0000195D0000}"/>
    <cellStyle name="Normal 8 5 2 2 3" xfId="24088" xr:uid="{00000000-0005-0000-0000-00001A5D0000}"/>
    <cellStyle name="Normal 8 5 2 3" xfId="12604" xr:uid="{00000000-0005-0000-0000-00001B5D0000}"/>
    <cellStyle name="Normal 8 5 2 4" xfId="20559" xr:uid="{00000000-0005-0000-0000-00001C5D0000}"/>
    <cellStyle name="Normal 8 5 3" xfId="6412" xr:uid="{00000000-0005-0000-0000-00001D5D0000}"/>
    <cellStyle name="Normal 8 5 3 2" xfId="14384" xr:uid="{00000000-0005-0000-0000-00001E5D0000}"/>
    <cellStyle name="Normal 8 5 3 3" xfId="22331" xr:uid="{00000000-0005-0000-0000-00001F5D0000}"/>
    <cellStyle name="Normal 8 5 4" xfId="10848" xr:uid="{00000000-0005-0000-0000-0000205D0000}"/>
    <cellStyle name="Normal 8 5 5" xfId="18803" xr:uid="{00000000-0005-0000-0000-0000215D0000}"/>
    <cellStyle name="Normal 8 5_Exh G" xfId="3559" xr:uid="{00000000-0005-0000-0000-0000225D0000}"/>
    <cellStyle name="Normal 8 6" xfId="3701" xr:uid="{00000000-0005-0000-0000-0000235D0000}"/>
    <cellStyle name="Normal 8 6 2" xfId="7293" xr:uid="{00000000-0005-0000-0000-0000245D0000}"/>
    <cellStyle name="Normal 8 6 2 2" xfId="15264" xr:uid="{00000000-0005-0000-0000-0000255D0000}"/>
    <cellStyle name="Normal 8 6 2 3" xfId="23210" xr:uid="{00000000-0005-0000-0000-0000265D0000}"/>
    <cellStyle name="Normal 8 6 3" xfId="11726" xr:uid="{00000000-0005-0000-0000-0000275D0000}"/>
    <cellStyle name="Normal 8 6 4" xfId="19681" xr:uid="{00000000-0005-0000-0000-0000285D0000}"/>
    <cellStyle name="Normal 8 7" xfId="5521" xr:uid="{00000000-0005-0000-0000-0000295D0000}"/>
    <cellStyle name="Normal 8 7 2" xfId="13505" xr:uid="{00000000-0005-0000-0000-00002A5D0000}"/>
    <cellStyle name="Normal 8 7 3" xfId="21453" xr:uid="{00000000-0005-0000-0000-00002B5D0000}"/>
    <cellStyle name="Normal 8 8" xfId="9074" xr:uid="{00000000-0005-0000-0000-00002C5D0000}"/>
    <cellStyle name="Normal 8 8 2" xfId="17032" xr:uid="{00000000-0005-0000-0000-00002D5D0000}"/>
    <cellStyle name="Normal 8 8 3" xfId="24976" xr:uid="{00000000-0005-0000-0000-00002E5D0000}"/>
    <cellStyle name="Normal 8 9" xfId="9970" xr:uid="{00000000-0005-0000-0000-00002F5D0000}"/>
    <cellStyle name="Normal 8_Exh G" xfId="3552" xr:uid="{00000000-0005-0000-0000-0000305D0000}"/>
    <cellStyle name="Normal 9" xfId="23" xr:uid="{00000000-0005-0000-0000-0000315D0000}"/>
    <cellStyle name="Normal 9 2" xfId="683" xr:uid="{00000000-0005-0000-0000-0000325D0000}"/>
    <cellStyle name="Normal 9 2 2" xfId="684" xr:uid="{00000000-0005-0000-0000-0000335D0000}"/>
    <cellStyle name="Normal 9 2 2 2" xfId="1712" xr:uid="{00000000-0005-0000-0000-0000345D0000}"/>
    <cellStyle name="Normal 9 2 2 2 2" xfId="5242" xr:uid="{00000000-0005-0000-0000-0000355D0000}"/>
    <cellStyle name="Normal 9 2 2 2 2 2" xfId="8833" xr:uid="{00000000-0005-0000-0000-0000365D0000}"/>
    <cellStyle name="Normal 9 2 2 2 2 2 2" xfId="16804" xr:uid="{00000000-0005-0000-0000-0000375D0000}"/>
    <cellStyle name="Normal 9 2 2 2 2 2 3" xfId="24750" xr:uid="{00000000-0005-0000-0000-0000385D0000}"/>
    <cellStyle name="Normal 9 2 2 2 2 3" xfId="13266" xr:uid="{00000000-0005-0000-0000-0000395D0000}"/>
    <cellStyle name="Normal 9 2 2 2 2 4" xfId="21221" xr:uid="{00000000-0005-0000-0000-00003A5D0000}"/>
    <cellStyle name="Normal 9 2 2 2 3" xfId="7074" xr:uid="{00000000-0005-0000-0000-00003B5D0000}"/>
    <cellStyle name="Normal 9 2 2 2 3 2" xfId="15046" xr:uid="{00000000-0005-0000-0000-00003C5D0000}"/>
    <cellStyle name="Normal 9 2 2 2 3 3" xfId="22993" xr:uid="{00000000-0005-0000-0000-00003D5D0000}"/>
    <cellStyle name="Normal 9 2 2 2 4" xfId="11510" xr:uid="{00000000-0005-0000-0000-00003E5D0000}"/>
    <cellStyle name="Normal 9 2 2 2 5" xfId="19465" xr:uid="{00000000-0005-0000-0000-00003F5D0000}"/>
    <cellStyle name="Normal 9 2 2 2_Exh G" xfId="3563" xr:uid="{00000000-0005-0000-0000-0000405D0000}"/>
    <cellStyle name="Normal 9 2 2 3" xfId="4363" xr:uid="{00000000-0005-0000-0000-0000415D0000}"/>
    <cellStyle name="Normal 9 2 2 3 2" xfId="7955" xr:uid="{00000000-0005-0000-0000-0000425D0000}"/>
    <cellStyle name="Normal 9 2 2 3 2 2" xfId="15926" xr:uid="{00000000-0005-0000-0000-0000435D0000}"/>
    <cellStyle name="Normal 9 2 2 3 2 3" xfId="23872" xr:uid="{00000000-0005-0000-0000-0000445D0000}"/>
    <cellStyle name="Normal 9 2 2 3 3" xfId="12388" xr:uid="{00000000-0005-0000-0000-0000455D0000}"/>
    <cellStyle name="Normal 9 2 2 3 4" xfId="20343" xr:uid="{00000000-0005-0000-0000-0000465D0000}"/>
    <cellStyle name="Normal 9 2 2 4" xfId="6183" xr:uid="{00000000-0005-0000-0000-0000475D0000}"/>
    <cellStyle name="Normal 9 2 2 4 2" xfId="14167" xr:uid="{00000000-0005-0000-0000-0000485D0000}"/>
    <cellStyle name="Normal 9 2 2 4 3" xfId="22115" xr:uid="{00000000-0005-0000-0000-0000495D0000}"/>
    <cellStyle name="Normal 9 2 2 5" xfId="9736" xr:uid="{00000000-0005-0000-0000-00004A5D0000}"/>
    <cellStyle name="Normal 9 2 2 5 2" xfId="17694" xr:uid="{00000000-0005-0000-0000-00004B5D0000}"/>
    <cellStyle name="Normal 9 2 2 5 3" xfId="25638" xr:uid="{00000000-0005-0000-0000-00004C5D0000}"/>
    <cellStyle name="Normal 9 2 2 6" xfId="10632" xr:uid="{00000000-0005-0000-0000-00004D5D0000}"/>
    <cellStyle name="Normal 9 2 2 7" xfId="18587" xr:uid="{00000000-0005-0000-0000-00004E5D0000}"/>
    <cellStyle name="Normal 9 2 2_Exh G" xfId="3562" xr:uid="{00000000-0005-0000-0000-00004F5D0000}"/>
    <cellStyle name="Normal 9 2 3" xfId="1711" xr:uid="{00000000-0005-0000-0000-0000505D0000}"/>
    <cellStyle name="Normal 9 2 3 2" xfId="5241" xr:uid="{00000000-0005-0000-0000-0000515D0000}"/>
    <cellStyle name="Normal 9 2 3 2 2" xfId="8832" xr:uid="{00000000-0005-0000-0000-0000525D0000}"/>
    <cellStyle name="Normal 9 2 3 2 2 2" xfId="16803" xr:uid="{00000000-0005-0000-0000-0000535D0000}"/>
    <cellStyle name="Normal 9 2 3 2 2 3" xfId="24749" xr:uid="{00000000-0005-0000-0000-0000545D0000}"/>
    <cellStyle name="Normal 9 2 3 2 3" xfId="13265" xr:uid="{00000000-0005-0000-0000-0000555D0000}"/>
    <cellStyle name="Normal 9 2 3 2 4" xfId="21220" xr:uid="{00000000-0005-0000-0000-0000565D0000}"/>
    <cellStyle name="Normal 9 2 3 3" xfId="7073" xr:uid="{00000000-0005-0000-0000-0000575D0000}"/>
    <cellStyle name="Normal 9 2 3 3 2" xfId="15045" xr:uid="{00000000-0005-0000-0000-0000585D0000}"/>
    <cellStyle name="Normal 9 2 3 3 3" xfId="22992" xr:uid="{00000000-0005-0000-0000-0000595D0000}"/>
    <cellStyle name="Normal 9 2 3 4" xfId="11509" xr:uid="{00000000-0005-0000-0000-00005A5D0000}"/>
    <cellStyle name="Normal 9 2 3 5" xfId="19464" xr:uid="{00000000-0005-0000-0000-00005B5D0000}"/>
    <cellStyle name="Normal 9 2 3_Exh G" xfId="3564" xr:uid="{00000000-0005-0000-0000-00005C5D0000}"/>
    <cellStyle name="Normal 9 2 4" xfId="4362" xr:uid="{00000000-0005-0000-0000-00005D5D0000}"/>
    <cellStyle name="Normal 9 2 4 2" xfId="7954" xr:uid="{00000000-0005-0000-0000-00005E5D0000}"/>
    <cellStyle name="Normal 9 2 4 2 2" xfId="15925" xr:uid="{00000000-0005-0000-0000-00005F5D0000}"/>
    <cellStyle name="Normal 9 2 4 2 3" xfId="23871" xr:uid="{00000000-0005-0000-0000-0000605D0000}"/>
    <cellStyle name="Normal 9 2 4 3" xfId="12387" xr:uid="{00000000-0005-0000-0000-0000615D0000}"/>
    <cellStyle name="Normal 9 2 4 4" xfId="20342" xr:uid="{00000000-0005-0000-0000-0000625D0000}"/>
    <cellStyle name="Normal 9 2 5" xfId="6182" xr:uid="{00000000-0005-0000-0000-0000635D0000}"/>
    <cellStyle name="Normal 9 2 5 2" xfId="14166" xr:uid="{00000000-0005-0000-0000-0000645D0000}"/>
    <cellStyle name="Normal 9 2 5 3" xfId="22114" xr:uid="{00000000-0005-0000-0000-0000655D0000}"/>
    <cellStyle name="Normal 9 2 6" xfId="9735" xr:uid="{00000000-0005-0000-0000-0000665D0000}"/>
    <cellStyle name="Normal 9 2 6 2" xfId="17693" xr:uid="{00000000-0005-0000-0000-0000675D0000}"/>
    <cellStyle name="Normal 9 2 6 3" xfId="25637" xr:uid="{00000000-0005-0000-0000-0000685D0000}"/>
    <cellStyle name="Normal 9 2 7" xfId="10631" xr:uid="{00000000-0005-0000-0000-0000695D0000}"/>
    <cellStyle name="Normal 9 2 8" xfId="18586" xr:uid="{00000000-0005-0000-0000-00006A5D0000}"/>
    <cellStyle name="Normal 9 2_Exh G" xfId="3561" xr:uid="{00000000-0005-0000-0000-00006B5D0000}"/>
    <cellStyle name="Normal 9 3" xfId="685" xr:uid="{00000000-0005-0000-0000-00006C5D0000}"/>
    <cellStyle name="Normal 9 3 2" xfId="1713" xr:uid="{00000000-0005-0000-0000-00006D5D0000}"/>
    <cellStyle name="Normal 9 3 2 2" xfId="5243" xr:uid="{00000000-0005-0000-0000-00006E5D0000}"/>
    <cellStyle name="Normal 9 3 2 2 2" xfId="8834" xr:uid="{00000000-0005-0000-0000-00006F5D0000}"/>
    <cellStyle name="Normal 9 3 2 2 2 2" xfId="16805" xr:uid="{00000000-0005-0000-0000-0000705D0000}"/>
    <cellStyle name="Normal 9 3 2 2 2 3" xfId="24751" xr:uid="{00000000-0005-0000-0000-0000715D0000}"/>
    <cellStyle name="Normal 9 3 2 2 3" xfId="13267" xr:uid="{00000000-0005-0000-0000-0000725D0000}"/>
    <cellStyle name="Normal 9 3 2 2 4" xfId="21222" xr:uid="{00000000-0005-0000-0000-0000735D0000}"/>
    <cellStyle name="Normal 9 3 2 3" xfId="7075" xr:uid="{00000000-0005-0000-0000-0000745D0000}"/>
    <cellStyle name="Normal 9 3 2 3 2" xfId="15047" xr:uid="{00000000-0005-0000-0000-0000755D0000}"/>
    <cellStyle name="Normal 9 3 2 3 3" xfId="22994" xr:uid="{00000000-0005-0000-0000-0000765D0000}"/>
    <cellStyle name="Normal 9 3 2 4" xfId="11511" xr:uid="{00000000-0005-0000-0000-0000775D0000}"/>
    <cellStyle name="Normal 9 3 2 5" xfId="19466" xr:uid="{00000000-0005-0000-0000-0000785D0000}"/>
    <cellStyle name="Normal 9 3 2_Exh G" xfId="3566" xr:uid="{00000000-0005-0000-0000-0000795D0000}"/>
    <cellStyle name="Normal 9 3 3" xfId="4364" xr:uid="{00000000-0005-0000-0000-00007A5D0000}"/>
    <cellStyle name="Normal 9 3 3 2" xfId="7956" xr:uid="{00000000-0005-0000-0000-00007B5D0000}"/>
    <cellStyle name="Normal 9 3 3 2 2" xfId="15927" xr:uid="{00000000-0005-0000-0000-00007C5D0000}"/>
    <cellStyle name="Normal 9 3 3 2 3" xfId="23873" xr:uid="{00000000-0005-0000-0000-00007D5D0000}"/>
    <cellStyle name="Normal 9 3 3 3" xfId="12389" xr:uid="{00000000-0005-0000-0000-00007E5D0000}"/>
    <cellStyle name="Normal 9 3 3 4" xfId="20344" xr:uid="{00000000-0005-0000-0000-00007F5D0000}"/>
    <cellStyle name="Normal 9 3 4" xfId="6184" xr:uid="{00000000-0005-0000-0000-0000805D0000}"/>
    <cellStyle name="Normal 9 3 4 2" xfId="14168" xr:uid="{00000000-0005-0000-0000-0000815D0000}"/>
    <cellStyle name="Normal 9 3 4 3" xfId="22116" xr:uid="{00000000-0005-0000-0000-0000825D0000}"/>
    <cellStyle name="Normal 9 3 5" xfId="9737" xr:uid="{00000000-0005-0000-0000-0000835D0000}"/>
    <cellStyle name="Normal 9 3 5 2" xfId="17695" xr:uid="{00000000-0005-0000-0000-0000845D0000}"/>
    <cellStyle name="Normal 9 3 5 3" xfId="25639" xr:uid="{00000000-0005-0000-0000-0000855D0000}"/>
    <cellStyle name="Normal 9 3 6" xfId="10633" xr:uid="{00000000-0005-0000-0000-0000865D0000}"/>
    <cellStyle name="Normal 9 3 7" xfId="18588" xr:uid="{00000000-0005-0000-0000-0000875D0000}"/>
    <cellStyle name="Normal 9 3_Exh G" xfId="3565" xr:uid="{00000000-0005-0000-0000-0000885D0000}"/>
    <cellStyle name="Normal 9 4" xfId="1027" xr:uid="{00000000-0005-0000-0000-0000895D0000}"/>
    <cellStyle name="Normal 9 4 2" xfId="1929" xr:uid="{00000000-0005-0000-0000-00008A5D0000}"/>
    <cellStyle name="Normal 9 4 2 2" xfId="5447" xr:uid="{00000000-0005-0000-0000-00008B5D0000}"/>
    <cellStyle name="Normal 9 4 2 2 2" xfId="9038" xr:uid="{00000000-0005-0000-0000-00008C5D0000}"/>
    <cellStyle name="Normal 9 4 2 2 2 2" xfId="17009" xr:uid="{00000000-0005-0000-0000-00008D5D0000}"/>
    <cellStyle name="Normal 9 4 2 2 2 3" xfId="24955" xr:uid="{00000000-0005-0000-0000-00008E5D0000}"/>
    <cellStyle name="Normal 9 4 2 2 3" xfId="13471" xr:uid="{00000000-0005-0000-0000-00008F5D0000}"/>
    <cellStyle name="Normal 9 4 2 2 4" xfId="21426" xr:uid="{00000000-0005-0000-0000-0000905D0000}"/>
    <cellStyle name="Normal 9 4 2 3" xfId="7279" xr:uid="{00000000-0005-0000-0000-0000915D0000}"/>
    <cellStyle name="Normal 9 4 2 3 2" xfId="15251" xr:uid="{00000000-0005-0000-0000-0000925D0000}"/>
    <cellStyle name="Normal 9 4 2 3 3" xfId="23198" xr:uid="{00000000-0005-0000-0000-0000935D0000}"/>
    <cellStyle name="Normal 9 4 2 4" xfId="11715" xr:uid="{00000000-0005-0000-0000-0000945D0000}"/>
    <cellStyle name="Normal 9 4 2 5" xfId="19670" xr:uid="{00000000-0005-0000-0000-0000955D0000}"/>
    <cellStyle name="Normal 9 4 2_Exh G" xfId="3568" xr:uid="{00000000-0005-0000-0000-0000965D0000}"/>
    <cellStyle name="Normal 9 4 3" xfId="4568" xr:uid="{00000000-0005-0000-0000-0000975D0000}"/>
    <cellStyle name="Normal 9 4 3 2" xfId="8160" xr:uid="{00000000-0005-0000-0000-0000985D0000}"/>
    <cellStyle name="Normal 9 4 3 2 2" xfId="16131" xr:uid="{00000000-0005-0000-0000-0000995D0000}"/>
    <cellStyle name="Normal 9 4 3 2 3" xfId="24077" xr:uid="{00000000-0005-0000-0000-00009A5D0000}"/>
    <cellStyle name="Normal 9 4 3 3" xfId="12593" xr:uid="{00000000-0005-0000-0000-00009B5D0000}"/>
    <cellStyle name="Normal 9 4 3 4" xfId="20548" xr:uid="{00000000-0005-0000-0000-00009C5D0000}"/>
    <cellStyle name="Normal 9 4 4" xfId="6398" xr:uid="{00000000-0005-0000-0000-00009D5D0000}"/>
    <cellStyle name="Normal 9 4 4 2" xfId="14373" xr:uid="{00000000-0005-0000-0000-00009E5D0000}"/>
    <cellStyle name="Normal 9 4 4 3" xfId="22320" xr:uid="{00000000-0005-0000-0000-00009F5D0000}"/>
    <cellStyle name="Normal 9 4 5" xfId="9941" xr:uid="{00000000-0005-0000-0000-0000A05D0000}"/>
    <cellStyle name="Normal 9 4 5 2" xfId="17899" xr:uid="{00000000-0005-0000-0000-0000A15D0000}"/>
    <cellStyle name="Normal 9 4 5 3" xfId="25843" xr:uid="{00000000-0005-0000-0000-0000A25D0000}"/>
    <cellStyle name="Normal 9 4 6" xfId="10837" xr:uid="{00000000-0005-0000-0000-0000A35D0000}"/>
    <cellStyle name="Normal 9 4 7" xfId="18792" xr:uid="{00000000-0005-0000-0000-0000A45D0000}"/>
    <cellStyle name="Normal 9 4_Exh G" xfId="3567" xr:uid="{00000000-0005-0000-0000-0000A55D0000}"/>
    <cellStyle name="Normal 9_Exh G" xfId="3560" xr:uid="{00000000-0005-0000-0000-0000A65D0000}"/>
    <cellStyle name="Normal_Appendix G 11 FEBRUARY 10 temploan no 303 ver2 2" xfId="1028" xr:uid="{00000000-0005-0000-0000-0000A75D0000}"/>
    <cellStyle name="Normal_ExhibitF_05-06" xfId="19" xr:uid="{00000000-0005-0000-0000-0000A85D0000}"/>
    <cellStyle name="Normal_ExhibitF_05-06 2" xfId="25861" xr:uid="{00000000-0005-0000-0000-0000A95D0000}"/>
    <cellStyle name="Normal_Summary Analysis" xfId="25876" xr:uid="{00000000-0005-0000-0000-0000AA5D0000}"/>
    <cellStyle name="Note 10" xfId="686" xr:uid="{00000000-0005-0000-0000-0000AB5D0000}"/>
    <cellStyle name="Note 10 10" xfId="18589" xr:uid="{00000000-0005-0000-0000-0000AC5D0000}"/>
    <cellStyle name="Note 10 2" xfId="687" xr:uid="{00000000-0005-0000-0000-0000AD5D0000}"/>
    <cellStyle name="Note 10 2 2" xfId="688" xr:uid="{00000000-0005-0000-0000-0000AE5D0000}"/>
    <cellStyle name="Note 10 2 2 2" xfId="1716" xr:uid="{00000000-0005-0000-0000-0000AF5D0000}"/>
    <cellStyle name="Note 10 2 2 2 2" xfId="5246" xr:uid="{00000000-0005-0000-0000-0000B05D0000}"/>
    <cellStyle name="Note 10 2 2 2 2 2" xfId="8837" xr:uid="{00000000-0005-0000-0000-0000B15D0000}"/>
    <cellStyle name="Note 10 2 2 2 2 2 2" xfId="16808" xr:uid="{00000000-0005-0000-0000-0000B25D0000}"/>
    <cellStyle name="Note 10 2 2 2 2 2 3" xfId="24754" xr:uid="{00000000-0005-0000-0000-0000B35D0000}"/>
    <cellStyle name="Note 10 2 2 2 2 3" xfId="13270" xr:uid="{00000000-0005-0000-0000-0000B45D0000}"/>
    <cellStyle name="Note 10 2 2 2 2 4" xfId="21225" xr:uid="{00000000-0005-0000-0000-0000B55D0000}"/>
    <cellStyle name="Note 10 2 2 2 3" xfId="7078" xr:uid="{00000000-0005-0000-0000-0000B65D0000}"/>
    <cellStyle name="Note 10 2 2 2 3 2" xfId="15050" xr:uid="{00000000-0005-0000-0000-0000B75D0000}"/>
    <cellStyle name="Note 10 2 2 2 3 3" xfId="22997" xr:uid="{00000000-0005-0000-0000-0000B85D0000}"/>
    <cellStyle name="Note 10 2 2 2 4" xfId="11514" xr:uid="{00000000-0005-0000-0000-0000B95D0000}"/>
    <cellStyle name="Note 10 2 2 2 5" xfId="19469" xr:uid="{00000000-0005-0000-0000-0000BA5D0000}"/>
    <cellStyle name="Note 10 2 2 2_Exh G" xfId="3572" xr:uid="{00000000-0005-0000-0000-0000BB5D0000}"/>
    <cellStyle name="Note 10 2 2 3" xfId="4367" xr:uid="{00000000-0005-0000-0000-0000BC5D0000}"/>
    <cellStyle name="Note 10 2 2 3 2" xfId="7959" xr:uid="{00000000-0005-0000-0000-0000BD5D0000}"/>
    <cellStyle name="Note 10 2 2 3 2 2" xfId="15930" xr:uid="{00000000-0005-0000-0000-0000BE5D0000}"/>
    <cellStyle name="Note 10 2 2 3 2 3" xfId="23876" xr:uid="{00000000-0005-0000-0000-0000BF5D0000}"/>
    <cellStyle name="Note 10 2 2 3 3" xfId="12392" xr:uid="{00000000-0005-0000-0000-0000C05D0000}"/>
    <cellStyle name="Note 10 2 2 3 4" xfId="20347" xr:uid="{00000000-0005-0000-0000-0000C15D0000}"/>
    <cellStyle name="Note 10 2 2 4" xfId="6187" xr:uid="{00000000-0005-0000-0000-0000C25D0000}"/>
    <cellStyle name="Note 10 2 2 4 2" xfId="14171" xr:uid="{00000000-0005-0000-0000-0000C35D0000}"/>
    <cellStyle name="Note 10 2 2 4 3" xfId="22119" xr:uid="{00000000-0005-0000-0000-0000C45D0000}"/>
    <cellStyle name="Note 10 2 2 5" xfId="9740" xr:uid="{00000000-0005-0000-0000-0000C55D0000}"/>
    <cellStyle name="Note 10 2 2 5 2" xfId="17698" xr:uid="{00000000-0005-0000-0000-0000C65D0000}"/>
    <cellStyle name="Note 10 2 2 5 3" xfId="25642" xr:uid="{00000000-0005-0000-0000-0000C75D0000}"/>
    <cellStyle name="Note 10 2 2 6" xfId="10636" xr:uid="{00000000-0005-0000-0000-0000C85D0000}"/>
    <cellStyle name="Note 10 2 2 7" xfId="18591" xr:uid="{00000000-0005-0000-0000-0000C95D0000}"/>
    <cellStyle name="Note 10 2 2_Exh G" xfId="3571" xr:uid="{00000000-0005-0000-0000-0000CA5D0000}"/>
    <cellStyle name="Note 10 2 3" xfId="1715" xr:uid="{00000000-0005-0000-0000-0000CB5D0000}"/>
    <cellStyle name="Note 10 2 3 2" xfId="5245" xr:uid="{00000000-0005-0000-0000-0000CC5D0000}"/>
    <cellStyle name="Note 10 2 3 2 2" xfId="8836" xr:uid="{00000000-0005-0000-0000-0000CD5D0000}"/>
    <cellStyle name="Note 10 2 3 2 2 2" xfId="16807" xr:uid="{00000000-0005-0000-0000-0000CE5D0000}"/>
    <cellStyle name="Note 10 2 3 2 2 3" xfId="24753" xr:uid="{00000000-0005-0000-0000-0000CF5D0000}"/>
    <cellStyle name="Note 10 2 3 2 3" xfId="13269" xr:uid="{00000000-0005-0000-0000-0000D05D0000}"/>
    <cellStyle name="Note 10 2 3 2 4" xfId="21224" xr:uid="{00000000-0005-0000-0000-0000D15D0000}"/>
    <cellStyle name="Note 10 2 3 3" xfId="7077" xr:uid="{00000000-0005-0000-0000-0000D25D0000}"/>
    <cellStyle name="Note 10 2 3 3 2" xfId="15049" xr:uid="{00000000-0005-0000-0000-0000D35D0000}"/>
    <cellStyle name="Note 10 2 3 3 3" xfId="22996" xr:uid="{00000000-0005-0000-0000-0000D45D0000}"/>
    <cellStyle name="Note 10 2 3 4" xfId="11513" xr:uid="{00000000-0005-0000-0000-0000D55D0000}"/>
    <cellStyle name="Note 10 2 3 5" xfId="19468" xr:uid="{00000000-0005-0000-0000-0000D65D0000}"/>
    <cellStyle name="Note 10 2 3_Exh G" xfId="3573" xr:uid="{00000000-0005-0000-0000-0000D75D0000}"/>
    <cellStyle name="Note 10 2 4" xfId="4366" xr:uid="{00000000-0005-0000-0000-0000D85D0000}"/>
    <cellStyle name="Note 10 2 4 2" xfId="7958" xr:uid="{00000000-0005-0000-0000-0000D95D0000}"/>
    <cellStyle name="Note 10 2 4 2 2" xfId="15929" xr:uid="{00000000-0005-0000-0000-0000DA5D0000}"/>
    <cellStyle name="Note 10 2 4 2 3" xfId="23875" xr:uid="{00000000-0005-0000-0000-0000DB5D0000}"/>
    <cellStyle name="Note 10 2 4 3" xfId="12391" xr:uid="{00000000-0005-0000-0000-0000DC5D0000}"/>
    <cellStyle name="Note 10 2 4 4" xfId="20346" xr:uid="{00000000-0005-0000-0000-0000DD5D0000}"/>
    <cellStyle name="Note 10 2 5" xfId="6186" xr:uid="{00000000-0005-0000-0000-0000DE5D0000}"/>
    <cellStyle name="Note 10 2 5 2" xfId="14170" xr:uid="{00000000-0005-0000-0000-0000DF5D0000}"/>
    <cellStyle name="Note 10 2 5 3" xfId="22118" xr:uid="{00000000-0005-0000-0000-0000E05D0000}"/>
    <cellStyle name="Note 10 2 6" xfId="9739" xr:uid="{00000000-0005-0000-0000-0000E15D0000}"/>
    <cellStyle name="Note 10 2 6 2" xfId="17697" xr:uid="{00000000-0005-0000-0000-0000E25D0000}"/>
    <cellStyle name="Note 10 2 6 3" xfId="25641" xr:uid="{00000000-0005-0000-0000-0000E35D0000}"/>
    <cellStyle name="Note 10 2 7" xfId="10635" xr:uid="{00000000-0005-0000-0000-0000E45D0000}"/>
    <cellStyle name="Note 10 2 8" xfId="18590" xr:uid="{00000000-0005-0000-0000-0000E55D0000}"/>
    <cellStyle name="Note 10 2_Exh G" xfId="3570" xr:uid="{00000000-0005-0000-0000-0000E65D0000}"/>
    <cellStyle name="Note 10 3" xfId="689" xr:uid="{00000000-0005-0000-0000-0000E75D0000}"/>
    <cellStyle name="Note 10 3 2" xfId="1717" xr:uid="{00000000-0005-0000-0000-0000E85D0000}"/>
    <cellStyle name="Note 10 3 2 2" xfId="5247" xr:uid="{00000000-0005-0000-0000-0000E95D0000}"/>
    <cellStyle name="Note 10 3 2 2 2" xfId="8838" xr:uid="{00000000-0005-0000-0000-0000EA5D0000}"/>
    <cellStyle name="Note 10 3 2 2 2 2" xfId="16809" xr:uid="{00000000-0005-0000-0000-0000EB5D0000}"/>
    <cellStyle name="Note 10 3 2 2 2 3" xfId="24755" xr:uid="{00000000-0005-0000-0000-0000EC5D0000}"/>
    <cellStyle name="Note 10 3 2 2 3" xfId="13271" xr:uid="{00000000-0005-0000-0000-0000ED5D0000}"/>
    <cellStyle name="Note 10 3 2 2 4" xfId="21226" xr:uid="{00000000-0005-0000-0000-0000EE5D0000}"/>
    <cellStyle name="Note 10 3 2 3" xfId="7079" xr:uid="{00000000-0005-0000-0000-0000EF5D0000}"/>
    <cellStyle name="Note 10 3 2 3 2" xfId="15051" xr:uid="{00000000-0005-0000-0000-0000F05D0000}"/>
    <cellStyle name="Note 10 3 2 3 3" xfId="22998" xr:uid="{00000000-0005-0000-0000-0000F15D0000}"/>
    <cellStyle name="Note 10 3 2 4" xfId="11515" xr:uid="{00000000-0005-0000-0000-0000F25D0000}"/>
    <cellStyle name="Note 10 3 2 5" xfId="19470" xr:uid="{00000000-0005-0000-0000-0000F35D0000}"/>
    <cellStyle name="Note 10 3 2_Exh G" xfId="3575" xr:uid="{00000000-0005-0000-0000-0000F45D0000}"/>
    <cellStyle name="Note 10 3 3" xfId="4368" xr:uid="{00000000-0005-0000-0000-0000F55D0000}"/>
    <cellStyle name="Note 10 3 3 2" xfId="7960" xr:uid="{00000000-0005-0000-0000-0000F65D0000}"/>
    <cellStyle name="Note 10 3 3 2 2" xfId="15931" xr:uid="{00000000-0005-0000-0000-0000F75D0000}"/>
    <cellStyle name="Note 10 3 3 2 3" xfId="23877" xr:uid="{00000000-0005-0000-0000-0000F85D0000}"/>
    <cellStyle name="Note 10 3 3 3" xfId="12393" xr:uid="{00000000-0005-0000-0000-0000F95D0000}"/>
    <cellStyle name="Note 10 3 3 4" xfId="20348" xr:uid="{00000000-0005-0000-0000-0000FA5D0000}"/>
    <cellStyle name="Note 10 3 4" xfId="6188" xr:uid="{00000000-0005-0000-0000-0000FB5D0000}"/>
    <cellStyle name="Note 10 3 4 2" xfId="14172" xr:uid="{00000000-0005-0000-0000-0000FC5D0000}"/>
    <cellStyle name="Note 10 3 4 3" xfId="22120" xr:uid="{00000000-0005-0000-0000-0000FD5D0000}"/>
    <cellStyle name="Note 10 3 5" xfId="9741" xr:uid="{00000000-0005-0000-0000-0000FE5D0000}"/>
    <cellStyle name="Note 10 3 5 2" xfId="17699" xr:uid="{00000000-0005-0000-0000-0000FF5D0000}"/>
    <cellStyle name="Note 10 3 5 3" xfId="25643" xr:uid="{00000000-0005-0000-0000-0000005E0000}"/>
    <cellStyle name="Note 10 3 6" xfId="10637" xr:uid="{00000000-0005-0000-0000-0000015E0000}"/>
    <cellStyle name="Note 10 3 7" xfId="18592" xr:uid="{00000000-0005-0000-0000-0000025E0000}"/>
    <cellStyle name="Note 10 3_Exh G" xfId="3574" xr:uid="{00000000-0005-0000-0000-0000035E0000}"/>
    <cellStyle name="Note 10 4" xfId="1029" xr:uid="{00000000-0005-0000-0000-0000045E0000}"/>
    <cellStyle name="Note 10 4 2" xfId="6399" xr:uid="{00000000-0005-0000-0000-0000055E0000}"/>
    <cellStyle name="Note 10 5" xfId="1714" xr:uid="{00000000-0005-0000-0000-0000065E0000}"/>
    <cellStyle name="Note 10 5 2" xfId="5244" xr:uid="{00000000-0005-0000-0000-0000075E0000}"/>
    <cellStyle name="Note 10 5 2 2" xfId="8835" xr:uid="{00000000-0005-0000-0000-0000085E0000}"/>
    <cellStyle name="Note 10 5 2 2 2" xfId="16806" xr:uid="{00000000-0005-0000-0000-0000095E0000}"/>
    <cellStyle name="Note 10 5 2 2 3" xfId="24752" xr:uid="{00000000-0005-0000-0000-00000A5E0000}"/>
    <cellStyle name="Note 10 5 2 3" xfId="13268" xr:uid="{00000000-0005-0000-0000-00000B5E0000}"/>
    <cellStyle name="Note 10 5 2 4" xfId="21223" xr:uid="{00000000-0005-0000-0000-00000C5E0000}"/>
    <cellStyle name="Note 10 5 3" xfId="7076" xr:uid="{00000000-0005-0000-0000-00000D5E0000}"/>
    <cellStyle name="Note 10 5 3 2" xfId="15048" xr:uid="{00000000-0005-0000-0000-00000E5E0000}"/>
    <cellStyle name="Note 10 5 3 3" xfId="22995" xr:uid="{00000000-0005-0000-0000-00000F5E0000}"/>
    <cellStyle name="Note 10 5 4" xfId="11512" xr:uid="{00000000-0005-0000-0000-0000105E0000}"/>
    <cellStyle name="Note 10 5 5" xfId="19467" xr:uid="{00000000-0005-0000-0000-0000115E0000}"/>
    <cellStyle name="Note 10 5_Exh G" xfId="3576" xr:uid="{00000000-0005-0000-0000-0000125E0000}"/>
    <cellStyle name="Note 10 6" xfId="4365" xr:uid="{00000000-0005-0000-0000-0000135E0000}"/>
    <cellStyle name="Note 10 6 2" xfId="7957" xr:uid="{00000000-0005-0000-0000-0000145E0000}"/>
    <cellStyle name="Note 10 6 2 2" xfId="15928" xr:uid="{00000000-0005-0000-0000-0000155E0000}"/>
    <cellStyle name="Note 10 6 2 3" xfId="23874" xr:uid="{00000000-0005-0000-0000-0000165E0000}"/>
    <cellStyle name="Note 10 6 3" xfId="12390" xr:uid="{00000000-0005-0000-0000-0000175E0000}"/>
    <cellStyle name="Note 10 6 4" xfId="20345" xr:uid="{00000000-0005-0000-0000-0000185E0000}"/>
    <cellStyle name="Note 10 7" xfId="6185" xr:uid="{00000000-0005-0000-0000-0000195E0000}"/>
    <cellStyle name="Note 10 7 2" xfId="14169" xr:uid="{00000000-0005-0000-0000-00001A5E0000}"/>
    <cellStyle name="Note 10 7 3" xfId="22117" xr:uid="{00000000-0005-0000-0000-00001B5E0000}"/>
    <cellStyle name="Note 10 8" xfId="9738" xr:uid="{00000000-0005-0000-0000-00001C5E0000}"/>
    <cellStyle name="Note 10 8 2" xfId="17696" xr:uid="{00000000-0005-0000-0000-00001D5E0000}"/>
    <cellStyle name="Note 10 8 3" xfId="25640" xr:uid="{00000000-0005-0000-0000-00001E5E0000}"/>
    <cellStyle name="Note 10 9" xfId="10634" xr:uid="{00000000-0005-0000-0000-00001F5E0000}"/>
    <cellStyle name="Note 10_Exh G" xfId="3569" xr:uid="{00000000-0005-0000-0000-0000205E0000}"/>
    <cellStyle name="Note 11" xfId="690" xr:uid="{00000000-0005-0000-0000-0000215E0000}"/>
    <cellStyle name="Note 11 2" xfId="691" xr:uid="{00000000-0005-0000-0000-0000225E0000}"/>
    <cellStyle name="Note 11 2 2" xfId="692" xr:uid="{00000000-0005-0000-0000-0000235E0000}"/>
    <cellStyle name="Note 11 2 2 2" xfId="1720" xr:uid="{00000000-0005-0000-0000-0000245E0000}"/>
    <cellStyle name="Note 11 2 2 2 2" xfId="5250" xr:uid="{00000000-0005-0000-0000-0000255E0000}"/>
    <cellStyle name="Note 11 2 2 2 2 2" xfId="8841" xr:uid="{00000000-0005-0000-0000-0000265E0000}"/>
    <cellStyle name="Note 11 2 2 2 2 2 2" xfId="16812" xr:uid="{00000000-0005-0000-0000-0000275E0000}"/>
    <cellStyle name="Note 11 2 2 2 2 2 3" xfId="24758" xr:uid="{00000000-0005-0000-0000-0000285E0000}"/>
    <cellStyle name="Note 11 2 2 2 2 3" xfId="13274" xr:uid="{00000000-0005-0000-0000-0000295E0000}"/>
    <cellStyle name="Note 11 2 2 2 2 4" xfId="21229" xr:uid="{00000000-0005-0000-0000-00002A5E0000}"/>
    <cellStyle name="Note 11 2 2 2 3" xfId="7082" xr:uid="{00000000-0005-0000-0000-00002B5E0000}"/>
    <cellStyle name="Note 11 2 2 2 3 2" xfId="15054" xr:uid="{00000000-0005-0000-0000-00002C5E0000}"/>
    <cellStyle name="Note 11 2 2 2 3 3" xfId="23001" xr:uid="{00000000-0005-0000-0000-00002D5E0000}"/>
    <cellStyle name="Note 11 2 2 2 4" xfId="11518" xr:uid="{00000000-0005-0000-0000-00002E5E0000}"/>
    <cellStyle name="Note 11 2 2 2 5" xfId="19473" xr:uid="{00000000-0005-0000-0000-00002F5E0000}"/>
    <cellStyle name="Note 11 2 2 2_Exh G" xfId="3580" xr:uid="{00000000-0005-0000-0000-0000305E0000}"/>
    <cellStyle name="Note 11 2 2 3" xfId="4371" xr:uid="{00000000-0005-0000-0000-0000315E0000}"/>
    <cellStyle name="Note 11 2 2 3 2" xfId="7963" xr:uid="{00000000-0005-0000-0000-0000325E0000}"/>
    <cellStyle name="Note 11 2 2 3 2 2" xfId="15934" xr:uid="{00000000-0005-0000-0000-0000335E0000}"/>
    <cellStyle name="Note 11 2 2 3 2 3" xfId="23880" xr:uid="{00000000-0005-0000-0000-0000345E0000}"/>
    <cellStyle name="Note 11 2 2 3 3" xfId="12396" xr:uid="{00000000-0005-0000-0000-0000355E0000}"/>
    <cellStyle name="Note 11 2 2 3 4" xfId="20351" xr:uid="{00000000-0005-0000-0000-0000365E0000}"/>
    <cellStyle name="Note 11 2 2 4" xfId="6191" xr:uid="{00000000-0005-0000-0000-0000375E0000}"/>
    <cellStyle name="Note 11 2 2 4 2" xfId="14175" xr:uid="{00000000-0005-0000-0000-0000385E0000}"/>
    <cellStyle name="Note 11 2 2 4 3" xfId="22123" xr:uid="{00000000-0005-0000-0000-0000395E0000}"/>
    <cellStyle name="Note 11 2 2 5" xfId="9744" xr:uid="{00000000-0005-0000-0000-00003A5E0000}"/>
    <cellStyle name="Note 11 2 2 5 2" xfId="17702" xr:uid="{00000000-0005-0000-0000-00003B5E0000}"/>
    <cellStyle name="Note 11 2 2 5 3" xfId="25646" xr:uid="{00000000-0005-0000-0000-00003C5E0000}"/>
    <cellStyle name="Note 11 2 2 6" xfId="10640" xr:uid="{00000000-0005-0000-0000-00003D5E0000}"/>
    <cellStyle name="Note 11 2 2 7" xfId="18595" xr:uid="{00000000-0005-0000-0000-00003E5E0000}"/>
    <cellStyle name="Note 11 2 2_Exh G" xfId="3579" xr:uid="{00000000-0005-0000-0000-00003F5E0000}"/>
    <cellStyle name="Note 11 2 3" xfId="1719" xr:uid="{00000000-0005-0000-0000-0000405E0000}"/>
    <cellStyle name="Note 11 2 3 2" xfId="5249" xr:uid="{00000000-0005-0000-0000-0000415E0000}"/>
    <cellStyle name="Note 11 2 3 2 2" xfId="8840" xr:uid="{00000000-0005-0000-0000-0000425E0000}"/>
    <cellStyle name="Note 11 2 3 2 2 2" xfId="16811" xr:uid="{00000000-0005-0000-0000-0000435E0000}"/>
    <cellStyle name="Note 11 2 3 2 2 3" xfId="24757" xr:uid="{00000000-0005-0000-0000-0000445E0000}"/>
    <cellStyle name="Note 11 2 3 2 3" xfId="13273" xr:uid="{00000000-0005-0000-0000-0000455E0000}"/>
    <cellStyle name="Note 11 2 3 2 4" xfId="21228" xr:uid="{00000000-0005-0000-0000-0000465E0000}"/>
    <cellStyle name="Note 11 2 3 3" xfId="7081" xr:uid="{00000000-0005-0000-0000-0000475E0000}"/>
    <cellStyle name="Note 11 2 3 3 2" xfId="15053" xr:uid="{00000000-0005-0000-0000-0000485E0000}"/>
    <cellStyle name="Note 11 2 3 3 3" xfId="23000" xr:uid="{00000000-0005-0000-0000-0000495E0000}"/>
    <cellStyle name="Note 11 2 3 4" xfId="11517" xr:uid="{00000000-0005-0000-0000-00004A5E0000}"/>
    <cellStyle name="Note 11 2 3 5" xfId="19472" xr:uid="{00000000-0005-0000-0000-00004B5E0000}"/>
    <cellStyle name="Note 11 2 3_Exh G" xfId="3581" xr:uid="{00000000-0005-0000-0000-00004C5E0000}"/>
    <cellStyle name="Note 11 2 4" xfId="4370" xr:uid="{00000000-0005-0000-0000-00004D5E0000}"/>
    <cellStyle name="Note 11 2 4 2" xfId="7962" xr:uid="{00000000-0005-0000-0000-00004E5E0000}"/>
    <cellStyle name="Note 11 2 4 2 2" xfId="15933" xr:uid="{00000000-0005-0000-0000-00004F5E0000}"/>
    <cellStyle name="Note 11 2 4 2 3" xfId="23879" xr:uid="{00000000-0005-0000-0000-0000505E0000}"/>
    <cellStyle name="Note 11 2 4 3" xfId="12395" xr:uid="{00000000-0005-0000-0000-0000515E0000}"/>
    <cellStyle name="Note 11 2 4 4" xfId="20350" xr:uid="{00000000-0005-0000-0000-0000525E0000}"/>
    <cellStyle name="Note 11 2 5" xfId="6190" xr:uid="{00000000-0005-0000-0000-0000535E0000}"/>
    <cellStyle name="Note 11 2 5 2" xfId="14174" xr:uid="{00000000-0005-0000-0000-0000545E0000}"/>
    <cellStyle name="Note 11 2 5 3" xfId="22122" xr:uid="{00000000-0005-0000-0000-0000555E0000}"/>
    <cellStyle name="Note 11 2 6" xfId="9743" xr:uid="{00000000-0005-0000-0000-0000565E0000}"/>
    <cellStyle name="Note 11 2 6 2" xfId="17701" xr:uid="{00000000-0005-0000-0000-0000575E0000}"/>
    <cellStyle name="Note 11 2 6 3" xfId="25645" xr:uid="{00000000-0005-0000-0000-0000585E0000}"/>
    <cellStyle name="Note 11 2 7" xfId="10639" xr:uid="{00000000-0005-0000-0000-0000595E0000}"/>
    <cellStyle name="Note 11 2 8" xfId="18594" xr:uid="{00000000-0005-0000-0000-00005A5E0000}"/>
    <cellStyle name="Note 11 2_Exh G" xfId="3578" xr:uid="{00000000-0005-0000-0000-00005B5E0000}"/>
    <cellStyle name="Note 11 3" xfId="693" xr:uid="{00000000-0005-0000-0000-00005C5E0000}"/>
    <cellStyle name="Note 11 3 2" xfId="1721" xr:uid="{00000000-0005-0000-0000-00005D5E0000}"/>
    <cellStyle name="Note 11 3 2 2" xfId="5251" xr:uid="{00000000-0005-0000-0000-00005E5E0000}"/>
    <cellStyle name="Note 11 3 2 2 2" xfId="8842" xr:uid="{00000000-0005-0000-0000-00005F5E0000}"/>
    <cellStyle name="Note 11 3 2 2 2 2" xfId="16813" xr:uid="{00000000-0005-0000-0000-0000605E0000}"/>
    <cellStyle name="Note 11 3 2 2 2 3" xfId="24759" xr:uid="{00000000-0005-0000-0000-0000615E0000}"/>
    <cellStyle name="Note 11 3 2 2 3" xfId="13275" xr:uid="{00000000-0005-0000-0000-0000625E0000}"/>
    <cellStyle name="Note 11 3 2 2 4" xfId="21230" xr:uid="{00000000-0005-0000-0000-0000635E0000}"/>
    <cellStyle name="Note 11 3 2 3" xfId="7083" xr:uid="{00000000-0005-0000-0000-0000645E0000}"/>
    <cellStyle name="Note 11 3 2 3 2" xfId="15055" xr:uid="{00000000-0005-0000-0000-0000655E0000}"/>
    <cellStyle name="Note 11 3 2 3 3" xfId="23002" xr:uid="{00000000-0005-0000-0000-0000665E0000}"/>
    <cellStyle name="Note 11 3 2 4" xfId="11519" xr:uid="{00000000-0005-0000-0000-0000675E0000}"/>
    <cellStyle name="Note 11 3 2 5" xfId="19474" xr:uid="{00000000-0005-0000-0000-0000685E0000}"/>
    <cellStyle name="Note 11 3 2_Exh G" xfId="3583" xr:uid="{00000000-0005-0000-0000-0000695E0000}"/>
    <cellStyle name="Note 11 3 3" xfId="4372" xr:uid="{00000000-0005-0000-0000-00006A5E0000}"/>
    <cellStyle name="Note 11 3 3 2" xfId="7964" xr:uid="{00000000-0005-0000-0000-00006B5E0000}"/>
    <cellStyle name="Note 11 3 3 2 2" xfId="15935" xr:uid="{00000000-0005-0000-0000-00006C5E0000}"/>
    <cellStyle name="Note 11 3 3 2 3" xfId="23881" xr:uid="{00000000-0005-0000-0000-00006D5E0000}"/>
    <cellStyle name="Note 11 3 3 3" xfId="12397" xr:uid="{00000000-0005-0000-0000-00006E5E0000}"/>
    <cellStyle name="Note 11 3 3 4" xfId="20352" xr:uid="{00000000-0005-0000-0000-00006F5E0000}"/>
    <cellStyle name="Note 11 3 4" xfId="6192" xr:uid="{00000000-0005-0000-0000-0000705E0000}"/>
    <cellStyle name="Note 11 3 4 2" xfId="14176" xr:uid="{00000000-0005-0000-0000-0000715E0000}"/>
    <cellStyle name="Note 11 3 4 3" xfId="22124" xr:uid="{00000000-0005-0000-0000-0000725E0000}"/>
    <cellStyle name="Note 11 3 5" xfId="9745" xr:uid="{00000000-0005-0000-0000-0000735E0000}"/>
    <cellStyle name="Note 11 3 5 2" xfId="17703" xr:uid="{00000000-0005-0000-0000-0000745E0000}"/>
    <cellStyle name="Note 11 3 5 3" xfId="25647" xr:uid="{00000000-0005-0000-0000-0000755E0000}"/>
    <cellStyle name="Note 11 3 6" xfId="10641" xr:uid="{00000000-0005-0000-0000-0000765E0000}"/>
    <cellStyle name="Note 11 3 7" xfId="18596" xr:uid="{00000000-0005-0000-0000-0000775E0000}"/>
    <cellStyle name="Note 11 3_Exh G" xfId="3582" xr:uid="{00000000-0005-0000-0000-0000785E0000}"/>
    <cellStyle name="Note 11 4" xfId="1718" xr:uid="{00000000-0005-0000-0000-0000795E0000}"/>
    <cellStyle name="Note 11 4 2" xfId="5248" xr:uid="{00000000-0005-0000-0000-00007A5E0000}"/>
    <cellStyle name="Note 11 4 2 2" xfId="8839" xr:uid="{00000000-0005-0000-0000-00007B5E0000}"/>
    <cellStyle name="Note 11 4 2 2 2" xfId="16810" xr:uid="{00000000-0005-0000-0000-00007C5E0000}"/>
    <cellStyle name="Note 11 4 2 2 3" xfId="24756" xr:uid="{00000000-0005-0000-0000-00007D5E0000}"/>
    <cellStyle name="Note 11 4 2 3" xfId="13272" xr:uid="{00000000-0005-0000-0000-00007E5E0000}"/>
    <cellStyle name="Note 11 4 2 4" xfId="21227" xr:uid="{00000000-0005-0000-0000-00007F5E0000}"/>
    <cellStyle name="Note 11 4 3" xfId="7080" xr:uid="{00000000-0005-0000-0000-0000805E0000}"/>
    <cellStyle name="Note 11 4 3 2" xfId="15052" xr:uid="{00000000-0005-0000-0000-0000815E0000}"/>
    <cellStyle name="Note 11 4 3 3" xfId="22999" xr:uid="{00000000-0005-0000-0000-0000825E0000}"/>
    <cellStyle name="Note 11 4 4" xfId="11516" xr:uid="{00000000-0005-0000-0000-0000835E0000}"/>
    <cellStyle name="Note 11 4 5" xfId="19471" xr:uid="{00000000-0005-0000-0000-0000845E0000}"/>
    <cellStyle name="Note 11 4_Exh G" xfId="3584" xr:uid="{00000000-0005-0000-0000-0000855E0000}"/>
    <cellStyle name="Note 11 5" xfId="4369" xr:uid="{00000000-0005-0000-0000-0000865E0000}"/>
    <cellStyle name="Note 11 5 2" xfId="7961" xr:uid="{00000000-0005-0000-0000-0000875E0000}"/>
    <cellStyle name="Note 11 5 2 2" xfId="15932" xr:uid="{00000000-0005-0000-0000-0000885E0000}"/>
    <cellStyle name="Note 11 5 2 3" xfId="23878" xr:uid="{00000000-0005-0000-0000-0000895E0000}"/>
    <cellStyle name="Note 11 5 3" xfId="12394" xr:uid="{00000000-0005-0000-0000-00008A5E0000}"/>
    <cellStyle name="Note 11 5 4" xfId="20349" xr:uid="{00000000-0005-0000-0000-00008B5E0000}"/>
    <cellStyle name="Note 11 6" xfId="6189" xr:uid="{00000000-0005-0000-0000-00008C5E0000}"/>
    <cellStyle name="Note 11 6 2" xfId="14173" xr:uid="{00000000-0005-0000-0000-00008D5E0000}"/>
    <cellStyle name="Note 11 6 3" xfId="22121" xr:uid="{00000000-0005-0000-0000-00008E5E0000}"/>
    <cellStyle name="Note 11 7" xfId="9742" xr:uid="{00000000-0005-0000-0000-00008F5E0000}"/>
    <cellStyle name="Note 11 7 2" xfId="17700" xr:uid="{00000000-0005-0000-0000-0000905E0000}"/>
    <cellStyle name="Note 11 7 3" xfId="25644" xr:uid="{00000000-0005-0000-0000-0000915E0000}"/>
    <cellStyle name="Note 11 8" xfId="10638" xr:uid="{00000000-0005-0000-0000-0000925E0000}"/>
    <cellStyle name="Note 11 9" xfId="18593" xr:uid="{00000000-0005-0000-0000-0000935E0000}"/>
    <cellStyle name="Note 11_Exh G" xfId="3577" xr:uid="{00000000-0005-0000-0000-0000945E0000}"/>
    <cellStyle name="Note 12" xfId="694" xr:uid="{00000000-0005-0000-0000-0000955E0000}"/>
    <cellStyle name="Note 12 2" xfId="695" xr:uid="{00000000-0005-0000-0000-0000965E0000}"/>
    <cellStyle name="Note 12 2 2" xfId="696" xr:uid="{00000000-0005-0000-0000-0000975E0000}"/>
    <cellStyle name="Note 12 2 2 2" xfId="1724" xr:uid="{00000000-0005-0000-0000-0000985E0000}"/>
    <cellStyle name="Note 12 2 2 2 2" xfId="5254" xr:uid="{00000000-0005-0000-0000-0000995E0000}"/>
    <cellStyle name="Note 12 2 2 2 2 2" xfId="8845" xr:uid="{00000000-0005-0000-0000-00009A5E0000}"/>
    <cellStyle name="Note 12 2 2 2 2 2 2" xfId="16816" xr:uid="{00000000-0005-0000-0000-00009B5E0000}"/>
    <cellStyle name="Note 12 2 2 2 2 2 3" xfId="24762" xr:uid="{00000000-0005-0000-0000-00009C5E0000}"/>
    <cellStyle name="Note 12 2 2 2 2 3" xfId="13278" xr:uid="{00000000-0005-0000-0000-00009D5E0000}"/>
    <cellStyle name="Note 12 2 2 2 2 4" xfId="21233" xr:uid="{00000000-0005-0000-0000-00009E5E0000}"/>
    <cellStyle name="Note 12 2 2 2 3" xfId="7086" xr:uid="{00000000-0005-0000-0000-00009F5E0000}"/>
    <cellStyle name="Note 12 2 2 2 3 2" xfId="15058" xr:uid="{00000000-0005-0000-0000-0000A05E0000}"/>
    <cellStyle name="Note 12 2 2 2 3 3" xfId="23005" xr:uid="{00000000-0005-0000-0000-0000A15E0000}"/>
    <cellStyle name="Note 12 2 2 2 4" xfId="11522" xr:uid="{00000000-0005-0000-0000-0000A25E0000}"/>
    <cellStyle name="Note 12 2 2 2 5" xfId="19477" xr:uid="{00000000-0005-0000-0000-0000A35E0000}"/>
    <cellStyle name="Note 12 2 2 2_Exh G" xfId="3588" xr:uid="{00000000-0005-0000-0000-0000A45E0000}"/>
    <cellStyle name="Note 12 2 2 3" xfId="4375" xr:uid="{00000000-0005-0000-0000-0000A55E0000}"/>
    <cellStyle name="Note 12 2 2 3 2" xfId="7967" xr:uid="{00000000-0005-0000-0000-0000A65E0000}"/>
    <cellStyle name="Note 12 2 2 3 2 2" xfId="15938" xr:uid="{00000000-0005-0000-0000-0000A75E0000}"/>
    <cellStyle name="Note 12 2 2 3 2 3" xfId="23884" xr:uid="{00000000-0005-0000-0000-0000A85E0000}"/>
    <cellStyle name="Note 12 2 2 3 3" xfId="12400" xr:uid="{00000000-0005-0000-0000-0000A95E0000}"/>
    <cellStyle name="Note 12 2 2 3 4" xfId="20355" xr:uid="{00000000-0005-0000-0000-0000AA5E0000}"/>
    <cellStyle name="Note 12 2 2 4" xfId="6195" xr:uid="{00000000-0005-0000-0000-0000AB5E0000}"/>
    <cellStyle name="Note 12 2 2 4 2" xfId="14179" xr:uid="{00000000-0005-0000-0000-0000AC5E0000}"/>
    <cellStyle name="Note 12 2 2 4 3" xfId="22127" xr:uid="{00000000-0005-0000-0000-0000AD5E0000}"/>
    <cellStyle name="Note 12 2 2 5" xfId="9748" xr:uid="{00000000-0005-0000-0000-0000AE5E0000}"/>
    <cellStyle name="Note 12 2 2 5 2" xfId="17706" xr:uid="{00000000-0005-0000-0000-0000AF5E0000}"/>
    <cellStyle name="Note 12 2 2 5 3" xfId="25650" xr:uid="{00000000-0005-0000-0000-0000B05E0000}"/>
    <cellStyle name="Note 12 2 2 6" xfId="10644" xr:uid="{00000000-0005-0000-0000-0000B15E0000}"/>
    <cellStyle name="Note 12 2 2 7" xfId="18599" xr:uid="{00000000-0005-0000-0000-0000B25E0000}"/>
    <cellStyle name="Note 12 2 2_Exh G" xfId="3587" xr:uid="{00000000-0005-0000-0000-0000B35E0000}"/>
    <cellStyle name="Note 12 2 3" xfId="1723" xr:uid="{00000000-0005-0000-0000-0000B45E0000}"/>
    <cellStyle name="Note 12 2 3 2" xfId="5253" xr:uid="{00000000-0005-0000-0000-0000B55E0000}"/>
    <cellStyle name="Note 12 2 3 2 2" xfId="8844" xr:uid="{00000000-0005-0000-0000-0000B65E0000}"/>
    <cellStyle name="Note 12 2 3 2 2 2" xfId="16815" xr:uid="{00000000-0005-0000-0000-0000B75E0000}"/>
    <cellStyle name="Note 12 2 3 2 2 3" xfId="24761" xr:uid="{00000000-0005-0000-0000-0000B85E0000}"/>
    <cellStyle name="Note 12 2 3 2 3" xfId="13277" xr:uid="{00000000-0005-0000-0000-0000B95E0000}"/>
    <cellStyle name="Note 12 2 3 2 4" xfId="21232" xr:uid="{00000000-0005-0000-0000-0000BA5E0000}"/>
    <cellStyle name="Note 12 2 3 3" xfId="7085" xr:uid="{00000000-0005-0000-0000-0000BB5E0000}"/>
    <cellStyle name="Note 12 2 3 3 2" xfId="15057" xr:uid="{00000000-0005-0000-0000-0000BC5E0000}"/>
    <cellStyle name="Note 12 2 3 3 3" xfId="23004" xr:uid="{00000000-0005-0000-0000-0000BD5E0000}"/>
    <cellStyle name="Note 12 2 3 4" xfId="11521" xr:uid="{00000000-0005-0000-0000-0000BE5E0000}"/>
    <cellStyle name="Note 12 2 3 5" xfId="19476" xr:uid="{00000000-0005-0000-0000-0000BF5E0000}"/>
    <cellStyle name="Note 12 2 3_Exh G" xfId="3589" xr:uid="{00000000-0005-0000-0000-0000C05E0000}"/>
    <cellStyle name="Note 12 2 4" xfId="4374" xr:uid="{00000000-0005-0000-0000-0000C15E0000}"/>
    <cellStyle name="Note 12 2 4 2" xfId="7966" xr:uid="{00000000-0005-0000-0000-0000C25E0000}"/>
    <cellStyle name="Note 12 2 4 2 2" xfId="15937" xr:uid="{00000000-0005-0000-0000-0000C35E0000}"/>
    <cellStyle name="Note 12 2 4 2 3" xfId="23883" xr:uid="{00000000-0005-0000-0000-0000C45E0000}"/>
    <cellStyle name="Note 12 2 4 3" xfId="12399" xr:uid="{00000000-0005-0000-0000-0000C55E0000}"/>
    <cellStyle name="Note 12 2 4 4" xfId="20354" xr:uid="{00000000-0005-0000-0000-0000C65E0000}"/>
    <cellStyle name="Note 12 2 5" xfId="6194" xr:uid="{00000000-0005-0000-0000-0000C75E0000}"/>
    <cellStyle name="Note 12 2 5 2" xfId="14178" xr:uid="{00000000-0005-0000-0000-0000C85E0000}"/>
    <cellStyle name="Note 12 2 5 3" xfId="22126" xr:uid="{00000000-0005-0000-0000-0000C95E0000}"/>
    <cellStyle name="Note 12 2 6" xfId="9747" xr:uid="{00000000-0005-0000-0000-0000CA5E0000}"/>
    <cellStyle name="Note 12 2 6 2" xfId="17705" xr:uid="{00000000-0005-0000-0000-0000CB5E0000}"/>
    <cellStyle name="Note 12 2 6 3" xfId="25649" xr:uid="{00000000-0005-0000-0000-0000CC5E0000}"/>
    <cellStyle name="Note 12 2 7" xfId="10643" xr:uid="{00000000-0005-0000-0000-0000CD5E0000}"/>
    <cellStyle name="Note 12 2 8" xfId="18598" xr:uid="{00000000-0005-0000-0000-0000CE5E0000}"/>
    <cellStyle name="Note 12 2_Exh G" xfId="3586" xr:uid="{00000000-0005-0000-0000-0000CF5E0000}"/>
    <cellStyle name="Note 12 3" xfId="697" xr:uid="{00000000-0005-0000-0000-0000D05E0000}"/>
    <cellStyle name="Note 12 3 2" xfId="1725" xr:uid="{00000000-0005-0000-0000-0000D15E0000}"/>
    <cellStyle name="Note 12 3 2 2" xfId="5255" xr:uid="{00000000-0005-0000-0000-0000D25E0000}"/>
    <cellStyle name="Note 12 3 2 2 2" xfId="8846" xr:uid="{00000000-0005-0000-0000-0000D35E0000}"/>
    <cellStyle name="Note 12 3 2 2 2 2" xfId="16817" xr:uid="{00000000-0005-0000-0000-0000D45E0000}"/>
    <cellStyle name="Note 12 3 2 2 2 3" xfId="24763" xr:uid="{00000000-0005-0000-0000-0000D55E0000}"/>
    <cellStyle name="Note 12 3 2 2 3" xfId="13279" xr:uid="{00000000-0005-0000-0000-0000D65E0000}"/>
    <cellStyle name="Note 12 3 2 2 4" xfId="21234" xr:uid="{00000000-0005-0000-0000-0000D75E0000}"/>
    <cellStyle name="Note 12 3 2 3" xfId="7087" xr:uid="{00000000-0005-0000-0000-0000D85E0000}"/>
    <cellStyle name="Note 12 3 2 3 2" xfId="15059" xr:uid="{00000000-0005-0000-0000-0000D95E0000}"/>
    <cellStyle name="Note 12 3 2 3 3" xfId="23006" xr:uid="{00000000-0005-0000-0000-0000DA5E0000}"/>
    <cellStyle name="Note 12 3 2 4" xfId="11523" xr:uid="{00000000-0005-0000-0000-0000DB5E0000}"/>
    <cellStyle name="Note 12 3 2 5" xfId="19478" xr:uid="{00000000-0005-0000-0000-0000DC5E0000}"/>
    <cellStyle name="Note 12 3 2_Exh G" xfId="3591" xr:uid="{00000000-0005-0000-0000-0000DD5E0000}"/>
    <cellStyle name="Note 12 3 3" xfId="4376" xr:uid="{00000000-0005-0000-0000-0000DE5E0000}"/>
    <cellStyle name="Note 12 3 3 2" xfId="7968" xr:uid="{00000000-0005-0000-0000-0000DF5E0000}"/>
    <cellStyle name="Note 12 3 3 2 2" xfId="15939" xr:uid="{00000000-0005-0000-0000-0000E05E0000}"/>
    <cellStyle name="Note 12 3 3 2 3" xfId="23885" xr:uid="{00000000-0005-0000-0000-0000E15E0000}"/>
    <cellStyle name="Note 12 3 3 3" xfId="12401" xr:uid="{00000000-0005-0000-0000-0000E25E0000}"/>
    <cellStyle name="Note 12 3 3 4" xfId="20356" xr:uid="{00000000-0005-0000-0000-0000E35E0000}"/>
    <cellStyle name="Note 12 3 4" xfId="6196" xr:uid="{00000000-0005-0000-0000-0000E45E0000}"/>
    <cellStyle name="Note 12 3 4 2" xfId="14180" xr:uid="{00000000-0005-0000-0000-0000E55E0000}"/>
    <cellStyle name="Note 12 3 4 3" xfId="22128" xr:uid="{00000000-0005-0000-0000-0000E65E0000}"/>
    <cellStyle name="Note 12 3 5" xfId="9749" xr:uid="{00000000-0005-0000-0000-0000E75E0000}"/>
    <cellStyle name="Note 12 3 5 2" xfId="17707" xr:uid="{00000000-0005-0000-0000-0000E85E0000}"/>
    <cellStyle name="Note 12 3 5 3" xfId="25651" xr:uid="{00000000-0005-0000-0000-0000E95E0000}"/>
    <cellStyle name="Note 12 3 6" xfId="10645" xr:uid="{00000000-0005-0000-0000-0000EA5E0000}"/>
    <cellStyle name="Note 12 3 7" xfId="18600" xr:uid="{00000000-0005-0000-0000-0000EB5E0000}"/>
    <cellStyle name="Note 12 3_Exh G" xfId="3590" xr:uid="{00000000-0005-0000-0000-0000EC5E0000}"/>
    <cellStyle name="Note 12 4" xfId="1722" xr:uid="{00000000-0005-0000-0000-0000ED5E0000}"/>
    <cellStyle name="Note 12 4 2" xfId="5252" xr:uid="{00000000-0005-0000-0000-0000EE5E0000}"/>
    <cellStyle name="Note 12 4 2 2" xfId="8843" xr:uid="{00000000-0005-0000-0000-0000EF5E0000}"/>
    <cellStyle name="Note 12 4 2 2 2" xfId="16814" xr:uid="{00000000-0005-0000-0000-0000F05E0000}"/>
    <cellStyle name="Note 12 4 2 2 3" xfId="24760" xr:uid="{00000000-0005-0000-0000-0000F15E0000}"/>
    <cellStyle name="Note 12 4 2 3" xfId="13276" xr:uid="{00000000-0005-0000-0000-0000F25E0000}"/>
    <cellStyle name="Note 12 4 2 4" xfId="21231" xr:uid="{00000000-0005-0000-0000-0000F35E0000}"/>
    <cellStyle name="Note 12 4 3" xfId="7084" xr:uid="{00000000-0005-0000-0000-0000F45E0000}"/>
    <cellStyle name="Note 12 4 3 2" xfId="15056" xr:uid="{00000000-0005-0000-0000-0000F55E0000}"/>
    <cellStyle name="Note 12 4 3 3" xfId="23003" xr:uid="{00000000-0005-0000-0000-0000F65E0000}"/>
    <cellStyle name="Note 12 4 4" xfId="11520" xr:uid="{00000000-0005-0000-0000-0000F75E0000}"/>
    <cellStyle name="Note 12 4 5" xfId="19475" xr:uid="{00000000-0005-0000-0000-0000F85E0000}"/>
    <cellStyle name="Note 12 4_Exh G" xfId="3592" xr:uid="{00000000-0005-0000-0000-0000F95E0000}"/>
    <cellStyle name="Note 12 5" xfId="4373" xr:uid="{00000000-0005-0000-0000-0000FA5E0000}"/>
    <cellStyle name="Note 12 5 2" xfId="7965" xr:uid="{00000000-0005-0000-0000-0000FB5E0000}"/>
    <cellStyle name="Note 12 5 2 2" xfId="15936" xr:uid="{00000000-0005-0000-0000-0000FC5E0000}"/>
    <cellStyle name="Note 12 5 2 3" xfId="23882" xr:uid="{00000000-0005-0000-0000-0000FD5E0000}"/>
    <cellStyle name="Note 12 5 3" xfId="12398" xr:uid="{00000000-0005-0000-0000-0000FE5E0000}"/>
    <cellStyle name="Note 12 5 4" xfId="20353" xr:uid="{00000000-0005-0000-0000-0000FF5E0000}"/>
    <cellStyle name="Note 12 6" xfId="6193" xr:uid="{00000000-0005-0000-0000-0000005F0000}"/>
    <cellStyle name="Note 12 6 2" xfId="14177" xr:uid="{00000000-0005-0000-0000-0000015F0000}"/>
    <cellStyle name="Note 12 6 3" xfId="22125" xr:uid="{00000000-0005-0000-0000-0000025F0000}"/>
    <cellStyle name="Note 12 7" xfId="9746" xr:uid="{00000000-0005-0000-0000-0000035F0000}"/>
    <cellStyle name="Note 12 7 2" xfId="17704" xr:uid="{00000000-0005-0000-0000-0000045F0000}"/>
    <cellStyle name="Note 12 7 3" xfId="25648" xr:uid="{00000000-0005-0000-0000-0000055F0000}"/>
    <cellStyle name="Note 12 8" xfId="10642" xr:uid="{00000000-0005-0000-0000-0000065F0000}"/>
    <cellStyle name="Note 12 9" xfId="18597" xr:uid="{00000000-0005-0000-0000-0000075F0000}"/>
    <cellStyle name="Note 12_Exh G" xfId="3585" xr:uid="{00000000-0005-0000-0000-0000085F0000}"/>
    <cellStyle name="Note 13" xfId="698" xr:uid="{00000000-0005-0000-0000-0000095F0000}"/>
    <cellStyle name="Note 13 2" xfId="699" xr:uid="{00000000-0005-0000-0000-00000A5F0000}"/>
    <cellStyle name="Note 13 2 2" xfId="700" xr:uid="{00000000-0005-0000-0000-00000B5F0000}"/>
    <cellStyle name="Note 13 2 2 2" xfId="1728" xr:uid="{00000000-0005-0000-0000-00000C5F0000}"/>
    <cellStyle name="Note 13 2 2 2 2" xfId="5258" xr:uid="{00000000-0005-0000-0000-00000D5F0000}"/>
    <cellStyle name="Note 13 2 2 2 2 2" xfId="8849" xr:uid="{00000000-0005-0000-0000-00000E5F0000}"/>
    <cellStyle name="Note 13 2 2 2 2 2 2" xfId="16820" xr:uid="{00000000-0005-0000-0000-00000F5F0000}"/>
    <cellStyle name="Note 13 2 2 2 2 2 3" xfId="24766" xr:uid="{00000000-0005-0000-0000-0000105F0000}"/>
    <cellStyle name="Note 13 2 2 2 2 3" xfId="13282" xr:uid="{00000000-0005-0000-0000-0000115F0000}"/>
    <cellStyle name="Note 13 2 2 2 2 4" xfId="21237" xr:uid="{00000000-0005-0000-0000-0000125F0000}"/>
    <cellStyle name="Note 13 2 2 2 3" xfId="7090" xr:uid="{00000000-0005-0000-0000-0000135F0000}"/>
    <cellStyle name="Note 13 2 2 2 3 2" xfId="15062" xr:uid="{00000000-0005-0000-0000-0000145F0000}"/>
    <cellStyle name="Note 13 2 2 2 3 3" xfId="23009" xr:uid="{00000000-0005-0000-0000-0000155F0000}"/>
    <cellStyle name="Note 13 2 2 2 4" xfId="11526" xr:uid="{00000000-0005-0000-0000-0000165F0000}"/>
    <cellStyle name="Note 13 2 2 2 5" xfId="19481" xr:uid="{00000000-0005-0000-0000-0000175F0000}"/>
    <cellStyle name="Note 13 2 2 2_Exh G" xfId="3596" xr:uid="{00000000-0005-0000-0000-0000185F0000}"/>
    <cellStyle name="Note 13 2 2 3" xfId="4379" xr:uid="{00000000-0005-0000-0000-0000195F0000}"/>
    <cellStyle name="Note 13 2 2 3 2" xfId="7971" xr:uid="{00000000-0005-0000-0000-00001A5F0000}"/>
    <cellStyle name="Note 13 2 2 3 2 2" xfId="15942" xr:uid="{00000000-0005-0000-0000-00001B5F0000}"/>
    <cellStyle name="Note 13 2 2 3 2 3" xfId="23888" xr:uid="{00000000-0005-0000-0000-00001C5F0000}"/>
    <cellStyle name="Note 13 2 2 3 3" xfId="12404" xr:uid="{00000000-0005-0000-0000-00001D5F0000}"/>
    <cellStyle name="Note 13 2 2 3 4" xfId="20359" xr:uid="{00000000-0005-0000-0000-00001E5F0000}"/>
    <cellStyle name="Note 13 2 2 4" xfId="6199" xr:uid="{00000000-0005-0000-0000-00001F5F0000}"/>
    <cellStyle name="Note 13 2 2 4 2" xfId="14183" xr:uid="{00000000-0005-0000-0000-0000205F0000}"/>
    <cellStyle name="Note 13 2 2 4 3" xfId="22131" xr:uid="{00000000-0005-0000-0000-0000215F0000}"/>
    <cellStyle name="Note 13 2 2 5" xfId="9752" xr:uid="{00000000-0005-0000-0000-0000225F0000}"/>
    <cellStyle name="Note 13 2 2 5 2" xfId="17710" xr:uid="{00000000-0005-0000-0000-0000235F0000}"/>
    <cellStyle name="Note 13 2 2 5 3" xfId="25654" xr:uid="{00000000-0005-0000-0000-0000245F0000}"/>
    <cellStyle name="Note 13 2 2 6" xfId="10648" xr:uid="{00000000-0005-0000-0000-0000255F0000}"/>
    <cellStyle name="Note 13 2 2 7" xfId="18603" xr:uid="{00000000-0005-0000-0000-0000265F0000}"/>
    <cellStyle name="Note 13 2 2_Exh G" xfId="3595" xr:uid="{00000000-0005-0000-0000-0000275F0000}"/>
    <cellStyle name="Note 13 2 3" xfId="1727" xr:uid="{00000000-0005-0000-0000-0000285F0000}"/>
    <cellStyle name="Note 13 2 3 2" xfId="5257" xr:uid="{00000000-0005-0000-0000-0000295F0000}"/>
    <cellStyle name="Note 13 2 3 2 2" xfId="8848" xr:uid="{00000000-0005-0000-0000-00002A5F0000}"/>
    <cellStyle name="Note 13 2 3 2 2 2" xfId="16819" xr:uid="{00000000-0005-0000-0000-00002B5F0000}"/>
    <cellStyle name="Note 13 2 3 2 2 3" xfId="24765" xr:uid="{00000000-0005-0000-0000-00002C5F0000}"/>
    <cellStyle name="Note 13 2 3 2 3" xfId="13281" xr:uid="{00000000-0005-0000-0000-00002D5F0000}"/>
    <cellStyle name="Note 13 2 3 2 4" xfId="21236" xr:uid="{00000000-0005-0000-0000-00002E5F0000}"/>
    <cellStyle name="Note 13 2 3 3" xfId="7089" xr:uid="{00000000-0005-0000-0000-00002F5F0000}"/>
    <cellStyle name="Note 13 2 3 3 2" xfId="15061" xr:uid="{00000000-0005-0000-0000-0000305F0000}"/>
    <cellStyle name="Note 13 2 3 3 3" xfId="23008" xr:uid="{00000000-0005-0000-0000-0000315F0000}"/>
    <cellStyle name="Note 13 2 3 4" xfId="11525" xr:uid="{00000000-0005-0000-0000-0000325F0000}"/>
    <cellStyle name="Note 13 2 3 5" xfId="19480" xr:uid="{00000000-0005-0000-0000-0000335F0000}"/>
    <cellStyle name="Note 13 2 3_Exh G" xfId="3597" xr:uid="{00000000-0005-0000-0000-0000345F0000}"/>
    <cellStyle name="Note 13 2 4" xfId="4378" xr:uid="{00000000-0005-0000-0000-0000355F0000}"/>
    <cellStyle name="Note 13 2 4 2" xfId="7970" xr:uid="{00000000-0005-0000-0000-0000365F0000}"/>
    <cellStyle name="Note 13 2 4 2 2" xfId="15941" xr:uid="{00000000-0005-0000-0000-0000375F0000}"/>
    <cellStyle name="Note 13 2 4 2 3" xfId="23887" xr:uid="{00000000-0005-0000-0000-0000385F0000}"/>
    <cellStyle name="Note 13 2 4 3" xfId="12403" xr:uid="{00000000-0005-0000-0000-0000395F0000}"/>
    <cellStyle name="Note 13 2 4 4" xfId="20358" xr:uid="{00000000-0005-0000-0000-00003A5F0000}"/>
    <cellStyle name="Note 13 2 5" xfId="6198" xr:uid="{00000000-0005-0000-0000-00003B5F0000}"/>
    <cellStyle name="Note 13 2 5 2" xfId="14182" xr:uid="{00000000-0005-0000-0000-00003C5F0000}"/>
    <cellStyle name="Note 13 2 5 3" xfId="22130" xr:uid="{00000000-0005-0000-0000-00003D5F0000}"/>
    <cellStyle name="Note 13 2 6" xfId="9751" xr:uid="{00000000-0005-0000-0000-00003E5F0000}"/>
    <cellStyle name="Note 13 2 6 2" xfId="17709" xr:uid="{00000000-0005-0000-0000-00003F5F0000}"/>
    <cellStyle name="Note 13 2 6 3" xfId="25653" xr:uid="{00000000-0005-0000-0000-0000405F0000}"/>
    <cellStyle name="Note 13 2 7" xfId="10647" xr:uid="{00000000-0005-0000-0000-0000415F0000}"/>
    <cellStyle name="Note 13 2 8" xfId="18602" xr:uid="{00000000-0005-0000-0000-0000425F0000}"/>
    <cellStyle name="Note 13 2_Exh G" xfId="3594" xr:uid="{00000000-0005-0000-0000-0000435F0000}"/>
    <cellStyle name="Note 13 3" xfId="701" xr:uid="{00000000-0005-0000-0000-0000445F0000}"/>
    <cellStyle name="Note 13 3 2" xfId="1729" xr:uid="{00000000-0005-0000-0000-0000455F0000}"/>
    <cellStyle name="Note 13 3 2 2" xfId="5259" xr:uid="{00000000-0005-0000-0000-0000465F0000}"/>
    <cellStyle name="Note 13 3 2 2 2" xfId="8850" xr:uid="{00000000-0005-0000-0000-0000475F0000}"/>
    <cellStyle name="Note 13 3 2 2 2 2" xfId="16821" xr:uid="{00000000-0005-0000-0000-0000485F0000}"/>
    <cellStyle name="Note 13 3 2 2 2 3" xfId="24767" xr:uid="{00000000-0005-0000-0000-0000495F0000}"/>
    <cellStyle name="Note 13 3 2 2 3" xfId="13283" xr:uid="{00000000-0005-0000-0000-00004A5F0000}"/>
    <cellStyle name="Note 13 3 2 2 4" xfId="21238" xr:uid="{00000000-0005-0000-0000-00004B5F0000}"/>
    <cellStyle name="Note 13 3 2 3" xfId="7091" xr:uid="{00000000-0005-0000-0000-00004C5F0000}"/>
    <cellStyle name="Note 13 3 2 3 2" xfId="15063" xr:uid="{00000000-0005-0000-0000-00004D5F0000}"/>
    <cellStyle name="Note 13 3 2 3 3" xfId="23010" xr:uid="{00000000-0005-0000-0000-00004E5F0000}"/>
    <cellStyle name="Note 13 3 2 4" xfId="11527" xr:uid="{00000000-0005-0000-0000-00004F5F0000}"/>
    <cellStyle name="Note 13 3 2 5" xfId="19482" xr:uid="{00000000-0005-0000-0000-0000505F0000}"/>
    <cellStyle name="Note 13 3 2_Exh G" xfId="3599" xr:uid="{00000000-0005-0000-0000-0000515F0000}"/>
    <cellStyle name="Note 13 3 3" xfId="4380" xr:uid="{00000000-0005-0000-0000-0000525F0000}"/>
    <cellStyle name="Note 13 3 3 2" xfId="7972" xr:uid="{00000000-0005-0000-0000-0000535F0000}"/>
    <cellStyle name="Note 13 3 3 2 2" xfId="15943" xr:uid="{00000000-0005-0000-0000-0000545F0000}"/>
    <cellStyle name="Note 13 3 3 2 3" xfId="23889" xr:uid="{00000000-0005-0000-0000-0000555F0000}"/>
    <cellStyle name="Note 13 3 3 3" xfId="12405" xr:uid="{00000000-0005-0000-0000-0000565F0000}"/>
    <cellStyle name="Note 13 3 3 4" xfId="20360" xr:uid="{00000000-0005-0000-0000-0000575F0000}"/>
    <cellStyle name="Note 13 3 4" xfId="6200" xr:uid="{00000000-0005-0000-0000-0000585F0000}"/>
    <cellStyle name="Note 13 3 4 2" xfId="14184" xr:uid="{00000000-0005-0000-0000-0000595F0000}"/>
    <cellStyle name="Note 13 3 4 3" xfId="22132" xr:uid="{00000000-0005-0000-0000-00005A5F0000}"/>
    <cellStyle name="Note 13 3 5" xfId="9753" xr:uid="{00000000-0005-0000-0000-00005B5F0000}"/>
    <cellStyle name="Note 13 3 5 2" xfId="17711" xr:uid="{00000000-0005-0000-0000-00005C5F0000}"/>
    <cellStyle name="Note 13 3 5 3" xfId="25655" xr:uid="{00000000-0005-0000-0000-00005D5F0000}"/>
    <cellStyle name="Note 13 3 6" xfId="10649" xr:uid="{00000000-0005-0000-0000-00005E5F0000}"/>
    <cellStyle name="Note 13 3 7" xfId="18604" xr:uid="{00000000-0005-0000-0000-00005F5F0000}"/>
    <cellStyle name="Note 13 3_Exh G" xfId="3598" xr:uid="{00000000-0005-0000-0000-0000605F0000}"/>
    <cellStyle name="Note 13 4" xfId="1726" xr:uid="{00000000-0005-0000-0000-0000615F0000}"/>
    <cellStyle name="Note 13 4 2" xfId="5256" xr:uid="{00000000-0005-0000-0000-0000625F0000}"/>
    <cellStyle name="Note 13 4 2 2" xfId="8847" xr:uid="{00000000-0005-0000-0000-0000635F0000}"/>
    <cellStyle name="Note 13 4 2 2 2" xfId="16818" xr:uid="{00000000-0005-0000-0000-0000645F0000}"/>
    <cellStyle name="Note 13 4 2 2 3" xfId="24764" xr:uid="{00000000-0005-0000-0000-0000655F0000}"/>
    <cellStyle name="Note 13 4 2 3" xfId="13280" xr:uid="{00000000-0005-0000-0000-0000665F0000}"/>
    <cellStyle name="Note 13 4 2 4" xfId="21235" xr:uid="{00000000-0005-0000-0000-0000675F0000}"/>
    <cellStyle name="Note 13 4 3" xfId="7088" xr:uid="{00000000-0005-0000-0000-0000685F0000}"/>
    <cellStyle name="Note 13 4 3 2" xfId="15060" xr:uid="{00000000-0005-0000-0000-0000695F0000}"/>
    <cellStyle name="Note 13 4 3 3" xfId="23007" xr:uid="{00000000-0005-0000-0000-00006A5F0000}"/>
    <cellStyle name="Note 13 4 4" xfId="11524" xr:uid="{00000000-0005-0000-0000-00006B5F0000}"/>
    <cellStyle name="Note 13 4 5" xfId="19479" xr:uid="{00000000-0005-0000-0000-00006C5F0000}"/>
    <cellStyle name="Note 13 4_Exh G" xfId="3600" xr:uid="{00000000-0005-0000-0000-00006D5F0000}"/>
    <cellStyle name="Note 13 5" xfId="4377" xr:uid="{00000000-0005-0000-0000-00006E5F0000}"/>
    <cellStyle name="Note 13 5 2" xfId="7969" xr:uid="{00000000-0005-0000-0000-00006F5F0000}"/>
    <cellStyle name="Note 13 5 2 2" xfId="15940" xr:uid="{00000000-0005-0000-0000-0000705F0000}"/>
    <cellStyle name="Note 13 5 2 3" xfId="23886" xr:uid="{00000000-0005-0000-0000-0000715F0000}"/>
    <cellStyle name="Note 13 5 3" xfId="12402" xr:uid="{00000000-0005-0000-0000-0000725F0000}"/>
    <cellStyle name="Note 13 5 4" xfId="20357" xr:uid="{00000000-0005-0000-0000-0000735F0000}"/>
    <cellStyle name="Note 13 6" xfId="6197" xr:uid="{00000000-0005-0000-0000-0000745F0000}"/>
    <cellStyle name="Note 13 6 2" xfId="14181" xr:uid="{00000000-0005-0000-0000-0000755F0000}"/>
    <cellStyle name="Note 13 6 3" xfId="22129" xr:uid="{00000000-0005-0000-0000-0000765F0000}"/>
    <cellStyle name="Note 13 7" xfId="9750" xr:uid="{00000000-0005-0000-0000-0000775F0000}"/>
    <cellStyle name="Note 13 7 2" xfId="17708" xr:uid="{00000000-0005-0000-0000-0000785F0000}"/>
    <cellStyle name="Note 13 7 3" xfId="25652" xr:uid="{00000000-0005-0000-0000-0000795F0000}"/>
    <cellStyle name="Note 13 8" xfId="10646" xr:uid="{00000000-0005-0000-0000-00007A5F0000}"/>
    <cellStyle name="Note 13 9" xfId="18601" xr:uid="{00000000-0005-0000-0000-00007B5F0000}"/>
    <cellStyle name="Note 13_Exh G" xfId="3593" xr:uid="{00000000-0005-0000-0000-00007C5F0000}"/>
    <cellStyle name="Note 14" xfId="702" xr:uid="{00000000-0005-0000-0000-00007D5F0000}"/>
    <cellStyle name="Note 14 2" xfId="703" xr:uid="{00000000-0005-0000-0000-00007E5F0000}"/>
    <cellStyle name="Note 14 2 2" xfId="704" xr:uid="{00000000-0005-0000-0000-00007F5F0000}"/>
    <cellStyle name="Note 14 2 2 2" xfId="1732" xr:uid="{00000000-0005-0000-0000-0000805F0000}"/>
    <cellStyle name="Note 14 2 2 2 2" xfId="5262" xr:uid="{00000000-0005-0000-0000-0000815F0000}"/>
    <cellStyle name="Note 14 2 2 2 2 2" xfId="8853" xr:uid="{00000000-0005-0000-0000-0000825F0000}"/>
    <cellStyle name="Note 14 2 2 2 2 2 2" xfId="16824" xr:uid="{00000000-0005-0000-0000-0000835F0000}"/>
    <cellStyle name="Note 14 2 2 2 2 2 3" xfId="24770" xr:uid="{00000000-0005-0000-0000-0000845F0000}"/>
    <cellStyle name="Note 14 2 2 2 2 3" xfId="13286" xr:uid="{00000000-0005-0000-0000-0000855F0000}"/>
    <cellStyle name="Note 14 2 2 2 2 4" xfId="21241" xr:uid="{00000000-0005-0000-0000-0000865F0000}"/>
    <cellStyle name="Note 14 2 2 2 3" xfId="7094" xr:uid="{00000000-0005-0000-0000-0000875F0000}"/>
    <cellStyle name="Note 14 2 2 2 3 2" xfId="15066" xr:uid="{00000000-0005-0000-0000-0000885F0000}"/>
    <cellStyle name="Note 14 2 2 2 3 3" xfId="23013" xr:uid="{00000000-0005-0000-0000-0000895F0000}"/>
    <cellStyle name="Note 14 2 2 2 4" xfId="11530" xr:uid="{00000000-0005-0000-0000-00008A5F0000}"/>
    <cellStyle name="Note 14 2 2 2 5" xfId="19485" xr:uid="{00000000-0005-0000-0000-00008B5F0000}"/>
    <cellStyle name="Note 14 2 2 2_Exh G" xfId="3604" xr:uid="{00000000-0005-0000-0000-00008C5F0000}"/>
    <cellStyle name="Note 14 2 2 3" xfId="4383" xr:uid="{00000000-0005-0000-0000-00008D5F0000}"/>
    <cellStyle name="Note 14 2 2 3 2" xfId="7975" xr:uid="{00000000-0005-0000-0000-00008E5F0000}"/>
    <cellStyle name="Note 14 2 2 3 2 2" xfId="15946" xr:uid="{00000000-0005-0000-0000-00008F5F0000}"/>
    <cellStyle name="Note 14 2 2 3 2 3" xfId="23892" xr:uid="{00000000-0005-0000-0000-0000905F0000}"/>
    <cellStyle name="Note 14 2 2 3 3" xfId="12408" xr:uid="{00000000-0005-0000-0000-0000915F0000}"/>
    <cellStyle name="Note 14 2 2 3 4" xfId="20363" xr:uid="{00000000-0005-0000-0000-0000925F0000}"/>
    <cellStyle name="Note 14 2 2 4" xfId="6203" xr:uid="{00000000-0005-0000-0000-0000935F0000}"/>
    <cellStyle name="Note 14 2 2 4 2" xfId="14187" xr:uid="{00000000-0005-0000-0000-0000945F0000}"/>
    <cellStyle name="Note 14 2 2 4 3" xfId="22135" xr:uid="{00000000-0005-0000-0000-0000955F0000}"/>
    <cellStyle name="Note 14 2 2 5" xfId="9756" xr:uid="{00000000-0005-0000-0000-0000965F0000}"/>
    <cellStyle name="Note 14 2 2 5 2" xfId="17714" xr:uid="{00000000-0005-0000-0000-0000975F0000}"/>
    <cellStyle name="Note 14 2 2 5 3" xfId="25658" xr:uid="{00000000-0005-0000-0000-0000985F0000}"/>
    <cellStyle name="Note 14 2 2 6" xfId="10652" xr:uid="{00000000-0005-0000-0000-0000995F0000}"/>
    <cellStyle name="Note 14 2 2 7" xfId="18607" xr:uid="{00000000-0005-0000-0000-00009A5F0000}"/>
    <cellStyle name="Note 14 2 2_Exh G" xfId="3603" xr:uid="{00000000-0005-0000-0000-00009B5F0000}"/>
    <cellStyle name="Note 14 2 3" xfId="1731" xr:uid="{00000000-0005-0000-0000-00009C5F0000}"/>
    <cellStyle name="Note 14 2 3 2" xfId="5261" xr:uid="{00000000-0005-0000-0000-00009D5F0000}"/>
    <cellStyle name="Note 14 2 3 2 2" xfId="8852" xr:uid="{00000000-0005-0000-0000-00009E5F0000}"/>
    <cellStyle name="Note 14 2 3 2 2 2" xfId="16823" xr:uid="{00000000-0005-0000-0000-00009F5F0000}"/>
    <cellStyle name="Note 14 2 3 2 2 3" xfId="24769" xr:uid="{00000000-0005-0000-0000-0000A05F0000}"/>
    <cellStyle name="Note 14 2 3 2 3" xfId="13285" xr:uid="{00000000-0005-0000-0000-0000A15F0000}"/>
    <cellStyle name="Note 14 2 3 2 4" xfId="21240" xr:uid="{00000000-0005-0000-0000-0000A25F0000}"/>
    <cellStyle name="Note 14 2 3 3" xfId="7093" xr:uid="{00000000-0005-0000-0000-0000A35F0000}"/>
    <cellStyle name="Note 14 2 3 3 2" xfId="15065" xr:uid="{00000000-0005-0000-0000-0000A45F0000}"/>
    <cellStyle name="Note 14 2 3 3 3" xfId="23012" xr:uid="{00000000-0005-0000-0000-0000A55F0000}"/>
    <cellStyle name="Note 14 2 3 4" xfId="11529" xr:uid="{00000000-0005-0000-0000-0000A65F0000}"/>
    <cellStyle name="Note 14 2 3 5" xfId="19484" xr:uid="{00000000-0005-0000-0000-0000A75F0000}"/>
    <cellStyle name="Note 14 2 3_Exh G" xfId="3605" xr:uid="{00000000-0005-0000-0000-0000A85F0000}"/>
    <cellStyle name="Note 14 2 4" xfId="4382" xr:uid="{00000000-0005-0000-0000-0000A95F0000}"/>
    <cellStyle name="Note 14 2 4 2" xfId="7974" xr:uid="{00000000-0005-0000-0000-0000AA5F0000}"/>
    <cellStyle name="Note 14 2 4 2 2" xfId="15945" xr:uid="{00000000-0005-0000-0000-0000AB5F0000}"/>
    <cellStyle name="Note 14 2 4 2 3" xfId="23891" xr:uid="{00000000-0005-0000-0000-0000AC5F0000}"/>
    <cellStyle name="Note 14 2 4 3" xfId="12407" xr:uid="{00000000-0005-0000-0000-0000AD5F0000}"/>
    <cellStyle name="Note 14 2 4 4" xfId="20362" xr:uid="{00000000-0005-0000-0000-0000AE5F0000}"/>
    <cellStyle name="Note 14 2 5" xfId="6202" xr:uid="{00000000-0005-0000-0000-0000AF5F0000}"/>
    <cellStyle name="Note 14 2 5 2" xfId="14186" xr:uid="{00000000-0005-0000-0000-0000B05F0000}"/>
    <cellStyle name="Note 14 2 5 3" xfId="22134" xr:uid="{00000000-0005-0000-0000-0000B15F0000}"/>
    <cellStyle name="Note 14 2 6" xfId="9755" xr:uid="{00000000-0005-0000-0000-0000B25F0000}"/>
    <cellStyle name="Note 14 2 6 2" xfId="17713" xr:uid="{00000000-0005-0000-0000-0000B35F0000}"/>
    <cellStyle name="Note 14 2 6 3" xfId="25657" xr:uid="{00000000-0005-0000-0000-0000B45F0000}"/>
    <cellStyle name="Note 14 2 7" xfId="10651" xr:uid="{00000000-0005-0000-0000-0000B55F0000}"/>
    <cellStyle name="Note 14 2 8" xfId="18606" xr:uid="{00000000-0005-0000-0000-0000B65F0000}"/>
    <cellStyle name="Note 14 2_Exh G" xfId="3602" xr:uid="{00000000-0005-0000-0000-0000B75F0000}"/>
    <cellStyle name="Note 14 3" xfId="705" xr:uid="{00000000-0005-0000-0000-0000B85F0000}"/>
    <cellStyle name="Note 14 3 2" xfId="1733" xr:uid="{00000000-0005-0000-0000-0000B95F0000}"/>
    <cellStyle name="Note 14 3 2 2" xfId="5263" xr:uid="{00000000-0005-0000-0000-0000BA5F0000}"/>
    <cellStyle name="Note 14 3 2 2 2" xfId="8854" xr:uid="{00000000-0005-0000-0000-0000BB5F0000}"/>
    <cellStyle name="Note 14 3 2 2 2 2" xfId="16825" xr:uid="{00000000-0005-0000-0000-0000BC5F0000}"/>
    <cellStyle name="Note 14 3 2 2 2 3" xfId="24771" xr:uid="{00000000-0005-0000-0000-0000BD5F0000}"/>
    <cellStyle name="Note 14 3 2 2 3" xfId="13287" xr:uid="{00000000-0005-0000-0000-0000BE5F0000}"/>
    <cellStyle name="Note 14 3 2 2 4" xfId="21242" xr:uid="{00000000-0005-0000-0000-0000BF5F0000}"/>
    <cellStyle name="Note 14 3 2 3" xfId="7095" xr:uid="{00000000-0005-0000-0000-0000C05F0000}"/>
    <cellStyle name="Note 14 3 2 3 2" xfId="15067" xr:uid="{00000000-0005-0000-0000-0000C15F0000}"/>
    <cellStyle name="Note 14 3 2 3 3" xfId="23014" xr:uid="{00000000-0005-0000-0000-0000C25F0000}"/>
    <cellStyle name="Note 14 3 2 4" xfId="11531" xr:uid="{00000000-0005-0000-0000-0000C35F0000}"/>
    <cellStyle name="Note 14 3 2 5" xfId="19486" xr:uid="{00000000-0005-0000-0000-0000C45F0000}"/>
    <cellStyle name="Note 14 3 2_Exh G" xfId="3607" xr:uid="{00000000-0005-0000-0000-0000C55F0000}"/>
    <cellStyle name="Note 14 3 3" xfId="4384" xr:uid="{00000000-0005-0000-0000-0000C65F0000}"/>
    <cellStyle name="Note 14 3 3 2" xfId="7976" xr:uid="{00000000-0005-0000-0000-0000C75F0000}"/>
    <cellStyle name="Note 14 3 3 2 2" xfId="15947" xr:uid="{00000000-0005-0000-0000-0000C85F0000}"/>
    <cellStyle name="Note 14 3 3 2 3" xfId="23893" xr:uid="{00000000-0005-0000-0000-0000C95F0000}"/>
    <cellStyle name="Note 14 3 3 3" xfId="12409" xr:uid="{00000000-0005-0000-0000-0000CA5F0000}"/>
    <cellStyle name="Note 14 3 3 4" xfId="20364" xr:uid="{00000000-0005-0000-0000-0000CB5F0000}"/>
    <cellStyle name="Note 14 3 4" xfId="6204" xr:uid="{00000000-0005-0000-0000-0000CC5F0000}"/>
    <cellStyle name="Note 14 3 4 2" xfId="14188" xr:uid="{00000000-0005-0000-0000-0000CD5F0000}"/>
    <cellStyle name="Note 14 3 4 3" xfId="22136" xr:uid="{00000000-0005-0000-0000-0000CE5F0000}"/>
    <cellStyle name="Note 14 3 5" xfId="9757" xr:uid="{00000000-0005-0000-0000-0000CF5F0000}"/>
    <cellStyle name="Note 14 3 5 2" xfId="17715" xr:uid="{00000000-0005-0000-0000-0000D05F0000}"/>
    <cellStyle name="Note 14 3 5 3" xfId="25659" xr:uid="{00000000-0005-0000-0000-0000D15F0000}"/>
    <cellStyle name="Note 14 3 6" xfId="10653" xr:uid="{00000000-0005-0000-0000-0000D25F0000}"/>
    <cellStyle name="Note 14 3 7" xfId="18608" xr:uid="{00000000-0005-0000-0000-0000D35F0000}"/>
    <cellStyle name="Note 14 3_Exh G" xfId="3606" xr:uid="{00000000-0005-0000-0000-0000D45F0000}"/>
    <cellStyle name="Note 14 4" xfId="1730" xr:uid="{00000000-0005-0000-0000-0000D55F0000}"/>
    <cellStyle name="Note 14 4 2" xfId="5260" xr:uid="{00000000-0005-0000-0000-0000D65F0000}"/>
    <cellStyle name="Note 14 4 2 2" xfId="8851" xr:uid="{00000000-0005-0000-0000-0000D75F0000}"/>
    <cellStyle name="Note 14 4 2 2 2" xfId="16822" xr:uid="{00000000-0005-0000-0000-0000D85F0000}"/>
    <cellStyle name="Note 14 4 2 2 3" xfId="24768" xr:uid="{00000000-0005-0000-0000-0000D95F0000}"/>
    <cellStyle name="Note 14 4 2 3" xfId="13284" xr:uid="{00000000-0005-0000-0000-0000DA5F0000}"/>
    <cellStyle name="Note 14 4 2 4" xfId="21239" xr:uid="{00000000-0005-0000-0000-0000DB5F0000}"/>
    <cellStyle name="Note 14 4 3" xfId="7092" xr:uid="{00000000-0005-0000-0000-0000DC5F0000}"/>
    <cellStyle name="Note 14 4 3 2" xfId="15064" xr:uid="{00000000-0005-0000-0000-0000DD5F0000}"/>
    <cellStyle name="Note 14 4 3 3" xfId="23011" xr:uid="{00000000-0005-0000-0000-0000DE5F0000}"/>
    <cellStyle name="Note 14 4 4" xfId="11528" xr:uid="{00000000-0005-0000-0000-0000DF5F0000}"/>
    <cellStyle name="Note 14 4 5" xfId="19483" xr:uid="{00000000-0005-0000-0000-0000E05F0000}"/>
    <cellStyle name="Note 14 4_Exh G" xfId="3608" xr:uid="{00000000-0005-0000-0000-0000E15F0000}"/>
    <cellStyle name="Note 14 5" xfId="4381" xr:uid="{00000000-0005-0000-0000-0000E25F0000}"/>
    <cellStyle name="Note 14 5 2" xfId="7973" xr:uid="{00000000-0005-0000-0000-0000E35F0000}"/>
    <cellStyle name="Note 14 5 2 2" xfId="15944" xr:uid="{00000000-0005-0000-0000-0000E45F0000}"/>
    <cellStyle name="Note 14 5 2 3" xfId="23890" xr:uid="{00000000-0005-0000-0000-0000E55F0000}"/>
    <cellStyle name="Note 14 5 3" xfId="12406" xr:uid="{00000000-0005-0000-0000-0000E65F0000}"/>
    <cellStyle name="Note 14 5 4" xfId="20361" xr:uid="{00000000-0005-0000-0000-0000E75F0000}"/>
    <cellStyle name="Note 14 6" xfId="6201" xr:uid="{00000000-0005-0000-0000-0000E85F0000}"/>
    <cellStyle name="Note 14 6 2" xfId="14185" xr:uid="{00000000-0005-0000-0000-0000E95F0000}"/>
    <cellStyle name="Note 14 6 3" xfId="22133" xr:uid="{00000000-0005-0000-0000-0000EA5F0000}"/>
    <cellStyle name="Note 14 7" xfId="9754" xr:uid="{00000000-0005-0000-0000-0000EB5F0000}"/>
    <cellStyle name="Note 14 7 2" xfId="17712" xr:uid="{00000000-0005-0000-0000-0000EC5F0000}"/>
    <cellStyle name="Note 14 7 3" xfId="25656" xr:uid="{00000000-0005-0000-0000-0000ED5F0000}"/>
    <cellStyle name="Note 14 8" xfId="10650" xr:uid="{00000000-0005-0000-0000-0000EE5F0000}"/>
    <cellStyle name="Note 14 9" xfId="18605" xr:uid="{00000000-0005-0000-0000-0000EF5F0000}"/>
    <cellStyle name="Note 14_Exh G" xfId="3601" xr:uid="{00000000-0005-0000-0000-0000F05F0000}"/>
    <cellStyle name="Note 15" xfId="706" xr:uid="{00000000-0005-0000-0000-0000F15F0000}"/>
    <cellStyle name="Note 15 2" xfId="1734" xr:uid="{00000000-0005-0000-0000-0000F25F0000}"/>
    <cellStyle name="Note 15 2 2" xfId="5264" xr:uid="{00000000-0005-0000-0000-0000F35F0000}"/>
    <cellStyle name="Note 15 2 2 2" xfId="8855" xr:uid="{00000000-0005-0000-0000-0000F45F0000}"/>
    <cellStyle name="Note 15 2 2 2 2" xfId="16826" xr:uid="{00000000-0005-0000-0000-0000F55F0000}"/>
    <cellStyle name="Note 15 2 2 2 3" xfId="24772" xr:uid="{00000000-0005-0000-0000-0000F65F0000}"/>
    <cellStyle name="Note 15 2 2 3" xfId="13288" xr:uid="{00000000-0005-0000-0000-0000F75F0000}"/>
    <cellStyle name="Note 15 2 2 4" xfId="21243" xr:uid="{00000000-0005-0000-0000-0000F85F0000}"/>
    <cellStyle name="Note 15 2 3" xfId="7096" xr:uid="{00000000-0005-0000-0000-0000F95F0000}"/>
    <cellStyle name="Note 15 2 3 2" xfId="15068" xr:uid="{00000000-0005-0000-0000-0000FA5F0000}"/>
    <cellStyle name="Note 15 2 3 3" xfId="23015" xr:uid="{00000000-0005-0000-0000-0000FB5F0000}"/>
    <cellStyle name="Note 15 2 4" xfId="11532" xr:uid="{00000000-0005-0000-0000-0000FC5F0000}"/>
    <cellStyle name="Note 15 2 5" xfId="19487" xr:uid="{00000000-0005-0000-0000-0000FD5F0000}"/>
    <cellStyle name="Note 15 2_Exh G" xfId="3610" xr:uid="{00000000-0005-0000-0000-0000FE5F0000}"/>
    <cellStyle name="Note 15 3" xfId="4385" xr:uid="{00000000-0005-0000-0000-0000FF5F0000}"/>
    <cellStyle name="Note 15 3 2" xfId="7977" xr:uid="{00000000-0005-0000-0000-000000600000}"/>
    <cellStyle name="Note 15 3 2 2" xfId="15948" xr:uid="{00000000-0005-0000-0000-000001600000}"/>
    <cellStyle name="Note 15 3 2 3" xfId="23894" xr:uid="{00000000-0005-0000-0000-000002600000}"/>
    <cellStyle name="Note 15 3 3" xfId="12410" xr:uid="{00000000-0005-0000-0000-000003600000}"/>
    <cellStyle name="Note 15 3 4" xfId="20365" xr:uid="{00000000-0005-0000-0000-000004600000}"/>
    <cellStyle name="Note 15 4" xfId="6205" xr:uid="{00000000-0005-0000-0000-000005600000}"/>
    <cellStyle name="Note 15 4 2" xfId="14189" xr:uid="{00000000-0005-0000-0000-000006600000}"/>
    <cellStyle name="Note 15 4 3" xfId="22137" xr:uid="{00000000-0005-0000-0000-000007600000}"/>
    <cellStyle name="Note 15 5" xfId="9758" xr:uid="{00000000-0005-0000-0000-000008600000}"/>
    <cellStyle name="Note 15 5 2" xfId="17716" xr:uid="{00000000-0005-0000-0000-000009600000}"/>
    <cellStyle name="Note 15 5 3" xfId="25660" xr:uid="{00000000-0005-0000-0000-00000A600000}"/>
    <cellStyle name="Note 15 6" xfId="10654" xr:uid="{00000000-0005-0000-0000-00000B600000}"/>
    <cellStyle name="Note 15 7" xfId="18609" xr:uid="{00000000-0005-0000-0000-00000C600000}"/>
    <cellStyle name="Note 15_Exh G" xfId="3609" xr:uid="{00000000-0005-0000-0000-00000D600000}"/>
    <cellStyle name="Note 16" xfId="855" xr:uid="{00000000-0005-0000-0000-00000E600000}"/>
    <cellStyle name="Note 16 2" xfId="1794" xr:uid="{00000000-0005-0000-0000-00000F600000}"/>
    <cellStyle name="Note 16 2 2" xfId="5315" xr:uid="{00000000-0005-0000-0000-000010600000}"/>
    <cellStyle name="Note 16 2 2 2" xfId="8906" xr:uid="{00000000-0005-0000-0000-000011600000}"/>
    <cellStyle name="Note 16 2 2 2 2" xfId="16877" xr:uid="{00000000-0005-0000-0000-000012600000}"/>
    <cellStyle name="Note 16 2 2 2 3" xfId="24823" xr:uid="{00000000-0005-0000-0000-000013600000}"/>
    <cellStyle name="Note 16 2 2 3" xfId="13339" xr:uid="{00000000-0005-0000-0000-000014600000}"/>
    <cellStyle name="Note 16 2 2 4" xfId="21294" xr:uid="{00000000-0005-0000-0000-000015600000}"/>
    <cellStyle name="Note 16 2 3" xfId="7147" xr:uid="{00000000-0005-0000-0000-000016600000}"/>
    <cellStyle name="Note 16 2 3 2" xfId="15119" xr:uid="{00000000-0005-0000-0000-000017600000}"/>
    <cellStyle name="Note 16 2 3 3" xfId="23066" xr:uid="{00000000-0005-0000-0000-000018600000}"/>
    <cellStyle name="Note 16 2 4" xfId="11583" xr:uid="{00000000-0005-0000-0000-000019600000}"/>
    <cellStyle name="Note 16 2 5" xfId="19538" xr:uid="{00000000-0005-0000-0000-00001A600000}"/>
    <cellStyle name="Note 16 2_Exh G" xfId="3612" xr:uid="{00000000-0005-0000-0000-00001B600000}"/>
    <cellStyle name="Note 16 3" xfId="4436" xr:uid="{00000000-0005-0000-0000-00001C600000}"/>
    <cellStyle name="Note 16 3 2" xfId="8028" xr:uid="{00000000-0005-0000-0000-00001D600000}"/>
    <cellStyle name="Note 16 3 2 2" xfId="15999" xr:uid="{00000000-0005-0000-0000-00001E600000}"/>
    <cellStyle name="Note 16 3 2 3" xfId="23945" xr:uid="{00000000-0005-0000-0000-00001F600000}"/>
    <cellStyle name="Note 16 3 3" xfId="12461" xr:uid="{00000000-0005-0000-0000-000020600000}"/>
    <cellStyle name="Note 16 3 4" xfId="20416" xr:uid="{00000000-0005-0000-0000-000021600000}"/>
    <cellStyle name="Note 16 4" xfId="6266" xr:uid="{00000000-0005-0000-0000-000022600000}"/>
    <cellStyle name="Note 16 4 2" xfId="14241" xr:uid="{00000000-0005-0000-0000-000023600000}"/>
    <cellStyle name="Note 16 4 3" xfId="22188" xr:uid="{00000000-0005-0000-0000-000024600000}"/>
    <cellStyle name="Note 16 5" xfId="9809" xr:uid="{00000000-0005-0000-0000-000025600000}"/>
    <cellStyle name="Note 16 5 2" xfId="17767" xr:uid="{00000000-0005-0000-0000-000026600000}"/>
    <cellStyle name="Note 16 5 3" xfId="25711" xr:uid="{00000000-0005-0000-0000-000027600000}"/>
    <cellStyle name="Note 16 6" xfId="10705" xr:uid="{00000000-0005-0000-0000-000028600000}"/>
    <cellStyle name="Note 16 7" xfId="18660" xr:uid="{00000000-0005-0000-0000-000029600000}"/>
    <cellStyle name="Note 16_Exh G" xfId="3611" xr:uid="{00000000-0005-0000-0000-00002A600000}"/>
    <cellStyle name="Note 2" xfId="22" xr:uid="{00000000-0005-0000-0000-00002B600000}"/>
    <cellStyle name="Note 2 10" xfId="17927" xr:uid="{00000000-0005-0000-0000-00002C600000}"/>
    <cellStyle name="Note 2 2" xfId="707" xr:uid="{00000000-0005-0000-0000-00002D600000}"/>
    <cellStyle name="Note 2 2 2" xfId="708" xr:uid="{00000000-0005-0000-0000-00002E600000}"/>
    <cellStyle name="Note 2 2 2 2" xfId="1736" xr:uid="{00000000-0005-0000-0000-00002F600000}"/>
    <cellStyle name="Note 2 2 2 2 2" xfId="5266" xr:uid="{00000000-0005-0000-0000-000030600000}"/>
    <cellStyle name="Note 2 2 2 2 2 2" xfId="8857" xr:uid="{00000000-0005-0000-0000-000031600000}"/>
    <cellStyle name="Note 2 2 2 2 2 2 2" xfId="16828" xr:uid="{00000000-0005-0000-0000-000032600000}"/>
    <cellStyle name="Note 2 2 2 2 2 2 3" xfId="24774" xr:uid="{00000000-0005-0000-0000-000033600000}"/>
    <cellStyle name="Note 2 2 2 2 2 3" xfId="13290" xr:uid="{00000000-0005-0000-0000-000034600000}"/>
    <cellStyle name="Note 2 2 2 2 2 4" xfId="21245" xr:uid="{00000000-0005-0000-0000-000035600000}"/>
    <cellStyle name="Note 2 2 2 2 3" xfId="7098" xr:uid="{00000000-0005-0000-0000-000036600000}"/>
    <cellStyle name="Note 2 2 2 2 3 2" xfId="15070" xr:uid="{00000000-0005-0000-0000-000037600000}"/>
    <cellStyle name="Note 2 2 2 2 3 3" xfId="23017" xr:uid="{00000000-0005-0000-0000-000038600000}"/>
    <cellStyle name="Note 2 2 2 2 4" xfId="11534" xr:uid="{00000000-0005-0000-0000-000039600000}"/>
    <cellStyle name="Note 2 2 2 2 5" xfId="19489" xr:uid="{00000000-0005-0000-0000-00003A600000}"/>
    <cellStyle name="Note 2 2 2 2_Exh G" xfId="3616" xr:uid="{00000000-0005-0000-0000-00003B600000}"/>
    <cellStyle name="Note 2 2 2 3" xfId="4387" xr:uid="{00000000-0005-0000-0000-00003C600000}"/>
    <cellStyle name="Note 2 2 2 3 2" xfId="7979" xr:uid="{00000000-0005-0000-0000-00003D600000}"/>
    <cellStyle name="Note 2 2 2 3 2 2" xfId="15950" xr:uid="{00000000-0005-0000-0000-00003E600000}"/>
    <cellStyle name="Note 2 2 2 3 2 3" xfId="23896" xr:uid="{00000000-0005-0000-0000-00003F600000}"/>
    <cellStyle name="Note 2 2 2 3 3" xfId="12412" xr:uid="{00000000-0005-0000-0000-000040600000}"/>
    <cellStyle name="Note 2 2 2 3 4" xfId="20367" xr:uid="{00000000-0005-0000-0000-000041600000}"/>
    <cellStyle name="Note 2 2 2 4" xfId="6207" xr:uid="{00000000-0005-0000-0000-000042600000}"/>
    <cellStyle name="Note 2 2 2 4 2" xfId="14191" xr:uid="{00000000-0005-0000-0000-000043600000}"/>
    <cellStyle name="Note 2 2 2 4 3" xfId="22139" xr:uid="{00000000-0005-0000-0000-000044600000}"/>
    <cellStyle name="Note 2 2 2 5" xfId="9760" xr:uid="{00000000-0005-0000-0000-000045600000}"/>
    <cellStyle name="Note 2 2 2 5 2" xfId="17718" xr:uid="{00000000-0005-0000-0000-000046600000}"/>
    <cellStyle name="Note 2 2 2 5 3" xfId="25662" xr:uid="{00000000-0005-0000-0000-000047600000}"/>
    <cellStyle name="Note 2 2 2 6" xfId="10656" xr:uid="{00000000-0005-0000-0000-000048600000}"/>
    <cellStyle name="Note 2 2 2 7" xfId="18611" xr:uid="{00000000-0005-0000-0000-000049600000}"/>
    <cellStyle name="Note 2 2 2_Exh G" xfId="3615" xr:uid="{00000000-0005-0000-0000-00004A600000}"/>
    <cellStyle name="Note 2 2 3" xfId="1031" xr:uid="{00000000-0005-0000-0000-00004B600000}"/>
    <cellStyle name="Note 2 2 3 2" xfId="1931" xr:uid="{00000000-0005-0000-0000-00004C600000}"/>
    <cellStyle name="Note 2 2 3 2 2" xfId="5449" xr:uid="{00000000-0005-0000-0000-00004D600000}"/>
    <cellStyle name="Note 2 2 3 2 2 2" xfId="9040" xr:uid="{00000000-0005-0000-0000-00004E600000}"/>
    <cellStyle name="Note 2 2 3 2 2 2 2" xfId="17011" xr:uid="{00000000-0005-0000-0000-00004F600000}"/>
    <cellStyle name="Note 2 2 3 2 2 2 3" xfId="24957" xr:uid="{00000000-0005-0000-0000-000050600000}"/>
    <cellStyle name="Note 2 2 3 2 2 3" xfId="13473" xr:uid="{00000000-0005-0000-0000-000051600000}"/>
    <cellStyle name="Note 2 2 3 2 2 4" xfId="21428" xr:uid="{00000000-0005-0000-0000-000052600000}"/>
    <cellStyle name="Note 2 2 3 2 3" xfId="7281" xr:uid="{00000000-0005-0000-0000-000053600000}"/>
    <cellStyle name="Note 2 2 3 2 3 2" xfId="15253" xr:uid="{00000000-0005-0000-0000-000054600000}"/>
    <cellStyle name="Note 2 2 3 2 3 3" xfId="23200" xr:uid="{00000000-0005-0000-0000-000055600000}"/>
    <cellStyle name="Note 2 2 3 2 4" xfId="11717" xr:uid="{00000000-0005-0000-0000-000056600000}"/>
    <cellStyle name="Note 2 2 3 2 5" xfId="19672" xr:uid="{00000000-0005-0000-0000-000057600000}"/>
    <cellStyle name="Note 2 2 3 2_Exh G" xfId="3618" xr:uid="{00000000-0005-0000-0000-000058600000}"/>
    <cellStyle name="Note 2 2 3 3" xfId="4570" xr:uid="{00000000-0005-0000-0000-000059600000}"/>
    <cellStyle name="Note 2 2 3 3 2" xfId="8162" xr:uid="{00000000-0005-0000-0000-00005A600000}"/>
    <cellStyle name="Note 2 2 3 3 2 2" xfId="16133" xr:uid="{00000000-0005-0000-0000-00005B600000}"/>
    <cellStyle name="Note 2 2 3 3 2 3" xfId="24079" xr:uid="{00000000-0005-0000-0000-00005C600000}"/>
    <cellStyle name="Note 2 2 3 3 3" xfId="12595" xr:uid="{00000000-0005-0000-0000-00005D600000}"/>
    <cellStyle name="Note 2 2 3 3 4" xfId="20550" xr:uid="{00000000-0005-0000-0000-00005E600000}"/>
    <cellStyle name="Note 2 2 3 4" xfId="6401" xr:uid="{00000000-0005-0000-0000-00005F600000}"/>
    <cellStyle name="Note 2 2 3 4 2" xfId="14375" xr:uid="{00000000-0005-0000-0000-000060600000}"/>
    <cellStyle name="Note 2 2 3 4 3" xfId="22322" xr:uid="{00000000-0005-0000-0000-000061600000}"/>
    <cellStyle name="Note 2 2 3 5" xfId="9943" xr:uid="{00000000-0005-0000-0000-000062600000}"/>
    <cellStyle name="Note 2 2 3 5 2" xfId="17901" xr:uid="{00000000-0005-0000-0000-000063600000}"/>
    <cellStyle name="Note 2 2 3 5 3" xfId="25845" xr:uid="{00000000-0005-0000-0000-000064600000}"/>
    <cellStyle name="Note 2 2 3 6" xfId="10839" xr:uid="{00000000-0005-0000-0000-000065600000}"/>
    <cellStyle name="Note 2 2 3 7" xfId="18794" xr:uid="{00000000-0005-0000-0000-000066600000}"/>
    <cellStyle name="Note 2 2 3_Exh G" xfId="3617" xr:uid="{00000000-0005-0000-0000-000067600000}"/>
    <cellStyle name="Note 2 2 4" xfId="1735" xr:uid="{00000000-0005-0000-0000-000068600000}"/>
    <cellStyle name="Note 2 2 4 2" xfId="5265" xr:uid="{00000000-0005-0000-0000-000069600000}"/>
    <cellStyle name="Note 2 2 4 2 2" xfId="8856" xr:uid="{00000000-0005-0000-0000-00006A600000}"/>
    <cellStyle name="Note 2 2 4 2 2 2" xfId="16827" xr:uid="{00000000-0005-0000-0000-00006B600000}"/>
    <cellStyle name="Note 2 2 4 2 2 3" xfId="24773" xr:uid="{00000000-0005-0000-0000-00006C600000}"/>
    <cellStyle name="Note 2 2 4 2 3" xfId="13289" xr:uid="{00000000-0005-0000-0000-00006D600000}"/>
    <cellStyle name="Note 2 2 4 2 4" xfId="21244" xr:uid="{00000000-0005-0000-0000-00006E600000}"/>
    <cellStyle name="Note 2 2 4 3" xfId="7097" xr:uid="{00000000-0005-0000-0000-00006F600000}"/>
    <cellStyle name="Note 2 2 4 3 2" xfId="15069" xr:uid="{00000000-0005-0000-0000-000070600000}"/>
    <cellStyle name="Note 2 2 4 3 3" xfId="23016" xr:uid="{00000000-0005-0000-0000-000071600000}"/>
    <cellStyle name="Note 2 2 4 4" xfId="11533" xr:uid="{00000000-0005-0000-0000-000072600000}"/>
    <cellStyle name="Note 2 2 4 5" xfId="19488" xr:uid="{00000000-0005-0000-0000-000073600000}"/>
    <cellStyle name="Note 2 2 4_Exh G" xfId="3619" xr:uid="{00000000-0005-0000-0000-000074600000}"/>
    <cellStyle name="Note 2 2 5" xfId="4386" xr:uid="{00000000-0005-0000-0000-000075600000}"/>
    <cellStyle name="Note 2 2 5 2" xfId="7978" xr:uid="{00000000-0005-0000-0000-000076600000}"/>
    <cellStyle name="Note 2 2 5 2 2" xfId="15949" xr:uid="{00000000-0005-0000-0000-000077600000}"/>
    <cellStyle name="Note 2 2 5 2 3" xfId="23895" xr:uid="{00000000-0005-0000-0000-000078600000}"/>
    <cellStyle name="Note 2 2 5 3" xfId="12411" xr:uid="{00000000-0005-0000-0000-000079600000}"/>
    <cellStyle name="Note 2 2 5 4" xfId="20366" xr:uid="{00000000-0005-0000-0000-00007A600000}"/>
    <cellStyle name="Note 2 2 6" xfId="6206" xr:uid="{00000000-0005-0000-0000-00007B600000}"/>
    <cellStyle name="Note 2 2 6 2" xfId="14190" xr:uid="{00000000-0005-0000-0000-00007C600000}"/>
    <cellStyle name="Note 2 2 6 3" xfId="22138" xr:uid="{00000000-0005-0000-0000-00007D600000}"/>
    <cellStyle name="Note 2 2 7" xfId="9759" xr:uid="{00000000-0005-0000-0000-00007E600000}"/>
    <cellStyle name="Note 2 2 7 2" xfId="17717" xr:uid="{00000000-0005-0000-0000-00007F600000}"/>
    <cellStyle name="Note 2 2 7 3" xfId="25661" xr:uid="{00000000-0005-0000-0000-000080600000}"/>
    <cellStyle name="Note 2 2 8" xfId="10655" xr:uid="{00000000-0005-0000-0000-000081600000}"/>
    <cellStyle name="Note 2 2 9" xfId="18610" xr:uid="{00000000-0005-0000-0000-000082600000}"/>
    <cellStyle name="Note 2 2_Exh G" xfId="3614" xr:uid="{00000000-0005-0000-0000-000083600000}"/>
    <cellStyle name="Note 2 3" xfId="709" xr:uid="{00000000-0005-0000-0000-000084600000}"/>
    <cellStyle name="Note 2 3 2" xfId="1737" xr:uid="{00000000-0005-0000-0000-000085600000}"/>
    <cellStyle name="Note 2 3 2 2" xfId="5267" xr:uid="{00000000-0005-0000-0000-000086600000}"/>
    <cellStyle name="Note 2 3 2 2 2" xfId="8858" xr:uid="{00000000-0005-0000-0000-000087600000}"/>
    <cellStyle name="Note 2 3 2 2 2 2" xfId="16829" xr:uid="{00000000-0005-0000-0000-000088600000}"/>
    <cellStyle name="Note 2 3 2 2 2 3" xfId="24775" xr:uid="{00000000-0005-0000-0000-000089600000}"/>
    <cellStyle name="Note 2 3 2 2 3" xfId="13291" xr:uid="{00000000-0005-0000-0000-00008A600000}"/>
    <cellStyle name="Note 2 3 2 2 4" xfId="21246" xr:uid="{00000000-0005-0000-0000-00008B600000}"/>
    <cellStyle name="Note 2 3 2 3" xfId="7099" xr:uid="{00000000-0005-0000-0000-00008C600000}"/>
    <cellStyle name="Note 2 3 2 3 2" xfId="15071" xr:uid="{00000000-0005-0000-0000-00008D600000}"/>
    <cellStyle name="Note 2 3 2 3 3" xfId="23018" xr:uid="{00000000-0005-0000-0000-00008E600000}"/>
    <cellStyle name="Note 2 3 2 4" xfId="11535" xr:uid="{00000000-0005-0000-0000-00008F600000}"/>
    <cellStyle name="Note 2 3 2 5" xfId="19490" xr:uid="{00000000-0005-0000-0000-000090600000}"/>
    <cellStyle name="Note 2 3 2_Exh G" xfId="3621" xr:uid="{00000000-0005-0000-0000-000091600000}"/>
    <cellStyle name="Note 2 3 3" xfId="4388" xr:uid="{00000000-0005-0000-0000-000092600000}"/>
    <cellStyle name="Note 2 3 3 2" xfId="7980" xr:uid="{00000000-0005-0000-0000-000093600000}"/>
    <cellStyle name="Note 2 3 3 2 2" xfId="15951" xr:uid="{00000000-0005-0000-0000-000094600000}"/>
    <cellStyle name="Note 2 3 3 2 3" xfId="23897" xr:uid="{00000000-0005-0000-0000-000095600000}"/>
    <cellStyle name="Note 2 3 3 3" xfId="12413" xr:uid="{00000000-0005-0000-0000-000096600000}"/>
    <cellStyle name="Note 2 3 3 4" xfId="20368" xr:uid="{00000000-0005-0000-0000-000097600000}"/>
    <cellStyle name="Note 2 3 4" xfId="6208" xr:uid="{00000000-0005-0000-0000-000098600000}"/>
    <cellStyle name="Note 2 3 4 2" xfId="14192" xr:uid="{00000000-0005-0000-0000-000099600000}"/>
    <cellStyle name="Note 2 3 4 3" xfId="22140" xr:uid="{00000000-0005-0000-0000-00009A600000}"/>
    <cellStyle name="Note 2 3 5" xfId="9761" xr:uid="{00000000-0005-0000-0000-00009B600000}"/>
    <cellStyle name="Note 2 3 5 2" xfId="17719" xr:uid="{00000000-0005-0000-0000-00009C600000}"/>
    <cellStyle name="Note 2 3 5 3" xfId="25663" xr:uid="{00000000-0005-0000-0000-00009D600000}"/>
    <cellStyle name="Note 2 3 6" xfId="10657" xr:uid="{00000000-0005-0000-0000-00009E600000}"/>
    <cellStyle name="Note 2 3 7" xfId="18612" xr:uid="{00000000-0005-0000-0000-00009F600000}"/>
    <cellStyle name="Note 2 3_Exh G" xfId="3620" xr:uid="{00000000-0005-0000-0000-0000A0600000}"/>
    <cellStyle name="Note 2 4" xfId="1030" xr:uid="{00000000-0005-0000-0000-0000A1600000}"/>
    <cellStyle name="Note 2 4 2" xfId="1930" xr:uid="{00000000-0005-0000-0000-0000A2600000}"/>
    <cellStyle name="Note 2 4 2 2" xfId="5448" xr:uid="{00000000-0005-0000-0000-0000A3600000}"/>
    <cellStyle name="Note 2 4 2 2 2" xfId="9039" xr:uid="{00000000-0005-0000-0000-0000A4600000}"/>
    <cellStyle name="Note 2 4 2 2 2 2" xfId="17010" xr:uid="{00000000-0005-0000-0000-0000A5600000}"/>
    <cellStyle name="Note 2 4 2 2 2 3" xfId="24956" xr:uid="{00000000-0005-0000-0000-0000A6600000}"/>
    <cellStyle name="Note 2 4 2 2 3" xfId="13472" xr:uid="{00000000-0005-0000-0000-0000A7600000}"/>
    <cellStyle name="Note 2 4 2 2 4" xfId="21427" xr:uid="{00000000-0005-0000-0000-0000A8600000}"/>
    <cellStyle name="Note 2 4 2 3" xfId="7280" xr:uid="{00000000-0005-0000-0000-0000A9600000}"/>
    <cellStyle name="Note 2 4 2 3 2" xfId="15252" xr:uid="{00000000-0005-0000-0000-0000AA600000}"/>
    <cellStyle name="Note 2 4 2 3 3" xfId="23199" xr:uid="{00000000-0005-0000-0000-0000AB600000}"/>
    <cellStyle name="Note 2 4 2 4" xfId="11716" xr:uid="{00000000-0005-0000-0000-0000AC600000}"/>
    <cellStyle name="Note 2 4 2 5" xfId="19671" xr:uid="{00000000-0005-0000-0000-0000AD600000}"/>
    <cellStyle name="Note 2 4 2_Exh G" xfId="3623" xr:uid="{00000000-0005-0000-0000-0000AE600000}"/>
    <cellStyle name="Note 2 4 3" xfId="4569" xr:uid="{00000000-0005-0000-0000-0000AF600000}"/>
    <cellStyle name="Note 2 4 3 2" xfId="8161" xr:uid="{00000000-0005-0000-0000-0000B0600000}"/>
    <cellStyle name="Note 2 4 3 2 2" xfId="16132" xr:uid="{00000000-0005-0000-0000-0000B1600000}"/>
    <cellStyle name="Note 2 4 3 2 3" xfId="24078" xr:uid="{00000000-0005-0000-0000-0000B2600000}"/>
    <cellStyle name="Note 2 4 3 3" xfId="12594" xr:uid="{00000000-0005-0000-0000-0000B3600000}"/>
    <cellStyle name="Note 2 4 3 4" xfId="20549" xr:uid="{00000000-0005-0000-0000-0000B4600000}"/>
    <cellStyle name="Note 2 4 4" xfId="6400" xr:uid="{00000000-0005-0000-0000-0000B5600000}"/>
    <cellStyle name="Note 2 4 4 2" xfId="14374" xr:uid="{00000000-0005-0000-0000-0000B6600000}"/>
    <cellStyle name="Note 2 4 4 3" xfId="22321" xr:uid="{00000000-0005-0000-0000-0000B7600000}"/>
    <cellStyle name="Note 2 4 5" xfId="9942" xr:uid="{00000000-0005-0000-0000-0000B8600000}"/>
    <cellStyle name="Note 2 4 5 2" xfId="17900" xr:uid="{00000000-0005-0000-0000-0000B9600000}"/>
    <cellStyle name="Note 2 4 5 3" xfId="25844" xr:uid="{00000000-0005-0000-0000-0000BA600000}"/>
    <cellStyle name="Note 2 4 6" xfId="10838" xr:uid="{00000000-0005-0000-0000-0000BB600000}"/>
    <cellStyle name="Note 2 4 7" xfId="18793" xr:uid="{00000000-0005-0000-0000-0000BC600000}"/>
    <cellStyle name="Note 2 4_Exh G" xfId="3622" xr:uid="{00000000-0005-0000-0000-0000BD600000}"/>
    <cellStyle name="Note 2 5" xfId="1052" xr:uid="{00000000-0005-0000-0000-0000BE600000}"/>
    <cellStyle name="Note 2 5 2" xfId="4582" xr:uid="{00000000-0005-0000-0000-0000BF600000}"/>
    <cellStyle name="Note 2 5 2 2" xfId="8173" xr:uid="{00000000-0005-0000-0000-0000C0600000}"/>
    <cellStyle name="Note 2 5 2 2 2" xfId="16144" xr:uid="{00000000-0005-0000-0000-0000C1600000}"/>
    <cellStyle name="Note 2 5 2 2 3" xfId="24090" xr:uid="{00000000-0005-0000-0000-0000C2600000}"/>
    <cellStyle name="Note 2 5 2 3" xfId="12606" xr:uid="{00000000-0005-0000-0000-0000C3600000}"/>
    <cellStyle name="Note 2 5 2 4" xfId="20561" xr:uid="{00000000-0005-0000-0000-0000C4600000}"/>
    <cellStyle name="Note 2 5 3" xfId="6414" xr:uid="{00000000-0005-0000-0000-0000C5600000}"/>
    <cellStyle name="Note 2 5 3 2" xfId="14386" xr:uid="{00000000-0005-0000-0000-0000C6600000}"/>
    <cellStyle name="Note 2 5 3 3" xfId="22333" xr:uid="{00000000-0005-0000-0000-0000C7600000}"/>
    <cellStyle name="Note 2 5 4" xfId="10850" xr:uid="{00000000-0005-0000-0000-0000C8600000}"/>
    <cellStyle name="Note 2 5 5" xfId="18805" xr:uid="{00000000-0005-0000-0000-0000C9600000}"/>
    <cellStyle name="Note 2 5_Exh G" xfId="3624" xr:uid="{00000000-0005-0000-0000-0000CA600000}"/>
    <cellStyle name="Note 2 6" xfId="3703" xr:uid="{00000000-0005-0000-0000-0000CB600000}"/>
    <cellStyle name="Note 2 6 2" xfId="7295" xr:uid="{00000000-0005-0000-0000-0000CC600000}"/>
    <cellStyle name="Note 2 6 2 2" xfId="15266" xr:uid="{00000000-0005-0000-0000-0000CD600000}"/>
    <cellStyle name="Note 2 6 2 3" xfId="23212" xr:uid="{00000000-0005-0000-0000-0000CE600000}"/>
    <cellStyle name="Note 2 6 3" xfId="11728" xr:uid="{00000000-0005-0000-0000-0000CF600000}"/>
    <cellStyle name="Note 2 6 4" xfId="19683" xr:uid="{00000000-0005-0000-0000-0000D0600000}"/>
    <cellStyle name="Note 2 7" xfId="5523" xr:uid="{00000000-0005-0000-0000-0000D1600000}"/>
    <cellStyle name="Note 2 7 2" xfId="13507" xr:uid="{00000000-0005-0000-0000-0000D2600000}"/>
    <cellStyle name="Note 2 7 3" xfId="21455" xr:uid="{00000000-0005-0000-0000-0000D3600000}"/>
    <cellStyle name="Note 2 8" xfId="9076" xr:uid="{00000000-0005-0000-0000-0000D4600000}"/>
    <cellStyle name="Note 2 8 2" xfId="17034" xr:uid="{00000000-0005-0000-0000-0000D5600000}"/>
    <cellStyle name="Note 2 8 3" xfId="24978" xr:uid="{00000000-0005-0000-0000-0000D6600000}"/>
    <cellStyle name="Note 2 9" xfId="9972" xr:uid="{00000000-0005-0000-0000-0000D7600000}"/>
    <cellStyle name="Note 2_Exh G" xfId="3613" xr:uid="{00000000-0005-0000-0000-0000D8600000}"/>
    <cellStyle name="Note 3" xfId="710" xr:uid="{00000000-0005-0000-0000-0000D9600000}"/>
    <cellStyle name="Note 3 10" xfId="18613" xr:uid="{00000000-0005-0000-0000-0000DA600000}"/>
    <cellStyle name="Note 3 2" xfId="711" xr:uid="{00000000-0005-0000-0000-0000DB600000}"/>
    <cellStyle name="Note 3 2 2" xfId="712" xr:uid="{00000000-0005-0000-0000-0000DC600000}"/>
    <cellStyle name="Note 3 2 2 2" xfId="1740" xr:uid="{00000000-0005-0000-0000-0000DD600000}"/>
    <cellStyle name="Note 3 2 2 2 2" xfId="5270" xr:uid="{00000000-0005-0000-0000-0000DE600000}"/>
    <cellStyle name="Note 3 2 2 2 2 2" xfId="8861" xr:uid="{00000000-0005-0000-0000-0000DF600000}"/>
    <cellStyle name="Note 3 2 2 2 2 2 2" xfId="16832" xr:uid="{00000000-0005-0000-0000-0000E0600000}"/>
    <cellStyle name="Note 3 2 2 2 2 2 3" xfId="24778" xr:uid="{00000000-0005-0000-0000-0000E1600000}"/>
    <cellStyle name="Note 3 2 2 2 2 3" xfId="13294" xr:uid="{00000000-0005-0000-0000-0000E2600000}"/>
    <cellStyle name="Note 3 2 2 2 2 4" xfId="21249" xr:uid="{00000000-0005-0000-0000-0000E3600000}"/>
    <cellStyle name="Note 3 2 2 2 3" xfId="7102" xr:uid="{00000000-0005-0000-0000-0000E4600000}"/>
    <cellStyle name="Note 3 2 2 2 3 2" xfId="15074" xr:uid="{00000000-0005-0000-0000-0000E5600000}"/>
    <cellStyle name="Note 3 2 2 2 3 3" xfId="23021" xr:uid="{00000000-0005-0000-0000-0000E6600000}"/>
    <cellStyle name="Note 3 2 2 2 4" xfId="11538" xr:uid="{00000000-0005-0000-0000-0000E7600000}"/>
    <cellStyle name="Note 3 2 2 2 5" xfId="19493" xr:uid="{00000000-0005-0000-0000-0000E8600000}"/>
    <cellStyle name="Note 3 2 2 2_Exh G" xfId="3628" xr:uid="{00000000-0005-0000-0000-0000E9600000}"/>
    <cellStyle name="Note 3 2 2 3" xfId="4391" xr:uid="{00000000-0005-0000-0000-0000EA600000}"/>
    <cellStyle name="Note 3 2 2 3 2" xfId="7983" xr:uid="{00000000-0005-0000-0000-0000EB600000}"/>
    <cellStyle name="Note 3 2 2 3 2 2" xfId="15954" xr:uid="{00000000-0005-0000-0000-0000EC600000}"/>
    <cellStyle name="Note 3 2 2 3 2 3" xfId="23900" xr:uid="{00000000-0005-0000-0000-0000ED600000}"/>
    <cellStyle name="Note 3 2 2 3 3" xfId="12416" xr:uid="{00000000-0005-0000-0000-0000EE600000}"/>
    <cellStyle name="Note 3 2 2 3 4" xfId="20371" xr:uid="{00000000-0005-0000-0000-0000EF600000}"/>
    <cellStyle name="Note 3 2 2 4" xfId="6211" xr:uid="{00000000-0005-0000-0000-0000F0600000}"/>
    <cellStyle name="Note 3 2 2 4 2" xfId="14195" xr:uid="{00000000-0005-0000-0000-0000F1600000}"/>
    <cellStyle name="Note 3 2 2 4 3" xfId="22143" xr:uid="{00000000-0005-0000-0000-0000F2600000}"/>
    <cellStyle name="Note 3 2 2 5" xfId="9764" xr:uid="{00000000-0005-0000-0000-0000F3600000}"/>
    <cellStyle name="Note 3 2 2 5 2" xfId="17722" xr:uid="{00000000-0005-0000-0000-0000F4600000}"/>
    <cellStyle name="Note 3 2 2 5 3" xfId="25666" xr:uid="{00000000-0005-0000-0000-0000F5600000}"/>
    <cellStyle name="Note 3 2 2 6" xfId="10660" xr:uid="{00000000-0005-0000-0000-0000F6600000}"/>
    <cellStyle name="Note 3 2 2 7" xfId="18615" xr:uid="{00000000-0005-0000-0000-0000F7600000}"/>
    <cellStyle name="Note 3 2 2_Exh G" xfId="3627" xr:uid="{00000000-0005-0000-0000-0000F8600000}"/>
    <cellStyle name="Note 3 2 3" xfId="1033" xr:uid="{00000000-0005-0000-0000-0000F9600000}"/>
    <cellStyle name="Note 3 2 3 2" xfId="1933" xr:uid="{00000000-0005-0000-0000-0000FA600000}"/>
    <cellStyle name="Note 3 2 3 2 2" xfId="5451" xr:uid="{00000000-0005-0000-0000-0000FB600000}"/>
    <cellStyle name="Note 3 2 3 2 2 2" xfId="9042" xr:uid="{00000000-0005-0000-0000-0000FC600000}"/>
    <cellStyle name="Note 3 2 3 2 2 2 2" xfId="17013" xr:uid="{00000000-0005-0000-0000-0000FD600000}"/>
    <cellStyle name="Note 3 2 3 2 2 2 3" xfId="24959" xr:uid="{00000000-0005-0000-0000-0000FE600000}"/>
    <cellStyle name="Note 3 2 3 2 2 3" xfId="13475" xr:uid="{00000000-0005-0000-0000-0000FF600000}"/>
    <cellStyle name="Note 3 2 3 2 2 4" xfId="21430" xr:uid="{00000000-0005-0000-0000-000000610000}"/>
    <cellStyle name="Note 3 2 3 2 3" xfId="7283" xr:uid="{00000000-0005-0000-0000-000001610000}"/>
    <cellStyle name="Note 3 2 3 2 3 2" xfId="15255" xr:uid="{00000000-0005-0000-0000-000002610000}"/>
    <cellStyle name="Note 3 2 3 2 3 3" xfId="23202" xr:uid="{00000000-0005-0000-0000-000003610000}"/>
    <cellStyle name="Note 3 2 3 2 4" xfId="11719" xr:uid="{00000000-0005-0000-0000-000004610000}"/>
    <cellStyle name="Note 3 2 3 2 5" xfId="19674" xr:uid="{00000000-0005-0000-0000-000005610000}"/>
    <cellStyle name="Note 3 2 3 2_Exh G" xfId="3630" xr:uid="{00000000-0005-0000-0000-000006610000}"/>
    <cellStyle name="Note 3 2 3 3" xfId="4572" xr:uid="{00000000-0005-0000-0000-000007610000}"/>
    <cellStyle name="Note 3 2 3 3 2" xfId="8164" xr:uid="{00000000-0005-0000-0000-000008610000}"/>
    <cellStyle name="Note 3 2 3 3 2 2" xfId="16135" xr:uid="{00000000-0005-0000-0000-000009610000}"/>
    <cellStyle name="Note 3 2 3 3 2 3" xfId="24081" xr:uid="{00000000-0005-0000-0000-00000A610000}"/>
    <cellStyle name="Note 3 2 3 3 3" xfId="12597" xr:uid="{00000000-0005-0000-0000-00000B610000}"/>
    <cellStyle name="Note 3 2 3 3 4" xfId="20552" xr:uid="{00000000-0005-0000-0000-00000C610000}"/>
    <cellStyle name="Note 3 2 3 4" xfId="6403" xr:uid="{00000000-0005-0000-0000-00000D610000}"/>
    <cellStyle name="Note 3 2 3 4 2" xfId="14377" xr:uid="{00000000-0005-0000-0000-00000E610000}"/>
    <cellStyle name="Note 3 2 3 4 3" xfId="22324" xr:uid="{00000000-0005-0000-0000-00000F610000}"/>
    <cellStyle name="Note 3 2 3 5" xfId="9945" xr:uid="{00000000-0005-0000-0000-000010610000}"/>
    <cellStyle name="Note 3 2 3 5 2" xfId="17903" xr:uid="{00000000-0005-0000-0000-000011610000}"/>
    <cellStyle name="Note 3 2 3 5 3" xfId="25847" xr:uid="{00000000-0005-0000-0000-000012610000}"/>
    <cellStyle name="Note 3 2 3 6" xfId="10841" xr:uid="{00000000-0005-0000-0000-000013610000}"/>
    <cellStyle name="Note 3 2 3 7" xfId="18796" xr:uid="{00000000-0005-0000-0000-000014610000}"/>
    <cellStyle name="Note 3 2 3_Exh G" xfId="3629" xr:uid="{00000000-0005-0000-0000-000015610000}"/>
    <cellStyle name="Note 3 2 4" xfId="1739" xr:uid="{00000000-0005-0000-0000-000016610000}"/>
    <cellStyle name="Note 3 2 4 2" xfId="5269" xr:uid="{00000000-0005-0000-0000-000017610000}"/>
    <cellStyle name="Note 3 2 4 2 2" xfId="8860" xr:uid="{00000000-0005-0000-0000-000018610000}"/>
    <cellStyle name="Note 3 2 4 2 2 2" xfId="16831" xr:uid="{00000000-0005-0000-0000-000019610000}"/>
    <cellStyle name="Note 3 2 4 2 2 3" xfId="24777" xr:uid="{00000000-0005-0000-0000-00001A610000}"/>
    <cellStyle name="Note 3 2 4 2 3" xfId="13293" xr:uid="{00000000-0005-0000-0000-00001B610000}"/>
    <cellStyle name="Note 3 2 4 2 4" xfId="21248" xr:uid="{00000000-0005-0000-0000-00001C610000}"/>
    <cellStyle name="Note 3 2 4 3" xfId="7101" xr:uid="{00000000-0005-0000-0000-00001D610000}"/>
    <cellStyle name="Note 3 2 4 3 2" xfId="15073" xr:uid="{00000000-0005-0000-0000-00001E610000}"/>
    <cellStyle name="Note 3 2 4 3 3" xfId="23020" xr:uid="{00000000-0005-0000-0000-00001F610000}"/>
    <cellStyle name="Note 3 2 4 4" xfId="11537" xr:uid="{00000000-0005-0000-0000-000020610000}"/>
    <cellStyle name="Note 3 2 4 5" xfId="19492" xr:uid="{00000000-0005-0000-0000-000021610000}"/>
    <cellStyle name="Note 3 2 4_Exh G" xfId="3631" xr:uid="{00000000-0005-0000-0000-000022610000}"/>
    <cellStyle name="Note 3 2 5" xfId="4390" xr:uid="{00000000-0005-0000-0000-000023610000}"/>
    <cellStyle name="Note 3 2 5 2" xfId="7982" xr:uid="{00000000-0005-0000-0000-000024610000}"/>
    <cellStyle name="Note 3 2 5 2 2" xfId="15953" xr:uid="{00000000-0005-0000-0000-000025610000}"/>
    <cellStyle name="Note 3 2 5 2 3" xfId="23899" xr:uid="{00000000-0005-0000-0000-000026610000}"/>
    <cellStyle name="Note 3 2 5 3" xfId="12415" xr:uid="{00000000-0005-0000-0000-000027610000}"/>
    <cellStyle name="Note 3 2 5 4" xfId="20370" xr:uid="{00000000-0005-0000-0000-000028610000}"/>
    <cellStyle name="Note 3 2 6" xfId="6210" xr:uid="{00000000-0005-0000-0000-000029610000}"/>
    <cellStyle name="Note 3 2 6 2" xfId="14194" xr:uid="{00000000-0005-0000-0000-00002A610000}"/>
    <cellStyle name="Note 3 2 6 3" xfId="22142" xr:uid="{00000000-0005-0000-0000-00002B610000}"/>
    <cellStyle name="Note 3 2 7" xfId="9763" xr:uid="{00000000-0005-0000-0000-00002C610000}"/>
    <cellStyle name="Note 3 2 7 2" xfId="17721" xr:uid="{00000000-0005-0000-0000-00002D610000}"/>
    <cellStyle name="Note 3 2 7 3" xfId="25665" xr:uid="{00000000-0005-0000-0000-00002E610000}"/>
    <cellStyle name="Note 3 2 8" xfId="10659" xr:uid="{00000000-0005-0000-0000-00002F610000}"/>
    <cellStyle name="Note 3 2 9" xfId="18614" xr:uid="{00000000-0005-0000-0000-000030610000}"/>
    <cellStyle name="Note 3 2_Exh G" xfId="3626" xr:uid="{00000000-0005-0000-0000-000031610000}"/>
    <cellStyle name="Note 3 3" xfId="713" xr:uid="{00000000-0005-0000-0000-000032610000}"/>
    <cellStyle name="Note 3 3 2" xfId="1741" xr:uid="{00000000-0005-0000-0000-000033610000}"/>
    <cellStyle name="Note 3 3 2 2" xfId="5271" xr:uid="{00000000-0005-0000-0000-000034610000}"/>
    <cellStyle name="Note 3 3 2 2 2" xfId="8862" xr:uid="{00000000-0005-0000-0000-000035610000}"/>
    <cellStyle name="Note 3 3 2 2 2 2" xfId="16833" xr:uid="{00000000-0005-0000-0000-000036610000}"/>
    <cellStyle name="Note 3 3 2 2 2 3" xfId="24779" xr:uid="{00000000-0005-0000-0000-000037610000}"/>
    <cellStyle name="Note 3 3 2 2 3" xfId="13295" xr:uid="{00000000-0005-0000-0000-000038610000}"/>
    <cellStyle name="Note 3 3 2 2 4" xfId="21250" xr:uid="{00000000-0005-0000-0000-000039610000}"/>
    <cellStyle name="Note 3 3 2 3" xfId="7103" xr:uid="{00000000-0005-0000-0000-00003A610000}"/>
    <cellStyle name="Note 3 3 2 3 2" xfId="15075" xr:uid="{00000000-0005-0000-0000-00003B610000}"/>
    <cellStyle name="Note 3 3 2 3 3" xfId="23022" xr:uid="{00000000-0005-0000-0000-00003C610000}"/>
    <cellStyle name="Note 3 3 2 4" xfId="11539" xr:uid="{00000000-0005-0000-0000-00003D610000}"/>
    <cellStyle name="Note 3 3 2 5" xfId="19494" xr:uid="{00000000-0005-0000-0000-00003E610000}"/>
    <cellStyle name="Note 3 3 2_Exh G" xfId="3633" xr:uid="{00000000-0005-0000-0000-00003F610000}"/>
    <cellStyle name="Note 3 3 3" xfId="4392" xr:uid="{00000000-0005-0000-0000-000040610000}"/>
    <cellStyle name="Note 3 3 3 2" xfId="7984" xr:uid="{00000000-0005-0000-0000-000041610000}"/>
    <cellStyle name="Note 3 3 3 2 2" xfId="15955" xr:uid="{00000000-0005-0000-0000-000042610000}"/>
    <cellStyle name="Note 3 3 3 2 3" xfId="23901" xr:uid="{00000000-0005-0000-0000-000043610000}"/>
    <cellStyle name="Note 3 3 3 3" xfId="12417" xr:uid="{00000000-0005-0000-0000-000044610000}"/>
    <cellStyle name="Note 3 3 3 4" xfId="20372" xr:uid="{00000000-0005-0000-0000-000045610000}"/>
    <cellStyle name="Note 3 3 4" xfId="6212" xr:uid="{00000000-0005-0000-0000-000046610000}"/>
    <cellStyle name="Note 3 3 4 2" xfId="14196" xr:uid="{00000000-0005-0000-0000-000047610000}"/>
    <cellStyle name="Note 3 3 4 3" xfId="22144" xr:uid="{00000000-0005-0000-0000-000048610000}"/>
    <cellStyle name="Note 3 3 5" xfId="9765" xr:uid="{00000000-0005-0000-0000-000049610000}"/>
    <cellStyle name="Note 3 3 5 2" xfId="17723" xr:uid="{00000000-0005-0000-0000-00004A610000}"/>
    <cellStyle name="Note 3 3 5 3" xfId="25667" xr:uid="{00000000-0005-0000-0000-00004B610000}"/>
    <cellStyle name="Note 3 3 6" xfId="10661" xr:uid="{00000000-0005-0000-0000-00004C610000}"/>
    <cellStyle name="Note 3 3 7" xfId="18616" xr:uid="{00000000-0005-0000-0000-00004D610000}"/>
    <cellStyle name="Note 3 3_Exh G" xfId="3632" xr:uid="{00000000-0005-0000-0000-00004E610000}"/>
    <cellStyle name="Note 3 4" xfId="1032" xr:uid="{00000000-0005-0000-0000-00004F610000}"/>
    <cellStyle name="Note 3 4 2" xfId="1932" xr:uid="{00000000-0005-0000-0000-000050610000}"/>
    <cellStyle name="Note 3 4 2 2" xfId="5450" xr:uid="{00000000-0005-0000-0000-000051610000}"/>
    <cellStyle name="Note 3 4 2 2 2" xfId="9041" xr:uid="{00000000-0005-0000-0000-000052610000}"/>
    <cellStyle name="Note 3 4 2 2 2 2" xfId="17012" xr:uid="{00000000-0005-0000-0000-000053610000}"/>
    <cellStyle name="Note 3 4 2 2 2 3" xfId="24958" xr:uid="{00000000-0005-0000-0000-000054610000}"/>
    <cellStyle name="Note 3 4 2 2 3" xfId="13474" xr:uid="{00000000-0005-0000-0000-000055610000}"/>
    <cellStyle name="Note 3 4 2 2 4" xfId="21429" xr:uid="{00000000-0005-0000-0000-000056610000}"/>
    <cellStyle name="Note 3 4 2 3" xfId="7282" xr:uid="{00000000-0005-0000-0000-000057610000}"/>
    <cellStyle name="Note 3 4 2 3 2" xfId="15254" xr:uid="{00000000-0005-0000-0000-000058610000}"/>
    <cellStyle name="Note 3 4 2 3 3" xfId="23201" xr:uid="{00000000-0005-0000-0000-000059610000}"/>
    <cellStyle name="Note 3 4 2 4" xfId="11718" xr:uid="{00000000-0005-0000-0000-00005A610000}"/>
    <cellStyle name="Note 3 4 2 5" xfId="19673" xr:uid="{00000000-0005-0000-0000-00005B610000}"/>
    <cellStyle name="Note 3 4 2_Exh G" xfId="3635" xr:uid="{00000000-0005-0000-0000-00005C610000}"/>
    <cellStyle name="Note 3 4 3" xfId="4571" xr:uid="{00000000-0005-0000-0000-00005D610000}"/>
    <cellStyle name="Note 3 4 3 2" xfId="8163" xr:uid="{00000000-0005-0000-0000-00005E610000}"/>
    <cellStyle name="Note 3 4 3 2 2" xfId="16134" xr:uid="{00000000-0005-0000-0000-00005F610000}"/>
    <cellStyle name="Note 3 4 3 2 3" xfId="24080" xr:uid="{00000000-0005-0000-0000-000060610000}"/>
    <cellStyle name="Note 3 4 3 3" xfId="12596" xr:uid="{00000000-0005-0000-0000-000061610000}"/>
    <cellStyle name="Note 3 4 3 4" xfId="20551" xr:uid="{00000000-0005-0000-0000-000062610000}"/>
    <cellStyle name="Note 3 4 4" xfId="6402" xr:uid="{00000000-0005-0000-0000-000063610000}"/>
    <cellStyle name="Note 3 4 4 2" xfId="14376" xr:uid="{00000000-0005-0000-0000-000064610000}"/>
    <cellStyle name="Note 3 4 4 3" xfId="22323" xr:uid="{00000000-0005-0000-0000-000065610000}"/>
    <cellStyle name="Note 3 4 5" xfId="9944" xr:uid="{00000000-0005-0000-0000-000066610000}"/>
    <cellStyle name="Note 3 4 5 2" xfId="17902" xr:uid="{00000000-0005-0000-0000-000067610000}"/>
    <cellStyle name="Note 3 4 5 3" xfId="25846" xr:uid="{00000000-0005-0000-0000-000068610000}"/>
    <cellStyle name="Note 3 4 6" xfId="10840" xr:uid="{00000000-0005-0000-0000-000069610000}"/>
    <cellStyle name="Note 3 4 7" xfId="18795" xr:uid="{00000000-0005-0000-0000-00006A610000}"/>
    <cellStyle name="Note 3 4_Exh G" xfId="3634" xr:uid="{00000000-0005-0000-0000-00006B610000}"/>
    <cellStyle name="Note 3 5" xfId="1738" xr:uid="{00000000-0005-0000-0000-00006C610000}"/>
    <cellStyle name="Note 3 5 2" xfId="5268" xr:uid="{00000000-0005-0000-0000-00006D610000}"/>
    <cellStyle name="Note 3 5 2 2" xfId="8859" xr:uid="{00000000-0005-0000-0000-00006E610000}"/>
    <cellStyle name="Note 3 5 2 2 2" xfId="16830" xr:uid="{00000000-0005-0000-0000-00006F610000}"/>
    <cellStyle name="Note 3 5 2 2 3" xfId="24776" xr:uid="{00000000-0005-0000-0000-000070610000}"/>
    <cellStyle name="Note 3 5 2 3" xfId="13292" xr:uid="{00000000-0005-0000-0000-000071610000}"/>
    <cellStyle name="Note 3 5 2 4" xfId="21247" xr:uid="{00000000-0005-0000-0000-000072610000}"/>
    <cellStyle name="Note 3 5 3" xfId="7100" xr:uid="{00000000-0005-0000-0000-000073610000}"/>
    <cellStyle name="Note 3 5 3 2" xfId="15072" xr:uid="{00000000-0005-0000-0000-000074610000}"/>
    <cellStyle name="Note 3 5 3 3" xfId="23019" xr:uid="{00000000-0005-0000-0000-000075610000}"/>
    <cellStyle name="Note 3 5 4" xfId="11536" xr:uid="{00000000-0005-0000-0000-000076610000}"/>
    <cellStyle name="Note 3 5 5" xfId="19491" xr:uid="{00000000-0005-0000-0000-000077610000}"/>
    <cellStyle name="Note 3 5_Exh G" xfId="3636" xr:uid="{00000000-0005-0000-0000-000078610000}"/>
    <cellStyle name="Note 3 6" xfId="4389" xr:uid="{00000000-0005-0000-0000-000079610000}"/>
    <cellStyle name="Note 3 6 2" xfId="7981" xr:uid="{00000000-0005-0000-0000-00007A610000}"/>
    <cellStyle name="Note 3 6 2 2" xfId="15952" xr:uid="{00000000-0005-0000-0000-00007B610000}"/>
    <cellStyle name="Note 3 6 2 3" xfId="23898" xr:uid="{00000000-0005-0000-0000-00007C610000}"/>
    <cellStyle name="Note 3 6 3" xfId="12414" xr:uid="{00000000-0005-0000-0000-00007D610000}"/>
    <cellStyle name="Note 3 6 4" xfId="20369" xr:uid="{00000000-0005-0000-0000-00007E610000}"/>
    <cellStyle name="Note 3 7" xfId="6209" xr:uid="{00000000-0005-0000-0000-00007F610000}"/>
    <cellStyle name="Note 3 7 2" xfId="14193" xr:uid="{00000000-0005-0000-0000-000080610000}"/>
    <cellStyle name="Note 3 7 3" xfId="22141" xr:uid="{00000000-0005-0000-0000-000081610000}"/>
    <cellStyle name="Note 3 8" xfId="9762" xr:uid="{00000000-0005-0000-0000-000082610000}"/>
    <cellStyle name="Note 3 8 2" xfId="17720" xr:uid="{00000000-0005-0000-0000-000083610000}"/>
    <cellStyle name="Note 3 8 3" xfId="25664" xr:uid="{00000000-0005-0000-0000-000084610000}"/>
    <cellStyle name="Note 3 9" xfId="10658" xr:uid="{00000000-0005-0000-0000-000085610000}"/>
    <cellStyle name="Note 3_Exh G" xfId="3625" xr:uid="{00000000-0005-0000-0000-000086610000}"/>
    <cellStyle name="Note 4" xfId="714" xr:uid="{00000000-0005-0000-0000-000087610000}"/>
    <cellStyle name="Note 4 10" xfId="18617" xr:uid="{00000000-0005-0000-0000-000088610000}"/>
    <cellStyle name="Note 4 2" xfId="715" xr:uid="{00000000-0005-0000-0000-000089610000}"/>
    <cellStyle name="Note 4 2 2" xfId="716" xr:uid="{00000000-0005-0000-0000-00008A610000}"/>
    <cellStyle name="Note 4 2 2 2" xfId="1744" xr:uid="{00000000-0005-0000-0000-00008B610000}"/>
    <cellStyle name="Note 4 2 2 2 2" xfId="5274" xr:uid="{00000000-0005-0000-0000-00008C610000}"/>
    <cellStyle name="Note 4 2 2 2 2 2" xfId="8865" xr:uid="{00000000-0005-0000-0000-00008D610000}"/>
    <cellStyle name="Note 4 2 2 2 2 2 2" xfId="16836" xr:uid="{00000000-0005-0000-0000-00008E610000}"/>
    <cellStyle name="Note 4 2 2 2 2 2 3" xfId="24782" xr:uid="{00000000-0005-0000-0000-00008F610000}"/>
    <cellStyle name="Note 4 2 2 2 2 3" xfId="13298" xr:uid="{00000000-0005-0000-0000-000090610000}"/>
    <cellStyle name="Note 4 2 2 2 2 4" xfId="21253" xr:uid="{00000000-0005-0000-0000-000091610000}"/>
    <cellStyle name="Note 4 2 2 2 3" xfId="7106" xr:uid="{00000000-0005-0000-0000-000092610000}"/>
    <cellStyle name="Note 4 2 2 2 3 2" xfId="15078" xr:uid="{00000000-0005-0000-0000-000093610000}"/>
    <cellStyle name="Note 4 2 2 2 3 3" xfId="23025" xr:uid="{00000000-0005-0000-0000-000094610000}"/>
    <cellStyle name="Note 4 2 2 2 4" xfId="11542" xr:uid="{00000000-0005-0000-0000-000095610000}"/>
    <cellStyle name="Note 4 2 2 2 5" xfId="19497" xr:uid="{00000000-0005-0000-0000-000096610000}"/>
    <cellStyle name="Note 4 2 2 2_Exh G" xfId="3640" xr:uid="{00000000-0005-0000-0000-000097610000}"/>
    <cellStyle name="Note 4 2 2 3" xfId="4395" xr:uid="{00000000-0005-0000-0000-000098610000}"/>
    <cellStyle name="Note 4 2 2 3 2" xfId="7987" xr:uid="{00000000-0005-0000-0000-000099610000}"/>
    <cellStyle name="Note 4 2 2 3 2 2" xfId="15958" xr:uid="{00000000-0005-0000-0000-00009A610000}"/>
    <cellStyle name="Note 4 2 2 3 2 3" xfId="23904" xr:uid="{00000000-0005-0000-0000-00009B610000}"/>
    <cellStyle name="Note 4 2 2 3 3" xfId="12420" xr:uid="{00000000-0005-0000-0000-00009C610000}"/>
    <cellStyle name="Note 4 2 2 3 4" xfId="20375" xr:uid="{00000000-0005-0000-0000-00009D610000}"/>
    <cellStyle name="Note 4 2 2 4" xfId="6215" xr:uid="{00000000-0005-0000-0000-00009E610000}"/>
    <cellStyle name="Note 4 2 2 4 2" xfId="14199" xr:uid="{00000000-0005-0000-0000-00009F610000}"/>
    <cellStyle name="Note 4 2 2 4 3" xfId="22147" xr:uid="{00000000-0005-0000-0000-0000A0610000}"/>
    <cellStyle name="Note 4 2 2 5" xfId="9768" xr:uid="{00000000-0005-0000-0000-0000A1610000}"/>
    <cellStyle name="Note 4 2 2 5 2" xfId="17726" xr:uid="{00000000-0005-0000-0000-0000A2610000}"/>
    <cellStyle name="Note 4 2 2 5 3" xfId="25670" xr:uid="{00000000-0005-0000-0000-0000A3610000}"/>
    <cellStyle name="Note 4 2 2 6" xfId="10664" xr:uid="{00000000-0005-0000-0000-0000A4610000}"/>
    <cellStyle name="Note 4 2 2 7" xfId="18619" xr:uid="{00000000-0005-0000-0000-0000A5610000}"/>
    <cellStyle name="Note 4 2 2_Exh G" xfId="3639" xr:uid="{00000000-0005-0000-0000-0000A6610000}"/>
    <cellStyle name="Note 4 2 3" xfId="1035" xr:uid="{00000000-0005-0000-0000-0000A7610000}"/>
    <cellStyle name="Note 4 2 3 2" xfId="1935" xr:uid="{00000000-0005-0000-0000-0000A8610000}"/>
    <cellStyle name="Note 4 2 3 2 2" xfId="5453" xr:uid="{00000000-0005-0000-0000-0000A9610000}"/>
    <cellStyle name="Note 4 2 3 2 2 2" xfId="9044" xr:uid="{00000000-0005-0000-0000-0000AA610000}"/>
    <cellStyle name="Note 4 2 3 2 2 2 2" xfId="17015" xr:uid="{00000000-0005-0000-0000-0000AB610000}"/>
    <cellStyle name="Note 4 2 3 2 2 2 3" xfId="24961" xr:uid="{00000000-0005-0000-0000-0000AC610000}"/>
    <cellStyle name="Note 4 2 3 2 2 3" xfId="13477" xr:uid="{00000000-0005-0000-0000-0000AD610000}"/>
    <cellStyle name="Note 4 2 3 2 2 4" xfId="21432" xr:uid="{00000000-0005-0000-0000-0000AE610000}"/>
    <cellStyle name="Note 4 2 3 2 3" xfId="7285" xr:uid="{00000000-0005-0000-0000-0000AF610000}"/>
    <cellStyle name="Note 4 2 3 2 3 2" xfId="15257" xr:uid="{00000000-0005-0000-0000-0000B0610000}"/>
    <cellStyle name="Note 4 2 3 2 3 3" xfId="23204" xr:uid="{00000000-0005-0000-0000-0000B1610000}"/>
    <cellStyle name="Note 4 2 3 2 4" xfId="11721" xr:uid="{00000000-0005-0000-0000-0000B2610000}"/>
    <cellStyle name="Note 4 2 3 2 5" xfId="19676" xr:uid="{00000000-0005-0000-0000-0000B3610000}"/>
    <cellStyle name="Note 4 2 3 2_Exh G" xfId="3642" xr:uid="{00000000-0005-0000-0000-0000B4610000}"/>
    <cellStyle name="Note 4 2 3 3" xfId="4574" xr:uid="{00000000-0005-0000-0000-0000B5610000}"/>
    <cellStyle name="Note 4 2 3 3 2" xfId="8166" xr:uid="{00000000-0005-0000-0000-0000B6610000}"/>
    <cellStyle name="Note 4 2 3 3 2 2" xfId="16137" xr:uid="{00000000-0005-0000-0000-0000B7610000}"/>
    <cellStyle name="Note 4 2 3 3 2 3" xfId="24083" xr:uid="{00000000-0005-0000-0000-0000B8610000}"/>
    <cellStyle name="Note 4 2 3 3 3" xfId="12599" xr:uid="{00000000-0005-0000-0000-0000B9610000}"/>
    <cellStyle name="Note 4 2 3 3 4" xfId="20554" xr:uid="{00000000-0005-0000-0000-0000BA610000}"/>
    <cellStyle name="Note 4 2 3 4" xfId="6405" xr:uid="{00000000-0005-0000-0000-0000BB610000}"/>
    <cellStyle name="Note 4 2 3 4 2" xfId="14379" xr:uid="{00000000-0005-0000-0000-0000BC610000}"/>
    <cellStyle name="Note 4 2 3 4 3" xfId="22326" xr:uid="{00000000-0005-0000-0000-0000BD610000}"/>
    <cellStyle name="Note 4 2 3 5" xfId="9947" xr:uid="{00000000-0005-0000-0000-0000BE610000}"/>
    <cellStyle name="Note 4 2 3 5 2" xfId="17905" xr:uid="{00000000-0005-0000-0000-0000BF610000}"/>
    <cellStyle name="Note 4 2 3 5 3" xfId="25849" xr:uid="{00000000-0005-0000-0000-0000C0610000}"/>
    <cellStyle name="Note 4 2 3 6" xfId="10843" xr:uid="{00000000-0005-0000-0000-0000C1610000}"/>
    <cellStyle name="Note 4 2 3 7" xfId="18798" xr:uid="{00000000-0005-0000-0000-0000C2610000}"/>
    <cellStyle name="Note 4 2 3_Exh G" xfId="3641" xr:uid="{00000000-0005-0000-0000-0000C3610000}"/>
    <cellStyle name="Note 4 2 4" xfId="1743" xr:uid="{00000000-0005-0000-0000-0000C4610000}"/>
    <cellStyle name="Note 4 2 4 2" xfId="5273" xr:uid="{00000000-0005-0000-0000-0000C5610000}"/>
    <cellStyle name="Note 4 2 4 2 2" xfId="8864" xr:uid="{00000000-0005-0000-0000-0000C6610000}"/>
    <cellStyle name="Note 4 2 4 2 2 2" xfId="16835" xr:uid="{00000000-0005-0000-0000-0000C7610000}"/>
    <cellStyle name="Note 4 2 4 2 2 3" xfId="24781" xr:uid="{00000000-0005-0000-0000-0000C8610000}"/>
    <cellStyle name="Note 4 2 4 2 3" xfId="13297" xr:uid="{00000000-0005-0000-0000-0000C9610000}"/>
    <cellStyle name="Note 4 2 4 2 4" xfId="21252" xr:uid="{00000000-0005-0000-0000-0000CA610000}"/>
    <cellStyle name="Note 4 2 4 3" xfId="7105" xr:uid="{00000000-0005-0000-0000-0000CB610000}"/>
    <cellStyle name="Note 4 2 4 3 2" xfId="15077" xr:uid="{00000000-0005-0000-0000-0000CC610000}"/>
    <cellStyle name="Note 4 2 4 3 3" xfId="23024" xr:uid="{00000000-0005-0000-0000-0000CD610000}"/>
    <cellStyle name="Note 4 2 4 4" xfId="11541" xr:uid="{00000000-0005-0000-0000-0000CE610000}"/>
    <cellStyle name="Note 4 2 4 5" xfId="19496" xr:uid="{00000000-0005-0000-0000-0000CF610000}"/>
    <cellStyle name="Note 4 2 4_Exh G" xfId="3643" xr:uid="{00000000-0005-0000-0000-0000D0610000}"/>
    <cellStyle name="Note 4 2 5" xfId="4394" xr:uid="{00000000-0005-0000-0000-0000D1610000}"/>
    <cellStyle name="Note 4 2 5 2" xfId="7986" xr:uid="{00000000-0005-0000-0000-0000D2610000}"/>
    <cellStyle name="Note 4 2 5 2 2" xfId="15957" xr:uid="{00000000-0005-0000-0000-0000D3610000}"/>
    <cellStyle name="Note 4 2 5 2 3" xfId="23903" xr:uid="{00000000-0005-0000-0000-0000D4610000}"/>
    <cellStyle name="Note 4 2 5 3" xfId="12419" xr:uid="{00000000-0005-0000-0000-0000D5610000}"/>
    <cellStyle name="Note 4 2 5 4" xfId="20374" xr:uid="{00000000-0005-0000-0000-0000D6610000}"/>
    <cellStyle name="Note 4 2 6" xfId="6214" xr:uid="{00000000-0005-0000-0000-0000D7610000}"/>
    <cellStyle name="Note 4 2 6 2" xfId="14198" xr:uid="{00000000-0005-0000-0000-0000D8610000}"/>
    <cellStyle name="Note 4 2 6 3" xfId="22146" xr:uid="{00000000-0005-0000-0000-0000D9610000}"/>
    <cellStyle name="Note 4 2 7" xfId="9767" xr:uid="{00000000-0005-0000-0000-0000DA610000}"/>
    <cellStyle name="Note 4 2 7 2" xfId="17725" xr:uid="{00000000-0005-0000-0000-0000DB610000}"/>
    <cellStyle name="Note 4 2 7 3" xfId="25669" xr:uid="{00000000-0005-0000-0000-0000DC610000}"/>
    <cellStyle name="Note 4 2 8" xfId="10663" xr:uid="{00000000-0005-0000-0000-0000DD610000}"/>
    <cellStyle name="Note 4 2 9" xfId="18618" xr:uid="{00000000-0005-0000-0000-0000DE610000}"/>
    <cellStyle name="Note 4 2_Exh G" xfId="3638" xr:uid="{00000000-0005-0000-0000-0000DF610000}"/>
    <cellStyle name="Note 4 3" xfId="717" xr:uid="{00000000-0005-0000-0000-0000E0610000}"/>
    <cellStyle name="Note 4 3 2" xfId="1745" xr:uid="{00000000-0005-0000-0000-0000E1610000}"/>
    <cellStyle name="Note 4 3 2 2" xfId="5275" xr:uid="{00000000-0005-0000-0000-0000E2610000}"/>
    <cellStyle name="Note 4 3 2 2 2" xfId="8866" xr:uid="{00000000-0005-0000-0000-0000E3610000}"/>
    <cellStyle name="Note 4 3 2 2 2 2" xfId="16837" xr:uid="{00000000-0005-0000-0000-0000E4610000}"/>
    <cellStyle name="Note 4 3 2 2 2 3" xfId="24783" xr:uid="{00000000-0005-0000-0000-0000E5610000}"/>
    <cellStyle name="Note 4 3 2 2 3" xfId="13299" xr:uid="{00000000-0005-0000-0000-0000E6610000}"/>
    <cellStyle name="Note 4 3 2 2 4" xfId="21254" xr:uid="{00000000-0005-0000-0000-0000E7610000}"/>
    <cellStyle name="Note 4 3 2 3" xfId="7107" xr:uid="{00000000-0005-0000-0000-0000E8610000}"/>
    <cellStyle name="Note 4 3 2 3 2" xfId="15079" xr:uid="{00000000-0005-0000-0000-0000E9610000}"/>
    <cellStyle name="Note 4 3 2 3 3" xfId="23026" xr:uid="{00000000-0005-0000-0000-0000EA610000}"/>
    <cellStyle name="Note 4 3 2 4" xfId="11543" xr:uid="{00000000-0005-0000-0000-0000EB610000}"/>
    <cellStyle name="Note 4 3 2 5" xfId="19498" xr:uid="{00000000-0005-0000-0000-0000EC610000}"/>
    <cellStyle name="Note 4 3 2_Exh G" xfId="3645" xr:uid="{00000000-0005-0000-0000-0000ED610000}"/>
    <cellStyle name="Note 4 3 3" xfId="4396" xr:uid="{00000000-0005-0000-0000-0000EE610000}"/>
    <cellStyle name="Note 4 3 3 2" xfId="7988" xr:uid="{00000000-0005-0000-0000-0000EF610000}"/>
    <cellStyle name="Note 4 3 3 2 2" xfId="15959" xr:uid="{00000000-0005-0000-0000-0000F0610000}"/>
    <cellStyle name="Note 4 3 3 2 3" xfId="23905" xr:uid="{00000000-0005-0000-0000-0000F1610000}"/>
    <cellStyle name="Note 4 3 3 3" xfId="12421" xr:uid="{00000000-0005-0000-0000-0000F2610000}"/>
    <cellStyle name="Note 4 3 3 4" xfId="20376" xr:uid="{00000000-0005-0000-0000-0000F3610000}"/>
    <cellStyle name="Note 4 3 4" xfId="6216" xr:uid="{00000000-0005-0000-0000-0000F4610000}"/>
    <cellStyle name="Note 4 3 4 2" xfId="14200" xr:uid="{00000000-0005-0000-0000-0000F5610000}"/>
    <cellStyle name="Note 4 3 4 3" xfId="22148" xr:uid="{00000000-0005-0000-0000-0000F6610000}"/>
    <cellStyle name="Note 4 3 5" xfId="9769" xr:uid="{00000000-0005-0000-0000-0000F7610000}"/>
    <cellStyle name="Note 4 3 5 2" xfId="17727" xr:uid="{00000000-0005-0000-0000-0000F8610000}"/>
    <cellStyle name="Note 4 3 5 3" xfId="25671" xr:uid="{00000000-0005-0000-0000-0000F9610000}"/>
    <cellStyle name="Note 4 3 6" xfId="10665" xr:uid="{00000000-0005-0000-0000-0000FA610000}"/>
    <cellStyle name="Note 4 3 7" xfId="18620" xr:uid="{00000000-0005-0000-0000-0000FB610000}"/>
    <cellStyle name="Note 4 3_Exh G" xfId="3644" xr:uid="{00000000-0005-0000-0000-0000FC610000}"/>
    <cellStyle name="Note 4 4" xfId="1034" xr:uid="{00000000-0005-0000-0000-0000FD610000}"/>
    <cellStyle name="Note 4 4 2" xfId="1934" xr:uid="{00000000-0005-0000-0000-0000FE610000}"/>
    <cellStyle name="Note 4 4 2 2" xfId="5452" xr:uid="{00000000-0005-0000-0000-0000FF610000}"/>
    <cellStyle name="Note 4 4 2 2 2" xfId="9043" xr:uid="{00000000-0005-0000-0000-000000620000}"/>
    <cellStyle name="Note 4 4 2 2 2 2" xfId="17014" xr:uid="{00000000-0005-0000-0000-000001620000}"/>
    <cellStyle name="Note 4 4 2 2 2 3" xfId="24960" xr:uid="{00000000-0005-0000-0000-000002620000}"/>
    <cellStyle name="Note 4 4 2 2 3" xfId="13476" xr:uid="{00000000-0005-0000-0000-000003620000}"/>
    <cellStyle name="Note 4 4 2 2 4" xfId="21431" xr:uid="{00000000-0005-0000-0000-000004620000}"/>
    <cellStyle name="Note 4 4 2 3" xfId="7284" xr:uid="{00000000-0005-0000-0000-000005620000}"/>
    <cellStyle name="Note 4 4 2 3 2" xfId="15256" xr:uid="{00000000-0005-0000-0000-000006620000}"/>
    <cellStyle name="Note 4 4 2 3 3" xfId="23203" xr:uid="{00000000-0005-0000-0000-000007620000}"/>
    <cellStyle name="Note 4 4 2 4" xfId="11720" xr:uid="{00000000-0005-0000-0000-000008620000}"/>
    <cellStyle name="Note 4 4 2 5" xfId="19675" xr:uid="{00000000-0005-0000-0000-000009620000}"/>
    <cellStyle name="Note 4 4 2_Exh G" xfId="3647" xr:uid="{00000000-0005-0000-0000-00000A620000}"/>
    <cellStyle name="Note 4 4 3" xfId="4573" xr:uid="{00000000-0005-0000-0000-00000B620000}"/>
    <cellStyle name="Note 4 4 3 2" xfId="8165" xr:uid="{00000000-0005-0000-0000-00000C620000}"/>
    <cellStyle name="Note 4 4 3 2 2" xfId="16136" xr:uid="{00000000-0005-0000-0000-00000D620000}"/>
    <cellStyle name="Note 4 4 3 2 3" xfId="24082" xr:uid="{00000000-0005-0000-0000-00000E620000}"/>
    <cellStyle name="Note 4 4 3 3" xfId="12598" xr:uid="{00000000-0005-0000-0000-00000F620000}"/>
    <cellStyle name="Note 4 4 3 4" xfId="20553" xr:uid="{00000000-0005-0000-0000-000010620000}"/>
    <cellStyle name="Note 4 4 4" xfId="6404" xr:uid="{00000000-0005-0000-0000-000011620000}"/>
    <cellStyle name="Note 4 4 4 2" xfId="14378" xr:uid="{00000000-0005-0000-0000-000012620000}"/>
    <cellStyle name="Note 4 4 4 3" xfId="22325" xr:uid="{00000000-0005-0000-0000-000013620000}"/>
    <cellStyle name="Note 4 4 5" xfId="9946" xr:uid="{00000000-0005-0000-0000-000014620000}"/>
    <cellStyle name="Note 4 4 5 2" xfId="17904" xr:uid="{00000000-0005-0000-0000-000015620000}"/>
    <cellStyle name="Note 4 4 5 3" xfId="25848" xr:uid="{00000000-0005-0000-0000-000016620000}"/>
    <cellStyle name="Note 4 4 6" xfId="10842" xr:uid="{00000000-0005-0000-0000-000017620000}"/>
    <cellStyle name="Note 4 4 7" xfId="18797" xr:uid="{00000000-0005-0000-0000-000018620000}"/>
    <cellStyle name="Note 4 4_Exh G" xfId="3646" xr:uid="{00000000-0005-0000-0000-000019620000}"/>
    <cellStyle name="Note 4 5" xfId="1742" xr:uid="{00000000-0005-0000-0000-00001A620000}"/>
    <cellStyle name="Note 4 5 2" xfId="5272" xr:uid="{00000000-0005-0000-0000-00001B620000}"/>
    <cellStyle name="Note 4 5 2 2" xfId="8863" xr:uid="{00000000-0005-0000-0000-00001C620000}"/>
    <cellStyle name="Note 4 5 2 2 2" xfId="16834" xr:uid="{00000000-0005-0000-0000-00001D620000}"/>
    <cellStyle name="Note 4 5 2 2 3" xfId="24780" xr:uid="{00000000-0005-0000-0000-00001E620000}"/>
    <cellStyle name="Note 4 5 2 3" xfId="13296" xr:uid="{00000000-0005-0000-0000-00001F620000}"/>
    <cellStyle name="Note 4 5 2 4" xfId="21251" xr:uid="{00000000-0005-0000-0000-000020620000}"/>
    <cellStyle name="Note 4 5 3" xfId="7104" xr:uid="{00000000-0005-0000-0000-000021620000}"/>
    <cellStyle name="Note 4 5 3 2" xfId="15076" xr:uid="{00000000-0005-0000-0000-000022620000}"/>
    <cellStyle name="Note 4 5 3 3" xfId="23023" xr:uid="{00000000-0005-0000-0000-000023620000}"/>
    <cellStyle name="Note 4 5 4" xfId="11540" xr:uid="{00000000-0005-0000-0000-000024620000}"/>
    <cellStyle name="Note 4 5 5" xfId="19495" xr:uid="{00000000-0005-0000-0000-000025620000}"/>
    <cellStyle name="Note 4 5_Exh G" xfId="3648" xr:uid="{00000000-0005-0000-0000-000026620000}"/>
    <cellStyle name="Note 4 6" xfId="4393" xr:uid="{00000000-0005-0000-0000-000027620000}"/>
    <cellStyle name="Note 4 6 2" xfId="7985" xr:uid="{00000000-0005-0000-0000-000028620000}"/>
    <cellStyle name="Note 4 6 2 2" xfId="15956" xr:uid="{00000000-0005-0000-0000-000029620000}"/>
    <cellStyle name="Note 4 6 2 3" xfId="23902" xr:uid="{00000000-0005-0000-0000-00002A620000}"/>
    <cellStyle name="Note 4 6 3" xfId="12418" xr:uid="{00000000-0005-0000-0000-00002B620000}"/>
    <cellStyle name="Note 4 6 4" xfId="20373" xr:uid="{00000000-0005-0000-0000-00002C620000}"/>
    <cellStyle name="Note 4 7" xfId="6213" xr:uid="{00000000-0005-0000-0000-00002D620000}"/>
    <cellStyle name="Note 4 7 2" xfId="14197" xr:uid="{00000000-0005-0000-0000-00002E620000}"/>
    <cellStyle name="Note 4 7 3" xfId="22145" xr:uid="{00000000-0005-0000-0000-00002F620000}"/>
    <cellStyle name="Note 4 8" xfId="9766" xr:uid="{00000000-0005-0000-0000-000030620000}"/>
    <cellStyle name="Note 4 8 2" xfId="17724" xr:uid="{00000000-0005-0000-0000-000031620000}"/>
    <cellStyle name="Note 4 8 3" xfId="25668" xr:uid="{00000000-0005-0000-0000-000032620000}"/>
    <cellStyle name="Note 4 9" xfId="10662" xr:uid="{00000000-0005-0000-0000-000033620000}"/>
    <cellStyle name="Note 4_Exh G" xfId="3637" xr:uid="{00000000-0005-0000-0000-000034620000}"/>
    <cellStyle name="Note 5" xfId="718" xr:uid="{00000000-0005-0000-0000-000035620000}"/>
    <cellStyle name="Note 5 10" xfId="18621" xr:uid="{00000000-0005-0000-0000-000036620000}"/>
    <cellStyle name="Note 5 2" xfId="719" xr:uid="{00000000-0005-0000-0000-000037620000}"/>
    <cellStyle name="Note 5 2 2" xfId="720" xr:uid="{00000000-0005-0000-0000-000038620000}"/>
    <cellStyle name="Note 5 2 2 2" xfId="1748" xr:uid="{00000000-0005-0000-0000-000039620000}"/>
    <cellStyle name="Note 5 2 2 2 2" xfId="5278" xr:uid="{00000000-0005-0000-0000-00003A620000}"/>
    <cellStyle name="Note 5 2 2 2 2 2" xfId="8869" xr:uid="{00000000-0005-0000-0000-00003B620000}"/>
    <cellStyle name="Note 5 2 2 2 2 2 2" xfId="16840" xr:uid="{00000000-0005-0000-0000-00003C620000}"/>
    <cellStyle name="Note 5 2 2 2 2 2 3" xfId="24786" xr:uid="{00000000-0005-0000-0000-00003D620000}"/>
    <cellStyle name="Note 5 2 2 2 2 3" xfId="13302" xr:uid="{00000000-0005-0000-0000-00003E620000}"/>
    <cellStyle name="Note 5 2 2 2 2 4" xfId="21257" xr:uid="{00000000-0005-0000-0000-00003F620000}"/>
    <cellStyle name="Note 5 2 2 2 3" xfId="7110" xr:uid="{00000000-0005-0000-0000-000040620000}"/>
    <cellStyle name="Note 5 2 2 2 3 2" xfId="15082" xr:uid="{00000000-0005-0000-0000-000041620000}"/>
    <cellStyle name="Note 5 2 2 2 3 3" xfId="23029" xr:uid="{00000000-0005-0000-0000-000042620000}"/>
    <cellStyle name="Note 5 2 2 2 4" xfId="11546" xr:uid="{00000000-0005-0000-0000-000043620000}"/>
    <cellStyle name="Note 5 2 2 2 5" xfId="19501" xr:uid="{00000000-0005-0000-0000-000044620000}"/>
    <cellStyle name="Note 5 2 2 2_Exh G" xfId="3652" xr:uid="{00000000-0005-0000-0000-000045620000}"/>
    <cellStyle name="Note 5 2 2 3" xfId="4399" xr:uid="{00000000-0005-0000-0000-000046620000}"/>
    <cellStyle name="Note 5 2 2 3 2" xfId="7991" xr:uid="{00000000-0005-0000-0000-000047620000}"/>
    <cellStyle name="Note 5 2 2 3 2 2" xfId="15962" xr:uid="{00000000-0005-0000-0000-000048620000}"/>
    <cellStyle name="Note 5 2 2 3 2 3" xfId="23908" xr:uid="{00000000-0005-0000-0000-000049620000}"/>
    <cellStyle name="Note 5 2 2 3 3" xfId="12424" xr:uid="{00000000-0005-0000-0000-00004A620000}"/>
    <cellStyle name="Note 5 2 2 3 4" xfId="20379" xr:uid="{00000000-0005-0000-0000-00004B620000}"/>
    <cellStyle name="Note 5 2 2 4" xfId="6219" xr:uid="{00000000-0005-0000-0000-00004C620000}"/>
    <cellStyle name="Note 5 2 2 4 2" xfId="14203" xr:uid="{00000000-0005-0000-0000-00004D620000}"/>
    <cellStyle name="Note 5 2 2 4 3" xfId="22151" xr:uid="{00000000-0005-0000-0000-00004E620000}"/>
    <cellStyle name="Note 5 2 2 5" xfId="9772" xr:uid="{00000000-0005-0000-0000-00004F620000}"/>
    <cellStyle name="Note 5 2 2 5 2" xfId="17730" xr:uid="{00000000-0005-0000-0000-000050620000}"/>
    <cellStyle name="Note 5 2 2 5 3" xfId="25674" xr:uid="{00000000-0005-0000-0000-000051620000}"/>
    <cellStyle name="Note 5 2 2 6" xfId="10668" xr:uid="{00000000-0005-0000-0000-000052620000}"/>
    <cellStyle name="Note 5 2 2 7" xfId="18623" xr:uid="{00000000-0005-0000-0000-000053620000}"/>
    <cellStyle name="Note 5 2 2_Exh G" xfId="3651" xr:uid="{00000000-0005-0000-0000-000054620000}"/>
    <cellStyle name="Note 5 2 3" xfId="1747" xr:uid="{00000000-0005-0000-0000-000055620000}"/>
    <cellStyle name="Note 5 2 3 2" xfId="5277" xr:uid="{00000000-0005-0000-0000-000056620000}"/>
    <cellStyle name="Note 5 2 3 2 2" xfId="8868" xr:uid="{00000000-0005-0000-0000-000057620000}"/>
    <cellStyle name="Note 5 2 3 2 2 2" xfId="16839" xr:uid="{00000000-0005-0000-0000-000058620000}"/>
    <cellStyle name="Note 5 2 3 2 2 3" xfId="24785" xr:uid="{00000000-0005-0000-0000-000059620000}"/>
    <cellStyle name="Note 5 2 3 2 3" xfId="13301" xr:uid="{00000000-0005-0000-0000-00005A620000}"/>
    <cellStyle name="Note 5 2 3 2 4" xfId="21256" xr:uid="{00000000-0005-0000-0000-00005B620000}"/>
    <cellStyle name="Note 5 2 3 3" xfId="7109" xr:uid="{00000000-0005-0000-0000-00005C620000}"/>
    <cellStyle name="Note 5 2 3 3 2" xfId="15081" xr:uid="{00000000-0005-0000-0000-00005D620000}"/>
    <cellStyle name="Note 5 2 3 3 3" xfId="23028" xr:uid="{00000000-0005-0000-0000-00005E620000}"/>
    <cellStyle name="Note 5 2 3 4" xfId="11545" xr:uid="{00000000-0005-0000-0000-00005F620000}"/>
    <cellStyle name="Note 5 2 3 5" xfId="19500" xr:uid="{00000000-0005-0000-0000-000060620000}"/>
    <cellStyle name="Note 5 2 3_Exh G" xfId="3653" xr:uid="{00000000-0005-0000-0000-000061620000}"/>
    <cellStyle name="Note 5 2 4" xfId="4398" xr:uid="{00000000-0005-0000-0000-000062620000}"/>
    <cellStyle name="Note 5 2 4 2" xfId="7990" xr:uid="{00000000-0005-0000-0000-000063620000}"/>
    <cellStyle name="Note 5 2 4 2 2" xfId="15961" xr:uid="{00000000-0005-0000-0000-000064620000}"/>
    <cellStyle name="Note 5 2 4 2 3" xfId="23907" xr:uid="{00000000-0005-0000-0000-000065620000}"/>
    <cellStyle name="Note 5 2 4 3" xfId="12423" xr:uid="{00000000-0005-0000-0000-000066620000}"/>
    <cellStyle name="Note 5 2 4 4" xfId="20378" xr:uid="{00000000-0005-0000-0000-000067620000}"/>
    <cellStyle name="Note 5 2 5" xfId="6218" xr:uid="{00000000-0005-0000-0000-000068620000}"/>
    <cellStyle name="Note 5 2 5 2" xfId="14202" xr:uid="{00000000-0005-0000-0000-000069620000}"/>
    <cellStyle name="Note 5 2 5 3" xfId="22150" xr:uid="{00000000-0005-0000-0000-00006A620000}"/>
    <cellStyle name="Note 5 2 6" xfId="9771" xr:uid="{00000000-0005-0000-0000-00006B620000}"/>
    <cellStyle name="Note 5 2 6 2" xfId="17729" xr:uid="{00000000-0005-0000-0000-00006C620000}"/>
    <cellStyle name="Note 5 2 6 3" xfId="25673" xr:uid="{00000000-0005-0000-0000-00006D620000}"/>
    <cellStyle name="Note 5 2 7" xfId="10667" xr:uid="{00000000-0005-0000-0000-00006E620000}"/>
    <cellStyle name="Note 5 2 8" xfId="18622" xr:uid="{00000000-0005-0000-0000-00006F620000}"/>
    <cellStyle name="Note 5 2_Exh G" xfId="3650" xr:uid="{00000000-0005-0000-0000-000070620000}"/>
    <cellStyle name="Note 5 3" xfId="721" xr:uid="{00000000-0005-0000-0000-000071620000}"/>
    <cellStyle name="Note 5 3 2" xfId="1749" xr:uid="{00000000-0005-0000-0000-000072620000}"/>
    <cellStyle name="Note 5 3 2 2" xfId="5279" xr:uid="{00000000-0005-0000-0000-000073620000}"/>
    <cellStyle name="Note 5 3 2 2 2" xfId="8870" xr:uid="{00000000-0005-0000-0000-000074620000}"/>
    <cellStyle name="Note 5 3 2 2 2 2" xfId="16841" xr:uid="{00000000-0005-0000-0000-000075620000}"/>
    <cellStyle name="Note 5 3 2 2 2 3" xfId="24787" xr:uid="{00000000-0005-0000-0000-000076620000}"/>
    <cellStyle name="Note 5 3 2 2 3" xfId="13303" xr:uid="{00000000-0005-0000-0000-000077620000}"/>
    <cellStyle name="Note 5 3 2 2 4" xfId="21258" xr:uid="{00000000-0005-0000-0000-000078620000}"/>
    <cellStyle name="Note 5 3 2 3" xfId="7111" xr:uid="{00000000-0005-0000-0000-000079620000}"/>
    <cellStyle name="Note 5 3 2 3 2" xfId="15083" xr:uid="{00000000-0005-0000-0000-00007A620000}"/>
    <cellStyle name="Note 5 3 2 3 3" xfId="23030" xr:uid="{00000000-0005-0000-0000-00007B620000}"/>
    <cellStyle name="Note 5 3 2 4" xfId="11547" xr:uid="{00000000-0005-0000-0000-00007C620000}"/>
    <cellStyle name="Note 5 3 2 5" xfId="19502" xr:uid="{00000000-0005-0000-0000-00007D620000}"/>
    <cellStyle name="Note 5 3 2_Exh G" xfId="3655" xr:uid="{00000000-0005-0000-0000-00007E620000}"/>
    <cellStyle name="Note 5 3 3" xfId="4400" xr:uid="{00000000-0005-0000-0000-00007F620000}"/>
    <cellStyle name="Note 5 3 3 2" xfId="7992" xr:uid="{00000000-0005-0000-0000-000080620000}"/>
    <cellStyle name="Note 5 3 3 2 2" xfId="15963" xr:uid="{00000000-0005-0000-0000-000081620000}"/>
    <cellStyle name="Note 5 3 3 2 3" xfId="23909" xr:uid="{00000000-0005-0000-0000-000082620000}"/>
    <cellStyle name="Note 5 3 3 3" xfId="12425" xr:uid="{00000000-0005-0000-0000-000083620000}"/>
    <cellStyle name="Note 5 3 3 4" xfId="20380" xr:uid="{00000000-0005-0000-0000-000084620000}"/>
    <cellStyle name="Note 5 3 4" xfId="6220" xr:uid="{00000000-0005-0000-0000-000085620000}"/>
    <cellStyle name="Note 5 3 4 2" xfId="14204" xr:uid="{00000000-0005-0000-0000-000086620000}"/>
    <cellStyle name="Note 5 3 4 3" xfId="22152" xr:uid="{00000000-0005-0000-0000-000087620000}"/>
    <cellStyle name="Note 5 3 5" xfId="9773" xr:uid="{00000000-0005-0000-0000-000088620000}"/>
    <cellStyle name="Note 5 3 5 2" xfId="17731" xr:uid="{00000000-0005-0000-0000-000089620000}"/>
    <cellStyle name="Note 5 3 5 3" xfId="25675" xr:uid="{00000000-0005-0000-0000-00008A620000}"/>
    <cellStyle name="Note 5 3 6" xfId="10669" xr:uid="{00000000-0005-0000-0000-00008B620000}"/>
    <cellStyle name="Note 5 3 7" xfId="18624" xr:uid="{00000000-0005-0000-0000-00008C620000}"/>
    <cellStyle name="Note 5 3_Exh G" xfId="3654" xr:uid="{00000000-0005-0000-0000-00008D620000}"/>
    <cellStyle name="Note 5 4" xfId="1036" xr:uid="{00000000-0005-0000-0000-00008E620000}"/>
    <cellStyle name="Note 5 4 2" xfId="6406" xr:uid="{00000000-0005-0000-0000-00008F620000}"/>
    <cellStyle name="Note 5 5" xfId="1746" xr:uid="{00000000-0005-0000-0000-000090620000}"/>
    <cellStyle name="Note 5 5 2" xfId="5276" xr:uid="{00000000-0005-0000-0000-000091620000}"/>
    <cellStyle name="Note 5 5 2 2" xfId="8867" xr:uid="{00000000-0005-0000-0000-000092620000}"/>
    <cellStyle name="Note 5 5 2 2 2" xfId="16838" xr:uid="{00000000-0005-0000-0000-000093620000}"/>
    <cellStyle name="Note 5 5 2 2 3" xfId="24784" xr:uid="{00000000-0005-0000-0000-000094620000}"/>
    <cellStyle name="Note 5 5 2 3" xfId="13300" xr:uid="{00000000-0005-0000-0000-000095620000}"/>
    <cellStyle name="Note 5 5 2 4" xfId="21255" xr:uid="{00000000-0005-0000-0000-000096620000}"/>
    <cellStyle name="Note 5 5 3" xfId="7108" xr:uid="{00000000-0005-0000-0000-000097620000}"/>
    <cellStyle name="Note 5 5 3 2" xfId="15080" xr:uid="{00000000-0005-0000-0000-000098620000}"/>
    <cellStyle name="Note 5 5 3 3" xfId="23027" xr:uid="{00000000-0005-0000-0000-000099620000}"/>
    <cellStyle name="Note 5 5 4" xfId="11544" xr:uid="{00000000-0005-0000-0000-00009A620000}"/>
    <cellStyle name="Note 5 5 5" xfId="19499" xr:uid="{00000000-0005-0000-0000-00009B620000}"/>
    <cellStyle name="Note 5 5_Exh G" xfId="3656" xr:uid="{00000000-0005-0000-0000-00009C620000}"/>
    <cellStyle name="Note 5 6" xfId="4397" xr:uid="{00000000-0005-0000-0000-00009D620000}"/>
    <cellStyle name="Note 5 6 2" xfId="7989" xr:uid="{00000000-0005-0000-0000-00009E620000}"/>
    <cellStyle name="Note 5 6 2 2" xfId="15960" xr:uid="{00000000-0005-0000-0000-00009F620000}"/>
    <cellStyle name="Note 5 6 2 3" xfId="23906" xr:uid="{00000000-0005-0000-0000-0000A0620000}"/>
    <cellStyle name="Note 5 6 3" xfId="12422" xr:uid="{00000000-0005-0000-0000-0000A1620000}"/>
    <cellStyle name="Note 5 6 4" xfId="20377" xr:uid="{00000000-0005-0000-0000-0000A2620000}"/>
    <cellStyle name="Note 5 7" xfId="6217" xr:uid="{00000000-0005-0000-0000-0000A3620000}"/>
    <cellStyle name="Note 5 7 2" xfId="14201" xr:uid="{00000000-0005-0000-0000-0000A4620000}"/>
    <cellStyle name="Note 5 7 3" xfId="22149" xr:uid="{00000000-0005-0000-0000-0000A5620000}"/>
    <cellStyle name="Note 5 8" xfId="9770" xr:uid="{00000000-0005-0000-0000-0000A6620000}"/>
    <cellStyle name="Note 5 8 2" xfId="17728" xr:uid="{00000000-0005-0000-0000-0000A7620000}"/>
    <cellStyle name="Note 5 8 3" xfId="25672" xr:uid="{00000000-0005-0000-0000-0000A8620000}"/>
    <cellStyle name="Note 5 9" xfId="10666" xr:uid="{00000000-0005-0000-0000-0000A9620000}"/>
    <cellStyle name="Note 5_Exh G" xfId="3649" xr:uid="{00000000-0005-0000-0000-0000AA620000}"/>
    <cellStyle name="Note 6" xfId="722" xr:uid="{00000000-0005-0000-0000-0000AB620000}"/>
    <cellStyle name="Note 6 10" xfId="18625" xr:uid="{00000000-0005-0000-0000-0000AC620000}"/>
    <cellStyle name="Note 6 2" xfId="723" xr:uid="{00000000-0005-0000-0000-0000AD620000}"/>
    <cellStyle name="Note 6 2 2" xfId="724" xr:uid="{00000000-0005-0000-0000-0000AE620000}"/>
    <cellStyle name="Note 6 2 2 2" xfId="1752" xr:uid="{00000000-0005-0000-0000-0000AF620000}"/>
    <cellStyle name="Note 6 2 2 2 2" xfId="5282" xr:uid="{00000000-0005-0000-0000-0000B0620000}"/>
    <cellStyle name="Note 6 2 2 2 2 2" xfId="8873" xr:uid="{00000000-0005-0000-0000-0000B1620000}"/>
    <cellStyle name="Note 6 2 2 2 2 2 2" xfId="16844" xr:uid="{00000000-0005-0000-0000-0000B2620000}"/>
    <cellStyle name="Note 6 2 2 2 2 2 3" xfId="24790" xr:uid="{00000000-0005-0000-0000-0000B3620000}"/>
    <cellStyle name="Note 6 2 2 2 2 3" xfId="13306" xr:uid="{00000000-0005-0000-0000-0000B4620000}"/>
    <cellStyle name="Note 6 2 2 2 2 4" xfId="21261" xr:uid="{00000000-0005-0000-0000-0000B5620000}"/>
    <cellStyle name="Note 6 2 2 2 3" xfId="7114" xr:uid="{00000000-0005-0000-0000-0000B6620000}"/>
    <cellStyle name="Note 6 2 2 2 3 2" xfId="15086" xr:uid="{00000000-0005-0000-0000-0000B7620000}"/>
    <cellStyle name="Note 6 2 2 2 3 3" xfId="23033" xr:uid="{00000000-0005-0000-0000-0000B8620000}"/>
    <cellStyle name="Note 6 2 2 2 4" xfId="11550" xr:uid="{00000000-0005-0000-0000-0000B9620000}"/>
    <cellStyle name="Note 6 2 2 2 5" xfId="19505" xr:uid="{00000000-0005-0000-0000-0000BA620000}"/>
    <cellStyle name="Note 6 2 2 2_Exh G" xfId="3660" xr:uid="{00000000-0005-0000-0000-0000BB620000}"/>
    <cellStyle name="Note 6 2 2 3" xfId="4403" xr:uid="{00000000-0005-0000-0000-0000BC620000}"/>
    <cellStyle name="Note 6 2 2 3 2" xfId="7995" xr:uid="{00000000-0005-0000-0000-0000BD620000}"/>
    <cellStyle name="Note 6 2 2 3 2 2" xfId="15966" xr:uid="{00000000-0005-0000-0000-0000BE620000}"/>
    <cellStyle name="Note 6 2 2 3 2 3" xfId="23912" xr:uid="{00000000-0005-0000-0000-0000BF620000}"/>
    <cellStyle name="Note 6 2 2 3 3" xfId="12428" xr:uid="{00000000-0005-0000-0000-0000C0620000}"/>
    <cellStyle name="Note 6 2 2 3 4" xfId="20383" xr:uid="{00000000-0005-0000-0000-0000C1620000}"/>
    <cellStyle name="Note 6 2 2 4" xfId="6223" xr:uid="{00000000-0005-0000-0000-0000C2620000}"/>
    <cellStyle name="Note 6 2 2 4 2" xfId="14207" xr:uid="{00000000-0005-0000-0000-0000C3620000}"/>
    <cellStyle name="Note 6 2 2 4 3" xfId="22155" xr:uid="{00000000-0005-0000-0000-0000C4620000}"/>
    <cellStyle name="Note 6 2 2 5" xfId="9776" xr:uid="{00000000-0005-0000-0000-0000C5620000}"/>
    <cellStyle name="Note 6 2 2 5 2" xfId="17734" xr:uid="{00000000-0005-0000-0000-0000C6620000}"/>
    <cellStyle name="Note 6 2 2 5 3" xfId="25678" xr:uid="{00000000-0005-0000-0000-0000C7620000}"/>
    <cellStyle name="Note 6 2 2 6" xfId="10672" xr:uid="{00000000-0005-0000-0000-0000C8620000}"/>
    <cellStyle name="Note 6 2 2 7" xfId="18627" xr:uid="{00000000-0005-0000-0000-0000C9620000}"/>
    <cellStyle name="Note 6 2 2_Exh G" xfId="3659" xr:uid="{00000000-0005-0000-0000-0000CA620000}"/>
    <cellStyle name="Note 6 2 3" xfId="1751" xr:uid="{00000000-0005-0000-0000-0000CB620000}"/>
    <cellStyle name="Note 6 2 3 2" xfId="5281" xr:uid="{00000000-0005-0000-0000-0000CC620000}"/>
    <cellStyle name="Note 6 2 3 2 2" xfId="8872" xr:uid="{00000000-0005-0000-0000-0000CD620000}"/>
    <cellStyle name="Note 6 2 3 2 2 2" xfId="16843" xr:uid="{00000000-0005-0000-0000-0000CE620000}"/>
    <cellStyle name="Note 6 2 3 2 2 3" xfId="24789" xr:uid="{00000000-0005-0000-0000-0000CF620000}"/>
    <cellStyle name="Note 6 2 3 2 3" xfId="13305" xr:uid="{00000000-0005-0000-0000-0000D0620000}"/>
    <cellStyle name="Note 6 2 3 2 4" xfId="21260" xr:uid="{00000000-0005-0000-0000-0000D1620000}"/>
    <cellStyle name="Note 6 2 3 3" xfId="7113" xr:uid="{00000000-0005-0000-0000-0000D2620000}"/>
    <cellStyle name="Note 6 2 3 3 2" xfId="15085" xr:uid="{00000000-0005-0000-0000-0000D3620000}"/>
    <cellStyle name="Note 6 2 3 3 3" xfId="23032" xr:uid="{00000000-0005-0000-0000-0000D4620000}"/>
    <cellStyle name="Note 6 2 3 4" xfId="11549" xr:uid="{00000000-0005-0000-0000-0000D5620000}"/>
    <cellStyle name="Note 6 2 3 5" xfId="19504" xr:uid="{00000000-0005-0000-0000-0000D6620000}"/>
    <cellStyle name="Note 6 2 3_Exh G" xfId="3661" xr:uid="{00000000-0005-0000-0000-0000D7620000}"/>
    <cellStyle name="Note 6 2 4" xfId="4402" xr:uid="{00000000-0005-0000-0000-0000D8620000}"/>
    <cellStyle name="Note 6 2 4 2" xfId="7994" xr:uid="{00000000-0005-0000-0000-0000D9620000}"/>
    <cellStyle name="Note 6 2 4 2 2" xfId="15965" xr:uid="{00000000-0005-0000-0000-0000DA620000}"/>
    <cellStyle name="Note 6 2 4 2 3" xfId="23911" xr:uid="{00000000-0005-0000-0000-0000DB620000}"/>
    <cellStyle name="Note 6 2 4 3" xfId="12427" xr:uid="{00000000-0005-0000-0000-0000DC620000}"/>
    <cellStyle name="Note 6 2 4 4" xfId="20382" xr:uid="{00000000-0005-0000-0000-0000DD620000}"/>
    <cellStyle name="Note 6 2 5" xfId="6222" xr:uid="{00000000-0005-0000-0000-0000DE620000}"/>
    <cellStyle name="Note 6 2 5 2" xfId="14206" xr:uid="{00000000-0005-0000-0000-0000DF620000}"/>
    <cellStyle name="Note 6 2 5 3" xfId="22154" xr:uid="{00000000-0005-0000-0000-0000E0620000}"/>
    <cellStyle name="Note 6 2 6" xfId="9775" xr:uid="{00000000-0005-0000-0000-0000E1620000}"/>
    <cellStyle name="Note 6 2 6 2" xfId="17733" xr:uid="{00000000-0005-0000-0000-0000E2620000}"/>
    <cellStyle name="Note 6 2 6 3" xfId="25677" xr:uid="{00000000-0005-0000-0000-0000E3620000}"/>
    <cellStyle name="Note 6 2 7" xfId="10671" xr:uid="{00000000-0005-0000-0000-0000E4620000}"/>
    <cellStyle name="Note 6 2 8" xfId="18626" xr:uid="{00000000-0005-0000-0000-0000E5620000}"/>
    <cellStyle name="Note 6 2_Exh G" xfId="3658" xr:uid="{00000000-0005-0000-0000-0000E6620000}"/>
    <cellStyle name="Note 6 3" xfId="725" xr:uid="{00000000-0005-0000-0000-0000E7620000}"/>
    <cellStyle name="Note 6 3 2" xfId="1753" xr:uid="{00000000-0005-0000-0000-0000E8620000}"/>
    <cellStyle name="Note 6 3 2 2" xfId="5283" xr:uid="{00000000-0005-0000-0000-0000E9620000}"/>
    <cellStyle name="Note 6 3 2 2 2" xfId="8874" xr:uid="{00000000-0005-0000-0000-0000EA620000}"/>
    <cellStyle name="Note 6 3 2 2 2 2" xfId="16845" xr:uid="{00000000-0005-0000-0000-0000EB620000}"/>
    <cellStyle name="Note 6 3 2 2 2 3" xfId="24791" xr:uid="{00000000-0005-0000-0000-0000EC620000}"/>
    <cellStyle name="Note 6 3 2 2 3" xfId="13307" xr:uid="{00000000-0005-0000-0000-0000ED620000}"/>
    <cellStyle name="Note 6 3 2 2 4" xfId="21262" xr:uid="{00000000-0005-0000-0000-0000EE620000}"/>
    <cellStyle name="Note 6 3 2 3" xfId="7115" xr:uid="{00000000-0005-0000-0000-0000EF620000}"/>
    <cellStyle name="Note 6 3 2 3 2" xfId="15087" xr:uid="{00000000-0005-0000-0000-0000F0620000}"/>
    <cellStyle name="Note 6 3 2 3 3" xfId="23034" xr:uid="{00000000-0005-0000-0000-0000F1620000}"/>
    <cellStyle name="Note 6 3 2 4" xfId="11551" xr:uid="{00000000-0005-0000-0000-0000F2620000}"/>
    <cellStyle name="Note 6 3 2 5" xfId="19506" xr:uid="{00000000-0005-0000-0000-0000F3620000}"/>
    <cellStyle name="Note 6 3 2_Exh G" xfId="3663" xr:uid="{00000000-0005-0000-0000-0000F4620000}"/>
    <cellStyle name="Note 6 3 3" xfId="4404" xr:uid="{00000000-0005-0000-0000-0000F5620000}"/>
    <cellStyle name="Note 6 3 3 2" xfId="7996" xr:uid="{00000000-0005-0000-0000-0000F6620000}"/>
    <cellStyle name="Note 6 3 3 2 2" xfId="15967" xr:uid="{00000000-0005-0000-0000-0000F7620000}"/>
    <cellStyle name="Note 6 3 3 2 3" xfId="23913" xr:uid="{00000000-0005-0000-0000-0000F8620000}"/>
    <cellStyle name="Note 6 3 3 3" xfId="12429" xr:uid="{00000000-0005-0000-0000-0000F9620000}"/>
    <cellStyle name="Note 6 3 3 4" xfId="20384" xr:uid="{00000000-0005-0000-0000-0000FA620000}"/>
    <cellStyle name="Note 6 3 4" xfId="6224" xr:uid="{00000000-0005-0000-0000-0000FB620000}"/>
    <cellStyle name="Note 6 3 4 2" xfId="14208" xr:uid="{00000000-0005-0000-0000-0000FC620000}"/>
    <cellStyle name="Note 6 3 4 3" xfId="22156" xr:uid="{00000000-0005-0000-0000-0000FD620000}"/>
    <cellStyle name="Note 6 3 5" xfId="9777" xr:uid="{00000000-0005-0000-0000-0000FE620000}"/>
    <cellStyle name="Note 6 3 5 2" xfId="17735" xr:uid="{00000000-0005-0000-0000-0000FF620000}"/>
    <cellStyle name="Note 6 3 5 3" xfId="25679" xr:uid="{00000000-0005-0000-0000-000000630000}"/>
    <cellStyle name="Note 6 3 6" xfId="10673" xr:uid="{00000000-0005-0000-0000-000001630000}"/>
    <cellStyle name="Note 6 3 7" xfId="18628" xr:uid="{00000000-0005-0000-0000-000002630000}"/>
    <cellStyle name="Note 6 3_Exh G" xfId="3662" xr:uid="{00000000-0005-0000-0000-000003630000}"/>
    <cellStyle name="Note 6 4" xfId="1037" xr:uid="{00000000-0005-0000-0000-000004630000}"/>
    <cellStyle name="Note 6 4 2" xfId="1936" xr:uid="{00000000-0005-0000-0000-000005630000}"/>
    <cellStyle name="Note 6 4 2 2" xfId="5454" xr:uid="{00000000-0005-0000-0000-000006630000}"/>
    <cellStyle name="Note 6 4 2 2 2" xfId="9045" xr:uid="{00000000-0005-0000-0000-000007630000}"/>
    <cellStyle name="Note 6 4 2 2 2 2" xfId="17016" xr:uid="{00000000-0005-0000-0000-000008630000}"/>
    <cellStyle name="Note 6 4 2 2 2 3" xfId="24962" xr:uid="{00000000-0005-0000-0000-000009630000}"/>
    <cellStyle name="Note 6 4 2 2 3" xfId="13478" xr:uid="{00000000-0005-0000-0000-00000A630000}"/>
    <cellStyle name="Note 6 4 2 2 4" xfId="21433" xr:uid="{00000000-0005-0000-0000-00000B630000}"/>
    <cellStyle name="Note 6 4 2 3" xfId="7286" xr:uid="{00000000-0005-0000-0000-00000C630000}"/>
    <cellStyle name="Note 6 4 2 3 2" xfId="15258" xr:uid="{00000000-0005-0000-0000-00000D630000}"/>
    <cellStyle name="Note 6 4 2 3 3" xfId="23205" xr:uid="{00000000-0005-0000-0000-00000E630000}"/>
    <cellStyle name="Note 6 4 2 4" xfId="11722" xr:uid="{00000000-0005-0000-0000-00000F630000}"/>
    <cellStyle name="Note 6 4 2 5" xfId="19677" xr:uid="{00000000-0005-0000-0000-000010630000}"/>
    <cellStyle name="Note 6 4 2_Exh G" xfId="3665" xr:uid="{00000000-0005-0000-0000-000011630000}"/>
    <cellStyle name="Note 6 4 3" xfId="4575" xr:uid="{00000000-0005-0000-0000-000012630000}"/>
    <cellStyle name="Note 6 4 3 2" xfId="8167" xr:uid="{00000000-0005-0000-0000-000013630000}"/>
    <cellStyle name="Note 6 4 3 2 2" xfId="16138" xr:uid="{00000000-0005-0000-0000-000014630000}"/>
    <cellStyle name="Note 6 4 3 2 3" xfId="24084" xr:uid="{00000000-0005-0000-0000-000015630000}"/>
    <cellStyle name="Note 6 4 3 3" xfId="12600" xr:uid="{00000000-0005-0000-0000-000016630000}"/>
    <cellStyle name="Note 6 4 3 4" xfId="20555" xr:uid="{00000000-0005-0000-0000-000017630000}"/>
    <cellStyle name="Note 6 4 4" xfId="6407" xr:uid="{00000000-0005-0000-0000-000018630000}"/>
    <cellStyle name="Note 6 4 4 2" xfId="14380" xr:uid="{00000000-0005-0000-0000-000019630000}"/>
    <cellStyle name="Note 6 4 4 3" xfId="22327" xr:uid="{00000000-0005-0000-0000-00001A630000}"/>
    <cellStyle name="Note 6 4 5" xfId="9948" xr:uid="{00000000-0005-0000-0000-00001B630000}"/>
    <cellStyle name="Note 6 4 5 2" xfId="17906" xr:uid="{00000000-0005-0000-0000-00001C630000}"/>
    <cellStyle name="Note 6 4 5 3" xfId="25850" xr:uid="{00000000-0005-0000-0000-00001D630000}"/>
    <cellStyle name="Note 6 4 6" xfId="10844" xr:uid="{00000000-0005-0000-0000-00001E630000}"/>
    <cellStyle name="Note 6 4 7" xfId="18799" xr:uid="{00000000-0005-0000-0000-00001F630000}"/>
    <cellStyle name="Note 6 4_Exh G" xfId="3664" xr:uid="{00000000-0005-0000-0000-000020630000}"/>
    <cellStyle name="Note 6 5" xfId="1750" xr:uid="{00000000-0005-0000-0000-000021630000}"/>
    <cellStyle name="Note 6 5 2" xfId="5280" xr:uid="{00000000-0005-0000-0000-000022630000}"/>
    <cellStyle name="Note 6 5 2 2" xfId="8871" xr:uid="{00000000-0005-0000-0000-000023630000}"/>
    <cellStyle name="Note 6 5 2 2 2" xfId="16842" xr:uid="{00000000-0005-0000-0000-000024630000}"/>
    <cellStyle name="Note 6 5 2 2 3" xfId="24788" xr:uid="{00000000-0005-0000-0000-000025630000}"/>
    <cellStyle name="Note 6 5 2 3" xfId="13304" xr:uid="{00000000-0005-0000-0000-000026630000}"/>
    <cellStyle name="Note 6 5 2 4" xfId="21259" xr:uid="{00000000-0005-0000-0000-000027630000}"/>
    <cellStyle name="Note 6 5 3" xfId="7112" xr:uid="{00000000-0005-0000-0000-000028630000}"/>
    <cellStyle name="Note 6 5 3 2" xfId="15084" xr:uid="{00000000-0005-0000-0000-000029630000}"/>
    <cellStyle name="Note 6 5 3 3" xfId="23031" xr:uid="{00000000-0005-0000-0000-00002A630000}"/>
    <cellStyle name="Note 6 5 4" xfId="11548" xr:uid="{00000000-0005-0000-0000-00002B630000}"/>
    <cellStyle name="Note 6 5 5" xfId="19503" xr:uid="{00000000-0005-0000-0000-00002C630000}"/>
    <cellStyle name="Note 6 5_Exh G" xfId="3666" xr:uid="{00000000-0005-0000-0000-00002D630000}"/>
    <cellStyle name="Note 6 6" xfId="4401" xr:uid="{00000000-0005-0000-0000-00002E630000}"/>
    <cellStyle name="Note 6 6 2" xfId="7993" xr:uid="{00000000-0005-0000-0000-00002F630000}"/>
    <cellStyle name="Note 6 6 2 2" xfId="15964" xr:uid="{00000000-0005-0000-0000-000030630000}"/>
    <cellStyle name="Note 6 6 2 3" xfId="23910" xr:uid="{00000000-0005-0000-0000-000031630000}"/>
    <cellStyle name="Note 6 6 3" xfId="12426" xr:uid="{00000000-0005-0000-0000-000032630000}"/>
    <cellStyle name="Note 6 6 4" xfId="20381" xr:uid="{00000000-0005-0000-0000-000033630000}"/>
    <cellStyle name="Note 6 7" xfId="6221" xr:uid="{00000000-0005-0000-0000-000034630000}"/>
    <cellStyle name="Note 6 7 2" xfId="14205" xr:uid="{00000000-0005-0000-0000-000035630000}"/>
    <cellStyle name="Note 6 7 3" xfId="22153" xr:uid="{00000000-0005-0000-0000-000036630000}"/>
    <cellStyle name="Note 6 8" xfId="9774" xr:uid="{00000000-0005-0000-0000-000037630000}"/>
    <cellStyle name="Note 6 8 2" xfId="17732" xr:uid="{00000000-0005-0000-0000-000038630000}"/>
    <cellStyle name="Note 6 8 3" xfId="25676" xr:uid="{00000000-0005-0000-0000-000039630000}"/>
    <cellStyle name="Note 6 9" xfId="10670" xr:uid="{00000000-0005-0000-0000-00003A630000}"/>
    <cellStyle name="Note 6_Exh G" xfId="3657" xr:uid="{00000000-0005-0000-0000-00003B630000}"/>
    <cellStyle name="Note 7" xfId="726" xr:uid="{00000000-0005-0000-0000-00003C630000}"/>
    <cellStyle name="Note 7 10" xfId="18629" xr:uid="{00000000-0005-0000-0000-00003D630000}"/>
    <cellStyle name="Note 7 2" xfId="727" xr:uid="{00000000-0005-0000-0000-00003E630000}"/>
    <cellStyle name="Note 7 2 2" xfId="728" xr:uid="{00000000-0005-0000-0000-00003F630000}"/>
    <cellStyle name="Note 7 2 2 2" xfId="1756" xr:uid="{00000000-0005-0000-0000-000040630000}"/>
    <cellStyle name="Note 7 2 2 2 2" xfId="5286" xr:uid="{00000000-0005-0000-0000-000041630000}"/>
    <cellStyle name="Note 7 2 2 2 2 2" xfId="8877" xr:uid="{00000000-0005-0000-0000-000042630000}"/>
    <cellStyle name="Note 7 2 2 2 2 2 2" xfId="16848" xr:uid="{00000000-0005-0000-0000-000043630000}"/>
    <cellStyle name="Note 7 2 2 2 2 2 3" xfId="24794" xr:uid="{00000000-0005-0000-0000-000044630000}"/>
    <cellStyle name="Note 7 2 2 2 2 3" xfId="13310" xr:uid="{00000000-0005-0000-0000-000045630000}"/>
    <cellStyle name="Note 7 2 2 2 2 4" xfId="21265" xr:uid="{00000000-0005-0000-0000-000046630000}"/>
    <cellStyle name="Note 7 2 2 2 3" xfId="7118" xr:uid="{00000000-0005-0000-0000-000047630000}"/>
    <cellStyle name="Note 7 2 2 2 3 2" xfId="15090" xr:uid="{00000000-0005-0000-0000-000048630000}"/>
    <cellStyle name="Note 7 2 2 2 3 3" xfId="23037" xr:uid="{00000000-0005-0000-0000-000049630000}"/>
    <cellStyle name="Note 7 2 2 2 4" xfId="11554" xr:uid="{00000000-0005-0000-0000-00004A630000}"/>
    <cellStyle name="Note 7 2 2 2 5" xfId="19509" xr:uid="{00000000-0005-0000-0000-00004B630000}"/>
    <cellStyle name="Note 7 2 2 2_Exh G" xfId="3670" xr:uid="{00000000-0005-0000-0000-00004C630000}"/>
    <cellStyle name="Note 7 2 2 3" xfId="4407" xr:uid="{00000000-0005-0000-0000-00004D630000}"/>
    <cellStyle name="Note 7 2 2 3 2" xfId="7999" xr:uid="{00000000-0005-0000-0000-00004E630000}"/>
    <cellStyle name="Note 7 2 2 3 2 2" xfId="15970" xr:uid="{00000000-0005-0000-0000-00004F630000}"/>
    <cellStyle name="Note 7 2 2 3 2 3" xfId="23916" xr:uid="{00000000-0005-0000-0000-000050630000}"/>
    <cellStyle name="Note 7 2 2 3 3" xfId="12432" xr:uid="{00000000-0005-0000-0000-000051630000}"/>
    <cellStyle name="Note 7 2 2 3 4" xfId="20387" xr:uid="{00000000-0005-0000-0000-000052630000}"/>
    <cellStyle name="Note 7 2 2 4" xfId="6227" xr:uid="{00000000-0005-0000-0000-000053630000}"/>
    <cellStyle name="Note 7 2 2 4 2" xfId="14211" xr:uid="{00000000-0005-0000-0000-000054630000}"/>
    <cellStyle name="Note 7 2 2 4 3" xfId="22159" xr:uid="{00000000-0005-0000-0000-000055630000}"/>
    <cellStyle name="Note 7 2 2 5" xfId="9780" xr:uid="{00000000-0005-0000-0000-000056630000}"/>
    <cellStyle name="Note 7 2 2 5 2" xfId="17738" xr:uid="{00000000-0005-0000-0000-000057630000}"/>
    <cellStyle name="Note 7 2 2 5 3" xfId="25682" xr:uid="{00000000-0005-0000-0000-000058630000}"/>
    <cellStyle name="Note 7 2 2 6" xfId="10676" xr:uid="{00000000-0005-0000-0000-000059630000}"/>
    <cellStyle name="Note 7 2 2 7" xfId="18631" xr:uid="{00000000-0005-0000-0000-00005A630000}"/>
    <cellStyle name="Note 7 2 2_Exh G" xfId="3669" xr:uid="{00000000-0005-0000-0000-00005B630000}"/>
    <cellStyle name="Note 7 2 3" xfId="1755" xr:uid="{00000000-0005-0000-0000-00005C630000}"/>
    <cellStyle name="Note 7 2 3 2" xfId="5285" xr:uid="{00000000-0005-0000-0000-00005D630000}"/>
    <cellStyle name="Note 7 2 3 2 2" xfId="8876" xr:uid="{00000000-0005-0000-0000-00005E630000}"/>
    <cellStyle name="Note 7 2 3 2 2 2" xfId="16847" xr:uid="{00000000-0005-0000-0000-00005F630000}"/>
    <cellStyle name="Note 7 2 3 2 2 3" xfId="24793" xr:uid="{00000000-0005-0000-0000-000060630000}"/>
    <cellStyle name="Note 7 2 3 2 3" xfId="13309" xr:uid="{00000000-0005-0000-0000-000061630000}"/>
    <cellStyle name="Note 7 2 3 2 4" xfId="21264" xr:uid="{00000000-0005-0000-0000-000062630000}"/>
    <cellStyle name="Note 7 2 3 3" xfId="7117" xr:uid="{00000000-0005-0000-0000-000063630000}"/>
    <cellStyle name="Note 7 2 3 3 2" xfId="15089" xr:uid="{00000000-0005-0000-0000-000064630000}"/>
    <cellStyle name="Note 7 2 3 3 3" xfId="23036" xr:uid="{00000000-0005-0000-0000-000065630000}"/>
    <cellStyle name="Note 7 2 3 4" xfId="11553" xr:uid="{00000000-0005-0000-0000-000066630000}"/>
    <cellStyle name="Note 7 2 3 5" xfId="19508" xr:uid="{00000000-0005-0000-0000-000067630000}"/>
    <cellStyle name="Note 7 2 3_Exh G" xfId="3671" xr:uid="{00000000-0005-0000-0000-000068630000}"/>
    <cellStyle name="Note 7 2 4" xfId="4406" xr:uid="{00000000-0005-0000-0000-000069630000}"/>
    <cellStyle name="Note 7 2 4 2" xfId="7998" xr:uid="{00000000-0005-0000-0000-00006A630000}"/>
    <cellStyle name="Note 7 2 4 2 2" xfId="15969" xr:uid="{00000000-0005-0000-0000-00006B630000}"/>
    <cellStyle name="Note 7 2 4 2 3" xfId="23915" xr:uid="{00000000-0005-0000-0000-00006C630000}"/>
    <cellStyle name="Note 7 2 4 3" xfId="12431" xr:uid="{00000000-0005-0000-0000-00006D630000}"/>
    <cellStyle name="Note 7 2 4 4" xfId="20386" xr:uid="{00000000-0005-0000-0000-00006E630000}"/>
    <cellStyle name="Note 7 2 5" xfId="6226" xr:uid="{00000000-0005-0000-0000-00006F630000}"/>
    <cellStyle name="Note 7 2 5 2" xfId="14210" xr:uid="{00000000-0005-0000-0000-000070630000}"/>
    <cellStyle name="Note 7 2 5 3" xfId="22158" xr:uid="{00000000-0005-0000-0000-000071630000}"/>
    <cellStyle name="Note 7 2 6" xfId="9779" xr:uid="{00000000-0005-0000-0000-000072630000}"/>
    <cellStyle name="Note 7 2 6 2" xfId="17737" xr:uid="{00000000-0005-0000-0000-000073630000}"/>
    <cellStyle name="Note 7 2 6 3" xfId="25681" xr:uid="{00000000-0005-0000-0000-000074630000}"/>
    <cellStyle name="Note 7 2 7" xfId="10675" xr:uid="{00000000-0005-0000-0000-000075630000}"/>
    <cellStyle name="Note 7 2 8" xfId="18630" xr:uid="{00000000-0005-0000-0000-000076630000}"/>
    <cellStyle name="Note 7 2_Exh G" xfId="3668" xr:uid="{00000000-0005-0000-0000-000077630000}"/>
    <cellStyle name="Note 7 3" xfId="729" xr:uid="{00000000-0005-0000-0000-000078630000}"/>
    <cellStyle name="Note 7 3 2" xfId="1757" xr:uid="{00000000-0005-0000-0000-000079630000}"/>
    <cellStyle name="Note 7 3 2 2" xfId="5287" xr:uid="{00000000-0005-0000-0000-00007A630000}"/>
    <cellStyle name="Note 7 3 2 2 2" xfId="8878" xr:uid="{00000000-0005-0000-0000-00007B630000}"/>
    <cellStyle name="Note 7 3 2 2 2 2" xfId="16849" xr:uid="{00000000-0005-0000-0000-00007C630000}"/>
    <cellStyle name="Note 7 3 2 2 2 3" xfId="24795" xr:uid="{00000000-0005-0000-0000-00007D630000}"/>
    <cellStyle name="Note 7 3 2 2 3" xfId="13311" xr:uid="{00000000-0005-0000-0000-00007E630000}"/>
    <cellStyle name="Note 7 3 2 2 4" xfId="21266" xr:uid="{00000000-0005-0000-0000-00007F630000}"/>
    <cellStyle name="Note 7 3 2 3" xfId="7119" xr:uid="{00000000-0005-0000-0000-000080630000}"/>
    <cellStyle name="Note 7 3 2 3 2" xfId="15091" xr:uid="{00000000-0005-0000-0000-000081630000}"/>
    <cellStyle name="Note 7 3 2 3 3" xfId="23038" xr:uid="{00000000-0005-0000-0000-000082630000}"/>
    <cellStyle name="Note 7 3 2 4" xfId="11555" xr:uid="{00000000-0005-0000-0000-000083630000}"/>
    <cellStyle name="Note 7 3 2 5" xfId="19510" xr:uid="{00000000-0005-0000-0000-000084630000}"/>
    <cellStyle name="Note 7 3 2_Exh G" xfId="3673" xr:uid="{00000000-0005-0000-0000-000085630000}"/>
    <cellStyle name="Note 7 3 3" xfId="4408" xr:uid="{00000000-0005-0000-0000-000086630000}"/>
    <cellStyle name="Note 7 3 3 2" xfId="8000" xr:uid="{00000000-0005-0000-0000-000087630000}"/>
    <cellStyle name="Note 7 3 3 2 2" xfId="15971" xr:uid="{00000000-0005-0000-0000-000088630000}"/>
    <cellStyle name="Note 7 3 3 2 3" xfId="23917" xr:uid="{00000000-0005-0000-0000-000089630000}"/>
    <cellStyle name="Note 7 3 3 3" xfId="12433" xr:uid="{00000000-0005-0000-0000-00008A630000}"/>
    <cellStyle name="Note 7 3 3 4" xfId="20388" xr:uid="{00000000-0005-0000-0000-00008B630000}"/>
    <cellStyle name="Note 7 3 4" xfId="6228" xr:uid="{00000000-0005-0000-0000-00008C630000}"/>
    <cellStyle name="Note 7 3 4 2" xfId="14212" xr:uid="{00000000-0005-0000-0000-00008D630000}"/>
    <cellStyle name="Note 7 3 4 3" xfId="22160" xr:uid="{00000000-0005-0000-0000-00008E630000}"/>
    <cellStyle name="Note 7 3 5" xfId="9781" xr:uid="{00000000-0005-0000-0000-00008F630000}"/>
    <cellStyle name="Note 7 3 5 2" xfId="17739" xr:uid="{00000000-0005-0000-0000-000090630000}"/>
    <cellStyle name="Note 7 3 5 3" xfId="25683" xr:uid="{00000000-0005-0000-0000-000091630000}"/>
    <cellStyle name="Note 7 3 6" xfId="10677" xr:uid="{00000000-0005-0000-0000-000092630000}"/>
    <cellStyle name="Note 7 3 7" xfId="18632" xr:uid="{00000000-0005-0000-0000-000093630000}"/>
    <cellStyle name="Note 7 3_Exh G" xfId="3672" xr:uid="{00000000-0005-0000-0000-000094630000}"/>
    <cellStyle name="Note 7 4" xfId="1038" xr:uid="{00000000-0005-0000-0000-000095630000}"/>
    <cellStyle name="Note 7 4 2" xfId="1937" xr:uid="{00000000-0005-0000-0000-000096630000}"/>
    <cellStyle name="Note 7 4 2 2" xfId="5455" xr:uid="{00000000-0005-0000-0000-000097630000}"/>
    <cellStyle name="Note 7 4 2 2 2" xfId="9046" xr:uid="{00000000-0005-0000-0000-000098630000}"/>
    <cellStyle name="Note 7 4 2 2 2 2" xfId="17017" xr:uid="{00000000-0005-0000-0000-000099630000}"/>
    <cellStyle name="Note 7 4 2 2 2 3" xfId="24963" xr:uid="{00000000-0005-0000-0000-00009A630000}"/>
    <cellStyle name="Note 7 4 2 2 3" xfId="13479" xr:uid="{00000000-0005-0000-0000-00009B630000}"/>
    <cellStyle name="Note 7 4 2 2 4" xfId="21434" xr:uid="{00000000-0005-0000-0000-00009C630000}"/>
    <cellStyle name="Note 7 4 2 3" xfId="7287" xr:uid="{00000000-0005-0000-0000-00009D630000}"/>
    <cellStyle name="Note 7 4 2 3 2" xfId="15259" xr:uid="{00000000-0005-0000-0000-00009E630000}"/>
    <cellStyle name="Note 7 4 2 3 3" xfId="23206" xr:uid="{00000000-0005-0000-0000-00009F630000}"/>
    <cellStyle name="Note 7 4 2 4" xfId="11723" xr:uid="{00000000-0005-0000-0000-0000A0630000}"/>
    <cellStyle name="Note 7 4 2 5" xfId="19678" xr:uid="{00000000-0005-0000-0000-0000A1630000}"/>
    <cellStyle name="Note 7 4 2_Exh G" xfId="3675" xr:uid="{00000000-0005-0000-0000-0000A2630000}"/>
    <cellStyle name="Note 7 4 3" xfId="4576" xr:uid="{00000000-0005-0000-0000-0000A3630000}"/>
    <cellStyle name="Note 7 4 3 2" xfId="8168" xr:uid="{00000000-0005-0000-0000-0000A4630000}"/>
    <cellStyle name="Note 7 4 3 2 2" xfId="16139" xr:uid="{00000000-0005-0000-0000-0000A5630000}"/>
    <cellStyle name="Note 7 4 3 2 3" xfId="24085" xr:uid="{00000000-0005-0000-0000-0000A6630000}"/>
    <cellStyle name="Note 7 4 3 3" xfId="12601" xr:uid="{00000000-0005-0000-0000-0000A7630000}"/>
    <cellStyle name="Note 7 4 3 4" xfId="20556" xr:uid="{00000000-0005-0000-0000-0000A8630000}"/>
    <cellStyle name="Note 7 4 4" xfId="6408" xr:uid="{00000000-0005-0000-0000-0000A9630000}"/>
    <cellStyle name="Note 7 4 4 2" xfId="14381" xr:uid="{00000000-0005-0000-0000-0000AA630000}"/>
    <cellStyle name="Note 7 4 4 3" xfId="22328" xr:uid="{00000000-0005-0000-0000-0000AB630000}"/>
    <cellStyle name="Note 7 4 5" xfId="9949" xr:uid="{00000000-0005-0000-0000-0000AC630000}"/>
    <cellStyle name="Note 7 4 5 2" xfId="17907" xr:uid="{00000000-0005-0000-0000-0000AD630000}"/>
    <cellStyle name="Note 7 4 5 3" xfId="25851" xr:uid="{00000000-0005-0000-0000-0000AE630000}"/>
    <cellStyle name="Note 7 4 6" xfId="10845" xr:uid="{00000000-0005-0000-0000-0000AF630000}"/>
    <cellStyle name="Note 7 4 7" xfId="18800" xr:uid="{00000000-0005-0000-0000-0000B0630000}"/>
    <cellStyle name="Note 7 4_Exh G" xfId="3674" xr:uid="{00000000-0005-0000-0000-0000B1630000}"/>
    <cellStyle name="Note 7 5" xfId="1754" xr:uid="{00000000-0005-0000-0000-0000B2630000}"/>
    <cellStyle name="Note 7 5 2" xfId="5284" xr:uid="{00000000-0005-0000-0000-0000B3630000}"/>
    <cellStyle name="Note 7 5 2 2" xfId="8875" xr:uid="{00000000-0005-0000-0000-0000B4630000}"/>
    <cellStyle name="Note 7 5 2 2 2" xfId="16846" xr:uid="{00000000-0005-0000-0000-0000B5630000}"/>
    <cellStyle name="Note 7 5 2 2 3" xfId="24792" xr:uid="{00000000-0005-0000-0000-0000B6630000}"/>
    <cellStyle name="Note 7 5 2 3" xfId="13308" xr:uid="{00000000-0005-0000-0000-0000B7630000}"/>
    <cellStyle name="Note 7 5 2 4" xfId="21263" xr:uid="{00000000-0005-0000-0000-0000B8630000}"/>
    <cellStyle name="Note 7 5 3" xfId="7116" xr:uid="{00000000-0005-0000-0000-0000B9630000}"/>
    <cellStyle name="Note 7 5 3 2" xfId="15088" xr:uid="{00000000-0005-0000-0000-0000BA630000}"/>
    <cellStyle name="Note 7 5 3 3" xfId="23035" xr:uid="{00000000-0005-0000-0000-0000BB630000}"/>
    <cellStyle name="Note 7 5 4" xfId="11552" xr:uid="{00000000-0005-0000-0000-0000BC630000}"/>
    <cellStyle name="Note 7 5 5" xfId="19507" xr:uid="{00000000-0005-0000-0000-0000BD630000}"/>
    <cellStyle name="Note 7 5_Exh G" xfId="3676" xr:uid="{00000000-0005-0000-0000-0000BE630000}"/>
    <cellStyle name="Note 7 6" xfId="4405" xr:uid="{00000000-0005-0000-0000-0000BF630000}"/>
    <cellStyle name="Note 7 6 2" xfId="7997" xr:uid="{00000000-0005-0000-0000-0000C0630000}"/>
    <cellStyle name="Note 7 6 2 2" xfId="15968" xr:uid="{00000000-0005-0000-0000-0000C1630000}"/>
    <cellStyle name="Note 7 6 2 3" xfId="23914" xr:uid="{00000000-0005-0000-0000-0000C2630000}"/>
    <cellStyle name="Note 7 6 3" xfId="12430" xr:uid="{00000000-0005-0000-0000-0000C3630000}"/>
    <cellStyle name="Note 7 6 4" xfId="20385" xr:uid="{00000000-0005-0000-0000-0000C4630000}"/>
    <cellStyle name="Note 7 7" xfId="6225" xr:uid="{00000000-0005-0000-0000-0000C5630000}"/>
    <cellStyle name="Note 7 7 2" xfId="14209" xr:uid="{00000000-0005-0000-0000-0000C6630000}"/>
    <cellStyle name="Note 7 7 3" xfId="22157" xr:uid="{00000000-0005-0000-0000-0000C7630000}"/>
    <cellStyle name="Note 7 8" xfId="9778" xr:uid="{00000000-0005-0000-0000-0000C8630000}"/>
    <cellStyle name="Note 7 8 2" xfId="17736" xr:uid="{00000000-0005-0000-0000-0000C9630000}"/>
    <cellStyle name="Note 7 8 3" xfId="25680" xr:uid="{00000000-0005-0000-0000-0000CA630000}"/>
    <cellStyle name="Note 7 9" xfId="10674" xr:uid="{00000000-0005-0000-0000-0000CB630000}"/>
    <cellStyle name="Note 7_Exh G" xfId="3667" xr:uid="{00000000-0005-0000-0000-0000CC630000}"/>
    <cellStyle name="Note 8" xfId="730" xr:uid="{00000000-0005-0000-0000-0000CD630000}"/>
    <cellStyle name="Note 8 10" xfId="18633" xr:uid="{00000000-0005-0000-0000-0000CE630000}"/>
    <cellStyle name="Note 8 2" xfId="731" xr:uid="{00000000-0005-0000-0000-0000CF630000}"/>
    <cellStyle name="Note 8 2 2" xfId="732" xr:uid="{00000000-0005-0000-0000-0000D0630000}"/>
    <cellStyle name="Note 8 2 2 2" xfId="1760" xr:uid="{00000000-0005-0000-0000-0000D1630000}"/>
    <cellStyle name="Note 8 2 2 2 2" xfId="5290" xr:uid="{00000000-0005-0000-0000-0000D2630000}"/>
    <cellStyle name="Note 8 2 2 2 2 2" xfId="8881" xr:uid="{00000000-0005-0000-0000-0000D3630000}"/>
    <cellStyle name="Note 8 2 2 2 2 2 2" xfId="16852" xr:uid="{00000000-0005-0000-0000-0000D4630000}"/>
    <cellStyle name="Note 8 2 2 2 2 2 3" xfId="24798" xr:uid="{00000000-0005-0000-0000-0000D5630000}"/>
    <cellStyle name="Note 8 2 2 2 2 3" xfId="13314" xr:uid="{00000000-0005-0000-0000-0000D6630000}"/>
    <cellStyle name="Note 8 2 2 2 2 4" xfId="21269" xr:uid="{00000000-0005-0000-0000-0000D7630000}"/>
    <cellStyle name="Note 8 2 2 2 3" xfId="7122" xr:uid="{00000000-0005-0000-0000-0000D8630000}"/>
    <cellStyle name="Note 8 2 2 2 3 2" xfId="15094" xr:uid="{00000000-0005-0000-0000-0000D9630000}"/>
    <cellStyle name="Note 8 2 2 2 3 3" xfId="23041" xr:uid="{00000000-0005-0000-0000-0000DA630000}"/>
    <cellStyle name="Note 8 2 2 2 4" xfId="11558" xr:uid="{00000000-0005-0000-0000-0000DB630000}"/>
    <cellStyle name="Note 8 2 2 2 5" xfId="19513" xr:uid="{00000000-0005-0000-0000-0000DC630000}"/>
    <cellStyle name="Note 8 2 2 2_Exh G" xfId="3680" xr:uid="{00000000-0005-0000-0000-0000DD630000}"/>
    <cellStyle name="Note 8 2 2 3" xfId="4411" xr:uid="{00000000-0005-0000-0000-0000DE630000}"/>
    <cellStyle name="Note 8 2 2 3 2" xfId="8003" xr:uid="{00000000-0005-0000-0000-0000DF630000}"/>
    <cellStyle name="Note 8 2 2 3 2 2" xfId="15974" xr:uid="{00000000-0005-0000-0000-0000E0630000}"/>
    <cellStyle name="Note 8 2 2 3 2 3" xfId="23920" xr:uid="{00000000-0005-0000-0000-0000E1630000}"/>
    <cellStyle name="Note 8 2 2 3 3" xfId="12436" xr:uid="{00000000-0005-0000-0000-0000E2630000}"/>
    <cellStyle name="Note 8 2 2 3 4" xfId="20391" xr:uid="{00000000-0005-0000-0000-0000E3630000}"/>
    <cellStyle name="Note 8 2 2 4" xfId="6231" xr:uid="{00000000-0005-0000-0000-0000E4630000}"/>
    <cellStyle name="Note 8 2 2 4 2" xfId="14215" xr:uid="{00000000-0005-0000-0000-0000E5630000}"/>
    <cellStyle name="Note 8 2 2 4 3" xfId="22163" xr:uid="{00000000-0005-0000-0000-0000E6630000}"/>
    <cellStyle name="Note 8 2 2 5" xfId="9784" xr:uid="{00000000-0005-0000-0000-0000E7630000}"/>
    <cellStyle name="Note 8 2 2 5 2" xfId="17742" xr:uid="{00000000-0005-0000-0000-0000E8630000}"/>
    <cellStyle name="Note 8 2 2 5 3" xfId="25686" xr:uid="{00000000-0005-0000-0000-0000E9630000}"/>
    <cellStyle name="Note 8 2 2 6" xfId="10680" xr:uid="{00000000-0005-0000-0000-0000EA630000}"/>
    <cellStyle name="Note 8 2 2 7" xfId="18635" xr:uid="{00000000-0005-0000-0000-0000EB630000}"/>
    <cellStyle name="Note 8 2 2_Exh G" xfId="3679" xr:uid="{00000000-0005-0000-0000-0000EC630000}"/>
    <cellStyle name="Note 8 2 3" xfId="1759" xr:uid="{00000000-0005-0000-0000-0000ED630000}"/>
    <cellStyle name="Note 8 2 3 2" xfId="5289" xr:uid="{00000000-0005-0000-0000-0000EE630000}"/>
    <cellStyle name="Note 8 2 3 2 2" xfId="8880" xr:uid="{00000000-0005-0000-0000-0000EF630000}"/>
    <cellStyle name="Note 8 2 3 2 2 2" xfId="16851" xr:uid="{00000000-0005-0000-0000-0000F0630000}"/>
    <cellStyle name="Note 8 2 3 2 2 3" xfId="24797" xr:uid="{00000000-0005-0000-0000-0000F1630000}"/>
    <cellStyle name="Note 8 2 3 2 3" xfId="13313" xr:uid="{00000000-0005-0000-0000-0000F2630000}"/>
    <cellStyle name="Note 8 2 3 2 4" xfId="21268" xr:uid="{00000000-0005-0000-0000-0000F3630000}"/>
    <cellStyle name="Note 8 2 3 3" xfId="7121" xr:uid="{00000000-0005-0000-0000-0000F4630000}"/>
    <cellStyle name="Note 8 2 3 3 2" xfId="15093" xr:uid="{00000000-0005-0000-0000-0000F5630000}"/>
    <cellStyle name="Note 8 2 3 3 3" xfId="23040" xr:uid="{00000000-0005-0000-0000-0000F6630000}"/>
    <cellStyle name="Note 8 2 3 4" xfId="11557" xr:uid="{00000000-0005-0000-0000-0000F7630000}"/>
    <cellStyle name="Note 8 2 3 5" xfId="19512" xr:uid="{00000000-0005-0000-0000-0000F8630000}"/>
    <cellStyle name="Note 8 2 3_Exh G" xfId="3681" xr:uid="{00000000-0005-0000-0000-0000F9630000}"/>
    <cellStyle name="Note 8 2 4" xfId="4410" xr:uid="{00000000-0005-0000-0000-0000FA630000}"/>
    <cellStyle name="Note 8 2 4 2" xfId="8002" xr:uid="{00000000-0005-0000-0000-0000FB630000}"/>
    <cellStyle name="Note 8 2 4 2 2" xfId="15973" xr:uid="{00000000-0005-0000-0000-0000FC630000}"/>
    <cellStyle name="Note 8 2 4 2 3" xfId="23919" xr:uid="{00000000-0005-0000-0000-0000FD630000}"/>
    <cellStyle name="Note 8 2 4 3" xfId="12435" xr:uid="{00000000-0005-0000-0000-0000FE630000}"/>
    <cellStyle name="Note 8 2 4 4" xfId="20390" xr:uid="{00000000-0005-0000-0000-0000FF630000}"/>
    <cellStyle name="Note 8 2 5" xfId="6230" xr:uid="{00000000-0005-0000-0000-000000640000}"/>
    <cellStyle name="Note 8 2 5 2" xfId="14214" xr:uid="{00000000-0005-0000-0000-000001640000}"/>
    <cellStyle name="Note 8 2 5 3" xfId="22162" xr:uid="{00000000-0005-0000-0000-000002640000}"/>
    <cellStyle name="Note 8 2 6" xfId="9783" xr:uid="{00000000-0005-0000-0000-000003640000}"/>
    <cellStyle name="Note 8 2 6 2" xfId="17741" xr:uid="{00000000-0005-0000-0000-000004640000}"/>
    <cellStyle name="Note 8 2 6 3" xfId="25685" xr:uid="{00000000-0005-0000-0000-000005640000}"/>
    <cellStyle name="Note 8 2 7" xfId="10679" xr:uid="{00000000-0005-0000-0000-000006640000}"/>
    <cellStyle name="Note 8 2 8" xfId="18634" xr:uid="{00000000-0005-0000-0000-000007640000}"/>
    <cellStyle name="Note 8 2_Exh G" xfId="3678" xr:uid="{00000000-0005-0000-0000-000008640000}"/>
    <cellStyle name="Note 8 3" xfId="733" xr:uid="{00000000-0005-0000-0000-000009640000}"/>
    <cellStyle name="Note 8 3 2" xfId="1761" xr:uid="{00000000-0005-0000-0000-00000A640000}"/>
    <cellStyle name="Note 8 3 2 2" xfId="5291" xr:uid="{00000000-0005-0000-0000-00000B640000}"/>
    <cellStyle name="Note 8 3 2 2 2" xfId="8882" xr:uid="{00000000-0005-0000-0000-00000C640000}"/>
    <cellStyle name="Note 8 3 2 2 2 2" xfId="16853" xr:uid="{00000000-0005-0000-0000-00000D640000}"/>
    <cellStyle name="Note 8 3 2 2 2 3" xfId="24799" xr:uid="{00000000-0005-0000-0000-00000E640000}"/>
    <cellStyle name="Note 8 3 2 2 3" xfId="13315" xr:uid="{00000000-0005-0000-0000-00000F640000}"/>
    <cellStyle name="Note 8 3 2 2 4" xfId="21270" xr:uid="{00000000-0005-0000-0000-000010640000}"/>
    <cellStyle name="Note 8 3 2 3" xfId="7123" xr:uid="{00000000-0005-0000-0000-000011640000}"/>
    <cellStyle name="Note 8 3 2 3 2" xfId="15095" xr:uid="{00000000-0005-0000-0000-000012640000}"/>
    <cellStyle name="Note 8 3 2 3 3" xfId="23042" xr:uid="{00000000-0005-0000-0000-000013640000}"/>
    <cellStyle name="Note 8 3 2 4" xfId="11559" xr:uid="{00000000-0005-0000-0000-000014640000}"/>
    <cellStyle name="Note 8 3 2 5" xfId="19514" xr:uid="{00000000-0005-0000-0000-000015640000}"/>
    <cellStyle name="Note 8 3 2_Exh G" xfId="3683" xr:uid="{00000000-0005-0000-0000-000016640000}"/>
    <cellStyle name="Note 8 3 3" xfId="4412" xr:uid="{00000000-0005-0000-0000-000017640000}"/>
    <cellStyle name="Note 8 3 3 2" xfId="8004" xr:uid="{00000000-0005-0000-0000-000018640000}"/>
    <cellStyle name="Note 8 3 3 2 2" xfId="15975" xr:uid="{00000000-0005-0000-0000-000019640000}"/>
    <cellStyle name="Note 8 3 3 2 3" xfId="23921" xr:uid="{00000000-0005-0000-0000-00001A640000}"/>
    <cellStyle name="Note 8 3 3 3" xfId="12437" xr:uid="{00000000-0005-0000-0000-00001B640000}"/>
    <cellStyle name="Note 8 3 3 4" xfId="20392" xr:uid="{00000000-0005-0000-0000-00001C640000}"/>
    <cellStyle name="Note 8 3 4" xfId="6232" xr:uid="{00000000-0005-0000-0000-00001D640000}"/>
    <cellStyle name="Note 8 3 4 2" xfId="14216" xr:uid="{00000000-0005-0000-0000-00001E640000}"/>
    <cellStyle name="Note 8 3 4 3" xfId="22164" xr:uid="{00000000-0005-0000-0000-00001F640000}"/>
    <cellStyle name="Note 8 3 5" xfId="9785" xr:uid="{00000000-0005-0000-0000-000020640000}"/>
    <cellStyle name="Note 8 3 5 2" xfId="17743" xr:uid="{00000000-0005-0000-0000-000021640000}"/>
    <cellStyle name="Note 8 3 5 3" xfId="25687" xr:uid="{00000000-0005-0000-0000-000022640000}"/>
    <cellStyle name="Note 8 3 6" xfId="10681" xr:uid="{00000000-0005-0000-0000-000023640000}"/>
    <cellStyle name="Note 8 3 7" xfId="18636" xr:uid="{00000000-0005-0000-0000-000024640000}"/>
    <cellStyle name="Note 8 3_Exh G" xfId="3682" xr:uid="{00000000-0005-0000-0000-000025640000}"/>
    <cellStyle name="Note 8 4" xfId="1039" xr:uid="{00000000-0005-0000-0000-000026640000}"/>
    <cellStyle name="Note 8 4 2" xfId="1938" xr:uid="{00000000-0005-0000-0000-000027640000}"/>
    <cellStyle name="Note 8 4 2 2" xfId="5456" xr:uid="{00000000-0005-0000-0000-000028640000}"/>
    <cellStyle name="Note 8 4 2 2 2" xfId="9047" xr:uid="{00000000-0005-0000-0000-000029640000}"/>
    <cellStyle name="Note 8 4 2 2 2 2" xfId="17018" xr:uid="{00000000-0005-0000-0000-00002A640000}"/>
    <cellStyle name="Note 8 4 2 2 2 3" xfId="24964" xr:uid="{00000000-0005-0000-0000-00002B640000}"/>
    <cellStyle name="Note 8 4 2 2 3" xfId="13480" xr:uid="{00000000-0005-0000-0000-00002C640000}"/>
    <cellStyle name="Note 8 4 2 2 4" xfId="21435" xr:uid="{00000000-0005-0000-0000-00002D640000}"/>
    <cellStyle name="Note 8 4 2 3" xfId="7288" xr:uid="{00000000-0005-0000-0000-00002E640000}"/>
    <cellStyle name="Note 8 4 2 3 2" xfId="15260" xr:uid="{00000000-0005-0000-0000-00002F640000}"/>
    <cellStyle name="Note 8 4 2 3 3" xfId="23207" xr:uid="{00000000-0005-0000-0000-000030640000}"/>
    <cellStyle name="Note 8 4 2 4" xfId="11724" xr:uid="{00000000-0005-0000-0000-000031640000}"/>
    <cellStyle name="Note 8 4 2 5" xfId="19679" xr:uid="{00000000-0005-0000-0000-000032640000}"/>
    <cellStyle name="Note 8 4 2_Exh G" xfId="3685" xr:uid="{00000000-0005-0000-0000-000033640000}"/>
    <cellStyle name="Note 8 4 3" xfId="4577" xr:uid="{00000000-0005-0000-0000-000034640000}"/>
    <cellStyle name="Note 8 4 3 2" xfId="8169" xr:uid="{00000000-0005-0000-0000-000035640000}"/>
    <cellStyle name="Note 8 4 3 2 2" xfId="16140" xr:uid="{00000000-0005-0000-0000-000036640000}"/>
    <cellStyle name="Note 8 4 3 2 3" xfId="24086" xr:uid="{00000000-0005-0000-0000-000037640000}"/>
    <cellStyle name="Note 8 4 3 3" xfId="12602" xr:uid="{00000000-0005-0000-0000-000038640000}"/>
    <cellStyle name="Note 8 4 3 4" xfId="20557" xr:uid="{00000000-0005-0000-0000-000039640000}"/>
    <cellStyle name="Note 8 4 4" xfId="6409" xr:uid="{00000000-0005-0000-0000-00003A640000}"/>
    <cellStyle name="Note 8 4 4 2" xfId="14382" xr:uid="{00000000-0005-0000-0000-00003B640000}"/>
    <cellStyle name="Note 8 4 4 3" xfId="22329" xr:uid="{00000000-0005-0000-0000-00003C640000}"/>
    <cellStyle name="Note 8 4 5" xfId="9950" xr:uid="{00000000-0005-0000-0000-00003D640000}"/>
    <cellStyle name="Note 8 4 5 2" xfId="17908" xr:uid="{00000000-0005-0000-0000-00003E640000}"/>
    <cellStyle name="Note 8 4 5 3" xfId="25852" xr:uid="{00000000-0005-0000-0000-00003F640000}"/>
    <cellStyle name="Note 8 4 6" xfId="10846" xr:uid="{00000000-0005-0000-0000-000040640000}"/>
    <cellStyle name="Note 8 4 7" xfId="18801" xr:uid="{00000000-0005-0000-0000-000041640000}"/>
    <cellStyle name="Note 8 4_Exh G" xfId="3684" xr:uid="{00000000-0005-0000-0000-000042640000}"/>
    <cellStyle name="Note 8 5" xfId="1758" xr:uid="{00000000-0005-0000-0000-000043640000}"/>
    <cellStyle name="Note 8 5 2" xfId="5288" xr:uid="{00000000-0005-0000-0000-000044640000}"/>
    <cellStyle name="Note 8 5 2 2" xfId="8879" xr:uid="{00000000-0005-0000-0000-000045640000}"/>
    <cellStyle name="Note 8 5 2 2 2" xfId="16850" xr:uid="{00000000-0005-0000-0000-000046640000}"/>
    <cellStyle name="Note 8 5 2 2 3" xfId="24796" xr:uid="{00000000-0005-0000-0000-000047640000}"/>
    <cellStyle name="Note 8 5 2 3" xfId="13312" xr:uid="{00000000-0005-0000-0000-000048640000}"/>
    <cellStyle name="Note 8 5 2 4" xfId="21267" xr:uid="{00000000-0005-0000-0000-000049640000}"/>
    <cellStyle name="Note 8 5 3" xfId="7120" xr:uid="{00000000-0005-0000-0000-00004A640000}"/>
    <cellStyle name="Note 8 5 3 2" xfId="15092" xr:uid="{00000000-0005-0000-0000-00004B640000}"/>
    <cellStyle name="Note 8 5 3 3" xfId="23039" xr:uid="{00000000-0005-0000-0000-00004C640000}"/>
    <cellStyle name="Note 8 5 4" xfId="11556" xr:uid="{00000000-0005-0000-0000-00004D640000}"/>
    <cellStyle name="Note 8 5 5" xfId="19511" xr:uid="{00000000-0005-0000-0000-00004E640000}"/>
    <cellStyle name="Note 8 5_Exh G" xfId="3686" xr:uid="{00000000-0005-0000-0000-00004F640000}"/>
    <cellStyle name="Note 8 6" xfId="4409" xr:uid="{00000000-0005-0000-0000-000050640000}"/>
    <cellStyle name="Note 8 6 2" xfId="8001" xr:uid="{00000000-0005-0000-0000-000051640000}"/>
    <cellStyle name="Note 8 6 2 2" xfId="15972" xr:uid="{00000000-0005-0000-0000-000052640000}"/>
    <cellStyle name="Note 8 6 2 3" xfId="23918" xr:uid="{00000000-0005-0000-0000-000053640000}"/>
    <cellStyle name="Note 8 6 3" xfId="12434" xr:uid="{00000000-0005-0000-0000-000054640000}"/>
    <cellStyle name="Note 8 6 4" xfId="20389" xr:uid="{00000000-0005-0000-0000-000055640000}"/>
    <cellStyle name="Note 8 7" xfId="6229" xr:uid="{00000000-0005-0000-0000-000056640000}"/>
    <cellStyle name="Note 8 7 2" xfId="14213" xr:uid="{00000000-0005-0000-0000-000057640000}"/>
    <cellStyle name="Note 8 7 3" xfId="22161" xr:uid="{00000000-0005-0000-0000-000058640000}"/>
    <cellStyle name="Note 8 8" xfId="9782" xr:uid="{00000000-0005-0000-0000-000059640000}"/>
    <cellStyle name="Note 8 8 2" xfId="17740" xr:uid="{00000000-0005-0000-0000-00005A640000}"/>
    <cellStyle name="Note 8 8 3" xfId="25684" xr:uid="{00000000-0005-0000-0000-00005B640000}"/>
    <cellStyle name="Note 8 9" xfId="10678" xr:uid="{00000000-0005-0000-0000-00005C640000}"/>
    <cellStyle name="Note 8_Exh G" xfId="3677" xr:uid="{00000000-0005-0000-0000-00005D640000}"/>
    <cellStyle name="Note 9" xfId="734" xr:uid="{00000000-0005-0000-0000-00005E640000}"/>
    <cellStyle name="Note 9 10" xfId="18637" xr:uid="{00000000-0005-0000-0000-00005F640000}"/>
    <cellStyle name="Note 9 2" xfId="735" xr:uid="{00000000-0005-0000-0000-000060640000}"/>
    <cellStyle name="Note 9 2 2" xfId="736" xr:uid="{00000000-0005-0000-0000-000061640000}"/>
    <cellStyle name="Note 9 2 2 2" xfId="1764" xr:uid="{00000000-0005-0000-0000-000062640000}"/>
    <cellStyle name="Note 9 2 2 2 2" xfId="5294" xr:uid="{00000000-0005-0000-0000-000063640000}"/>
    <cellStyle name="Note 9 2 2 2 2 2" xfId="8885" xr:uid="{00000000-0005-0000-0000-000064640000}"/>
    <cellStyle name="Note 9 2 2 2 2 2 2" xfId="16856" xr:uid="{00000000-0005-0000-0000-000065640000}"/>
    <cellStyle name="Note 9 2 2 2 2 2 3" xfId="24802" xr:uid="{00000000-0005-0000-0000-000066640000}"/>
    <cellStyle name="Note 9 2 2 2 2 3" xfId="13318" xr:uid="{00000000-0005-0000-0000-000067640000}"/>
    <cellStyle name="Note 9 2 2 2 2 4" xfId="21273" xr:uid="{00000000-0005-0000-0000-000068640000}"/>
    <cellStyle name="Note 9 2 2 2 3" xfId="7126" xr:uid="{00000000-0005-0000-0000-000069640000}"/>
    <cellStyle name="Note 9 2 2 2 3 2" xfId="15098" xr:uid="{00000000-0005-0000-0000-00006A640000}"/>
    <cellStyle name="Note 9 2 2 2 3 3" xfId="23045" xr:uid="{00000000-0005-0000-0000-00006B640000}"/>
    <cellStyle name="Note 9 2 2 2 4" xfId="11562" xr:uid="{00000000-0005-0000-0000-00006C640000}"/>
    <cellStyle name="Note 9 2 2 2 5" xfId="19517" xr:uid="{00000000-0005-0000-0000-00006D640000}"/>
    <cellStyle name="Note 9 2 2 2_Exh G" xfId="3690" xr:uid="{00000000-0005-0000-0000-00006E640000}"/>
    <cellStyle name="Note 9 2 2 3" xfId="4415" xr:uid="{00000000-0005-0000-0000-00006F640000}"/>
    <cellStyle name="Note 9 2 2 3 2" xfId="8007" xr:uid="{00000000-0005-0000-0000-000070640000}"/>
    <cellStyle name="Note 9 2 2 3 2 2" xfId="15978" xr:uid="{00000000-0005-0000-0000-000071640000}"/>
    <cellStyle name="Note 9 2 2 3 2 3" xfId="23924" xr:uid="{00000000-0005-0000-0000-000072640000}"/>
    <cellStyle name="Note 9 2 2 3 3" xfId="12440" xr:uid="{00000000-0005-0000-0000-000073640000}"/>
    <cellStyle name="Note 9 2 2 3 4" xfId="20395" xr:uid="{00000000-0005-0000-0000-000074640000}"/>
    <cellStyle name="Note 9 2 2 4" xfId="6235" xr:uid="{00000000-0005-0000-0000-000075640000}"/>
    <cellStyle name="Note 9 2 2 4 2" xfId="14219" xr:uid="{00000000-0005-0000-0000-000076640000}"/>
    <cellStyle name="Note 9 2 2 4 3" xfId="22167" xr:uid="{00000000-0005-0000-0000-000077640000}"/>
    <cellStyle name="Note 9 2 2 5" xfId="9788" xr:uid="{00000000-0005-0000-0000-000078640000}"/>
    <cellStyle name="Note 9 2 2 5 2" xfId="17746" xr:uid="{00000000-0005-0000-0000-000079640000}"/>
    <cellStyle name="Note 9 2 2 5 3" xfId="25690" xr:uid="{00000000-0005-0000-0000-00007A640000}"/>
    <cellStyle name="Note 9 2 2 6" xfId="10684" xr:uid="{00000000-0005-0000-0000-00007B640000}"/>
    <cellStyle name="Note 9 2 2 7" xfId="18639" xr:uid="{00000000-0005-0000-0000-00007C640000}"/>
    <cellStyle name="Note 9 2 2_Exh G" xfId="3689" xr:uid="{00000000-0005-0000-0000-00007D640000}"/>
    <cellStyle name="Note 9 2 3" xfId="1763" xr:uid="{00000000-0005-0000-0000-00007E640000}"/>
    <cellStyle name="Note 9 2 3 2" xfId="5293" xr:uid="{00000000-0005-0000-0000-00007F640000}"/>
    <cellStyle name="Note 9 2 3 2 2" xfId="8884" xr:uid="{00000000-0005-0000-0000-000080640000}"/>
    <cellStyle name="Note 9 2 3 2 2 2" xfId="16855" xr:uid="{00000000-0005-0000-0000-000081640000}"/>
    <cellStyle name="Note 9 2 3 2 2 3" xfId="24801" xr:uid="{00000000-0005-0000-0000-000082640000}"/>
    <cellStyle name="Note 9 2 3 2 3" xfId="13317" xr:uid="{00000000-0005-0000-0000-000083640000}"/>
    <cellStyle name="Note 9 2 3 2 4" xfId="21272" xr:uid="{00000000-0005-0000-0000-000084640000}"/>
    <cellStyle name="Note 9 2 3 3" xfId="7125" xr:uid="{00000000-0005-0000-0000-000085640000}"/>
    <cellStyle name="Note 9 2 3 3 2" xfId="15097" xr:uid="{00000000-0005-0000-0000-000086640000}"/>
    <cellStyle name="Note 9 2 3 3 3" xfId="23044" xr:uid="{00000000-0005-0000-0000-000087640000}"/>
    <cellStyle name="Note 9 2 3 4" xfId="11561" xr:uid="{00000000-0005-0000-0000-000088640000}"/>
    <cellStyle name="Note 9 2 3 5" xfId="19516" xr:uid="{00000000-0005-0000-0000-000089640000}"/>
    <cellStyle name="Note 9 2 3_Exh G" xfId="3691" xr:uid="{00000000-0005-0000-0000-00008A640000}"/>
    <cellStyle name="Note 9 2 4" xfId="4414" xr:uid="{00000000-0005-0000-0000-00008B640000}"/>
    <cellStyle name="Note 9 2 4 2" xfId="8006" xr:uid="{00000000-0005-0000-0000-00008C640000}"/>
    <cellStyle name="Note 9 2 4 2 2" xfId="15977" xr:uid="{00000000-0005-0000-0000-00008D640000}"/>
    <cellStyle name="Note 9 2 4 2 3" xfId="23923" xr:uid="{00000000-0005-0000-0000-00008E640000}"/>
    <cellStyle name="Note 9 2 4 3" xfId="12439" xr:uid="{00000000-0005-0000-0000-00008F640000}"/>
    <cellStyle name="Note 9 2 4 4" xfId="20394" xr:uid="{00000000-0005-0000-0000-000090640000}"/>
    <cellStyle name="Note 9 2 5" xfId="6234" xr:uid="{00000000-0005-0000-0000-000091640000}"/>
    <cellStyle name="Note 9 2 5 2" xfId="14218" xr:uid="{00000000-0005-0000-0000-000092640000}"/>
    <cellStyle name="Note 9 2 5 3" xfId="22166" xr:uid="{00000000-0005-0000-0000-000093640000}"/>
    <cellStyle name="Note 9 2 6" xfId="9787" xr:uid="{00000000-0005-0000-0000-000094640000}"/>
    <cellStyle name="Note 9 2 6 2" xfId="17745" xr:uid="{00000000-0005-0000-0000-000095640000}"/>
    <cellStyle name="Note 9 2 6 3" xfId="25689" xr:uid="{00000000-0005-0000-0000-000096640000}"/>
    <cellStyle name="Note 9 2 7" xfId="10683" xr:uid="{00000000-0005-0000-0000-000097640000}"/>
    <cellStyle name="Note 9 2 8" xfId="18638" xr:uid="{00000000-0005-0000-0000-000098640000}"/>
    <cellStyle name="Note 9 2_Exh G" xfId="3688" xr:uid="{00000000-0005-0000-0000-000099640000}"/>
    <cellStyle name="Note 9 3" xfId="737" xr:uid="{00000000-0005-0000-0000-00009A640000}"/>
    <cellStyle name="Note 9 3 2" xfId="1765" xr:uid="{00000000-0005-0000-0000-00009B640000}"/>
    <cellStyle name="Note 9 3 2 2" xfId="5295" xr:uid="{00000000-0005-0000-0000-00009C640000}"/>
    <cellStyle name="Note 9 3 2 2 2" xfId="8886" xr:uid="{00000000-0005-0000-0000-00009D640000}"/>
    <cellStyle name="Note 9 3 2 2 2 2" xfId="16857" xr:uid="{00000000-0005-0000-0000-00009E640000}"/>
    <cellStyle name="Note 9 3 2 2 2 3" xfId="24803" xr:uid="{00000000-0005-0000-0000-00009F640000}"/>
    <cellStyle name="Note 9 3 2 2 3" xfId="13319" xr:uid="{00000000-0005-0000-0000-0000A0640000}"/>
    <cellStyle name="Note 9 3 2 2 4" xfId="21274" xr:uid="{00000000-0005-0000-0000-0000A1640000}"/>
    <cellStyle name="Note 9 3 2 3" xfId="7127" xr:uid="{00000000-0005-0000-0000-0000A2640000}"/>
    <cellStyle name="Note 9 3 2 3 2" xfId="15099" xr:uid="{00000000-0005-0000-0000-0000A3640000}"/>
    <cellStyle name="Note 9 3 2 3 3" xfId="23046" xr:uid="{00000000-0005-0000-0000-0000A4640000}"/>
    <cellStyle name="Note 9 3 2 4" xfId="11563" xr:uid="{00000000-0005-0000-0000-0000A5640000}"/>
    <cellStyle name="Note 9 3 2 5" xfId="19518" xr:uid="{00000000-0005-0000-0000-0000A6640000}"/>
    <cellStyle name="Note 9 3 2_Exh G" xfId="3693" xr:uid="{00000000-0005-0000-0000-0000A7640000}"/>
    <cellStyle name="Note 9 3 3" xfId="4416" xr:uid="{00000000-0005-0000-0000-0000A8640000}"/>
    <cellStyle name="Note 9 3 3 2" xfId="8008" xr:uid="{00000000-0005-0000-0000-0000A9640000}"/>
    <cellStyle name="Note 9 3 3 2 2" xfId="15979" xr:uid="{00000000-0005-0000-0000-0000AA640000}"/>
    <cellStyle name="Note 9 3 3 2 3" xfId="23925" xr:uid="{00000000-0005-0000-0000-0000AB640000}"/>
    <cellStyle name="Note 9 3 3 3" xfId="12441" xr:uid="{00000000-0005-0000-0000-0000AC640000}"/>
    <cellStyle name="Note 9 3 3 4" xfId="20396" xr:uid="{00000000-0005-0000-0000-0000AD640000}"/>
    <cellStyle name="Note 9 3 4" xfId="6236" xr:uid="{00000000-0005-0000-0000-0000AE640000}"/>
    <cellStyle name="Note 9 3 4 2" xfId="14220" xr:uid="{00000000-0005-0000-0000-0000AF640000}"/>
    <cellStyle name="Note 9 3 4 3" xfId="22168" xr:uid="{00000000-0005-0000-0000-0000B0640000}"/>
    <cellStyle name="Note 9 3 5" xfId="9789" xr:uid="{00000000-0005-0000-0000-0000B1640000}"/>
    <cellStyle name="Note 9 3 5 2" xfId="17747" xr:uid="{00000000-0005-0000-0000-0000B2640000}"/>
    <cellStyle name="Note 9 3 5 3" xfId="25691" xr:uid="{00000000-0005-0000-0000-0000B3640000}"/>
    <cellStyle name="Note 9 3 6" xfId="10685" xr:uid="{00000000-0005-0000-0000-0000B4640000}"/>
    <cellStyle name="Note 9 3 7" xfId="18640" xr:uid="{00000000-0005-0000-0000-0000B5640000}"/>
    <cellStyle name="Note 9 3_Exh G" xfId="3692" xr:uid="{00000000-0005-0000-0000-0000B6640000}"/>
    <cellStyle name="Note 9 4" xfId="1040" xr:uid="{00000000-0005-0000-0000-0000B7640000}"/>
    <cellStyle name="Note 9 4 2" xfId="1939" xr:uid="{00000000-0005-0000-0000-0000B8640000}"/>
    <cellStyle name="Note 9 4 2 2" xfId="5457" xr:uid="{00000000-0005-0000-0000-0000B9640000}"/>
    <cellStyle name="Note 9 4 2 2 2" xfId="9048" xr:uid="{00000000-0005-0000-0000-0000BA640000}"/>
    <cellStyle name="Note 9 4 2 2 2 2" xfId="17019" xr:uid="{00000000-0005-0000-0000-0000BB640000}"/>
    <cellStyle name="Note 9 4 2 2 2 3" xfId="24965" xr:uid="{00000000-0005-0000-0000-0000BC640000}"/>
    <cellStyle name="Note 9 4 2 2 3" xfId="13481" xr:uid="{00000000-0005-0000-0000-0000BD640000}"/>
    <cellStyle name="Note 9 4 2 2 4" xfId="21436" xr:uid="{00000000-0005-0000-0000-0000BE640000}"/>
    <cellStyle name="Note 9 4 2 3" xfId="7289" xr:uid="{00000000-0005-0000-0000-0000BF640000}"/>
    <cellStyle name="Note 9 4 2 3 2" xfId="15261" xr:uid="{00000000-0005-0000-0000-0000C0640000}"/>
    <cellStyle name="Note 9 4 2 3 3" xfId="23208" xr:uid="{00000000-0005-0000-0000-0000C1640000}"/>
    <cellStyle name="Note 9 4 2 4" xfId="11725" xr:uid="{00000000-0005-0000-0000-0000C2640000}"/>
    <cellStyle name="Note 9 4 2 5" xfId="19680" xr:uid="{00000000-0005-0000-0000-0000C3640000}"/>
    <cellStyle name="Note 9 4 2_Exh G" xfId="3695" xr:uid="{00000000-0005-0000-0000-0000C4640000}"/>
    <cellStyle name="Note 9 4 3" xfId="4578" xr:uid="{00000000-0005-0000-0000-0000C5640000}"/>
    <cellStyle name="Note 9 4 3 2" xfId="8170" xr:uid="{00000000-0005-0000-0000-0000C6640000}"/>
    <cellStyle name="Note 9 4 3 2 2" xfId="16141" xr:uid="{00000000-0005-0000-0000-0000C7640000}"/>
    <cellStyle name="Note 9 4 3 2 3" xfId="24087" xr:uid="{00000000-0005-0000-0000-0000C8640000}"/>
    <cellStyle name="Note 9 4 3 3" xfId="12603" xr:uid="{00000000-0005-0000-0000-0000C9640000}"/>
    <cellStyle name="Note 9 4 3 4" xfId="20558" xr:uid="{00000000-0005-0000-0000-0000CA640000}"/>
    <cellStyle name="Note 9 4 4" xfId="6410" xr:uid="{00000000-0005-0000-0000-0000CB640000}"/>
    <cellStyle name="Note 9 4 4 2" xfId="14383" xr:uid="{00000000-0005-0000-0000-0000CC640000}"/>
    <cellStyle name="Note 9 4 4 3" xfId="22330" xr:uid="{00000000-0005-0000-0000-0000CD640000}"/>
    <cellStyle name="Note 9 4 5" xfId="9951" xr:uid="{00000000-0005-0000-0000-0000CE640000}"/>
    <cellStyle name="Note 9 4 5 2" xfId="17909" xr:uid="{00000000-0005-0000-0000-0000CF640000}"/>
    <cellStyle name="Note 9 4 5 3" xfId="25853" xr:uid="{00000000-0005-0000-0000-0000D0640000}"/>
    <cellStyle name="Note 9 4 6" xfId="10847" xr:uid="{00000000-0005-0000-0000-0000D1640000}"/>
    <cellStyle name="Note 9 4 7" xfId="18802" xr:uid="{00000000-0005-0000-0000-0000D2640000}"/>
    <cellStyle name="Note 9 4_Exh G" xfId="3694" xr:uid="{00000000-0005-0000-0000-0000D3640000}"/>
    <cellStyle name="Note 9 5" xfId="1762" xr:uid="{00000000-0005-0000-0000-0000D4640000}"/>
    <cellStyle name="Note 9 5 2" xfId="5292" xr:uid="{00000000-0005-0000-0000-0000D5640000}"/>
    <cellStyle name="Note 9 5 2 2" xfId="8883" xr:uid="{00000000-0005-0000-0000-0000D6640000}"/>
    <cellStyle name="Note 9 5 2 2 2" xfId="16854" xr:uid="{00000000-0005-0000-0000-0000D7640000}"/>
    <cellStyle name="Note 9 5 2 2 3" xfId="24800" xr:uid="{00000000-0005-0000-0000-0000D8640000}"/>
    <cellStyle name="Note 9 5 2 3" xfId="13316" xr:uid="{00000000-0005-0000-0000-0000D9640000}"/>
    <cellStyle name="Note 9 5 2 4" xfId="21271" xr:uid="{00000000-0005-0000-0000-0000DA640000}"/>
    <cellStyle name="Note 9 5 3" xfId="7124" xr:uid="{00000000-0005-0000-0000-0000DB640000}"/>
    <cellStyle name="Note 9 5 3 2" xfId="15096" xr:uid="{00000000-0005-0000-0000-0000DC640000}"/>
    <cellStyle name="Note 9 5 3 3" xfId="23043" xr:uid="{00000000-0005-0000-0000-0000DD640000}"/>
    <cellStyle name="Note 9 5 4" xfId="11560" xr:uid="{00000000-0005-0000-0000-0000DE640000}"/>
    <cellStyle name="Note 9 5 5" xfId="19515" xr:uid="{00000000-0005-0000-0000-0000DF640000}"/>
    <cellStyle name="Note 9 5_Exh G" xfId="3696" xr:uid="{00000000-0005-0000-0000-0000E0640000}"/>
    <cellStyle name="Note 9 6" xfId="4413" xr:uid="{00000000-0005-0000-0000-0000E1640000}"/>
    <cellStyle name="Note 9 6 2" xfId="8005" xr:uid="{00000000-0005-0000-0000-0000E2640000}"/>
    <cellStyle name="Note 9 6 2 2" xfId="15976" xr:uid="{00000000-0005-0000-0000-0000E3640000}"/>
    <cellStyle name="Note 9 6 2 3" xfId="23922" xr:uid="{00000000-0005-0000-0000-0000E4640000}"/>
    <cellStyle name="Note 9 6 3" xfId="12438" xr:uid="{00000000-0005-0000-0000-0000E5640000}"/>
    <cellStyle name="Note 9 6 4" xfId="20393" xr:uid="{00000000-0005-0000-0000-0000E6640000}"/>
    <cellStyle name="Note 9 7" xfId="6233" xr:uid="{00000000-0005-0000-0000-0000E7640000}"/>
    <cellStyle name="Note 9 7 2" xfId="14217" xr:uid="{00000000-0005-0000-0000-0000E8640000}"/>
    <cellStyle name="Note 9 7 3" xfId="22165" xr:uid="{00000000-0005-0000-0000-0000E9640000}"/>
    <cellStyle name="Note 9 8" xfId="9786" xr:uid="{00000000-0005-0000-0000-0000EA640000}"/>
    <cellStyle name="Note 9 8 2" xfId="17744" xr:uid="{00000000-0005-0000-0000-0000EB640000}"/>
    <cellStyle name="Note 9 8 3" xfId="25688" xr:uid="{00000000-0005-0000-0000-0000EC640000}"/>
    <cellStyle name="Note 9 9" xfId="10682" xr:uid="{00000000-0005-0000-0000-0000ED640000}"/>
    <cellStyle name="Note 9_Exh G" xfId="3687" xr:uid="{00000000-0005-0000-0000-0000EE640000}"/>
    <cellStyle name="Output 2" xfId="815" xr:uid="{00000000-0005-0000-0000-0000EF640000}"/>
    <cellStyle name="Output 3" xfId="816" xr:uid="{00000000-0005-0000-0000-0000F0640000}"/>
    <cellStyle name="Output 3 2" xfId="6244" xr:uid="{00000000-0005-0000-0000-0000F1640000}"/>
    <cellStyle name="Output 4" xfId="817" xr:uid="{00000000-0005-0000-0000-0000F2640000}"/>
    <cellStyle name="Output 4 2" xfId="6245" xr:uid="{00000000-0005-0000-0000-0000F3640000}"/>
    <cellStyle name="Output Amounts" xfId="12" xr:uid="{00000000-0005-0000-0000-0000F4640000}"/>
    <cellStyle name="Output Column Headings" xfId="13" xr:uid="{00000000-0005-0000-0000-0000F5640000}"/>
    <cellStyle name="Output Line Items" xfId="14" xr:uid="{00000000-0005-0000-0000-0000F6640000}"/>
    <cellStyle name="Output Line Items 2" xfId="3699" xr:uid="{00000000-0005-0000-0000-0000F7640000}"/>
    <cellStyle name="Output Line Items 2 2" xfId="7292" xr:uid="{00000000-0005-0000-0000-0000F8640000}"/>
    <cellStyle name="Output Line Items 2 2 2" xfId="15263" xr:uid="{00000000-0005-0000-0000-0000F9640000}"/>
    <cellStyle name="Output Line Items 3" xfId="5460" xr:uid="{00000000-0005-0000-0000-0000FA640000}"/>
    <cellStyle name="Output Line Items 3 2" xfId="13482" xr:uid="{00000000-0005-0000-0000-0000FB640000}"/>
    <cellStyle name="Output Line Items_Exh G" xfId="3697" xr:uid="{00000000-0005-0000-0000-0000FC640000}"/>
    <cellStyle name="Output Report Heading" xfId="15" xr:uid="{00000000-0005-0000-0000-0000FD640000}"/>
    <cellStyle name="Output Report Title" xfId="16" xr:uid="{00000000-0005-0000-0000-0000FE640000}"/>
    <cellStyle name="Percent" xfId="1940" builtinId="5"/>
    <cellStyle name="Percent 2" xfId="7" xr:uid="{00000000-0005-0000-0000-000000650000}"/>
    <cellStyle name="Percent 2 2" xfId="1048" xr:uid="{00000000-0005-0000-0000-000001650000}"/>
    <cellStyle name="Percent 3" xfId="1043" xr:uid="{00000000-0005-0000-0000-000002650000}"/>
    <cellStyle name="Percent 4" xfId="7290" xr:uid="{00000000-0005-0000-0000-000003650000}"/>
    <cellStyle name="R01B" xfId="25864" xr:uid="{00000000-0005-0000-0000-000004650000}"/>
    <cellStyle name="R01H" xfId="25865" xr:uid="{00000000-0005-0000-0000-000005650000}"/>
    <cellStyle name="R01L" xfId="25871" xr:uid="{00000000-0005-0000-0000-000006650000}"/>
    <cellStyle name="R02A" xfId="25870" xr:uid="{00000000-0005-0000-0000-000007650000}"/>
    <cellStyle name="R02B" xfId="25866" xr:uid="{00000000-0005-0000-0000-000008650000}"/>
    <cellStyle name="R02L" xfId="25867" xr:uid="{00000000-0005-0000-0000-000009650000}"/>
    <cellStyle name="Title 2" xfId="818" xr:uid="{00000000-0005-0000-0000-00000A650000}"/>
    <cellStyle name="Title 3" xfId="819" xr:uid="{00000000-0005-0000-0000-00000B650000}"/>
    <cellStyle name="Title 4" xfId="820" xr:uid="{00000000-0005-0000-0000-00000C650000}"/>
    <cellStyle name="Total 2" xfId="821" xr:uid="{00000000-0005-0000-0000-00000D650000}"/>
    <cellStyle name="Total 3" xfId="822" xr:uid="{00000000-0005-0000-0000-00000E650000}"/>
    <cellStyle name="Total 3 2" xfId="6246" xr:uid="{00000000-0005-0000-0000-00000F650000}"/>
    <cellStyle name="Total 4" xfId="823" xr:uid="{00000000-0005-0000-0000-000010650000}"/>
    <cellStyle name="Total 4 2" xfId="6247" xr:uid="{00000000-0005-0000-0000-000011650000}"/>
    <cellStyle name="Warning Text 2" xfId="824" xr:uid="{00000000-0005-0000-0000-000012650000}"/>
    <cellStyle name="Warning Text 3" xfId="825" xr:uid="{00000000-0005-0000-0000-000013650000}"/>
    <cellStyle name="Warning Text 4" xfId="826" xr:uid="{00000000-0005-0000-0000-000014650000}"/>
  </cellStyles>
  <dxfs count="0"/>
  <tableStyles count="0" defaultTableStyle="TableStyleMedium9" defaultPivotStyle="PivotStyleLight16"/>
  <colors>
    <mruColors>
      <color rgb="FFFFFFCC"/>
      <color rgb="FF1362D7"/>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158750</xdr:rowOff>
    </xdr:to>
    <xdr:pic>
      <xdr:nvPicPr>
        <xdr:cNvPr id="2" name="Picture 1" descr="Seal.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28574</xdr:colOff>
      <xdr:row>14</xdr:row>
      <xdr:rowOff>44450</xdr:rowOff>
    </xdr:from>
    <xdr:to>
      <xdr:col>32</xdr:col>
      <xdr:colOff>35718</xdr:colOff>
      <xdr:row>145</xdr:row>
      <xdr:rowOff>202406</xdr:rowOff>
    </xdr:to>
    <xdr:sp macro="" textlink="">
      <xdr:nvSpPr>
        <xdr:cNvPr id="2" name="Line 1">
          <a:extLst>
            <a:ext uri="{FF2B5EF4-FFF2-40B4-BE49-F238E27FC236}">
              <a16:creationId xmlns:a16="http://schemas.microsoft.com/office/drawing/2014/main" id="{00000000-0008-0000-0F00-000002000000}"/>
            </a:ext>
          </a:extLst>
        </xdr:cNvPr>
        <xdr:cNvSpPr>
          <a:spLocks noChangeShapeType="1"/>
        </xdr:cNvSpPr>
      </xdr:nvSpPr>
      <xdr:spPr bwMode="auto">
        <a:xfrm>
          <a:off x="21959887" y="3461544"/>
          <a:ext cx="7144" cy="28090018"/>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31</xdr:col>
      <xdr:colOff>142874</xdr:colOff>
      <xdr:row>13</xdr:row>
      <xdr:rowOff>6350</xdr:rowOff>
    </xdr:from>
    <xdr:to>
      <xdr:col>32</xdr:col>
      <xdr:colOff>12698</xdr:colOff>
      <xdr:row>145</xdr:row>
      <xdr:rowOff>35719</xdr:rowOff>
    </xdr:to>
    <xdr:sp macro="" textlink="">
      <xdr:nvSpPr>
        <xdr:cNvPr id="2" name="Line 1">
          <a:extLst>
            <a:ext uri="{FF2B5EF4-FFF2-40B4-BE49-F238E27FC236}">
              <a16:creationId xmlns:a16="http://schemas.microsoft.com/office/drawing/2014/main" id="{00000000-0008-0000-1000-000002000000}"/>
            </a:ext>
          </a:extLst>
        </xdr:cNvPr>
        <xdr:cNvSpPr>
          <a:spLocks noChangeShapeType="1"/>
        </xdr:cNvSpPr>
      </xdr:nvSpPr>
      <xdr:spPr bwMode="auto">
        <a:xfrm flipH="1">
          <a:off x="21466968" y="3113881"/>
          <a:ext cx="12699" cy="26794619"/>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a:extLst>
            <a:ext uri="{FF2B5EF4-FFF2-40B4-BE49-F238E27FC236}">
              <a16:creationId xmlns:a16="http://schemas.microsoft.com/office/drawing/2014/main" id="{00000000-0008-0000-2000-000002000000}"/>
            </a:ext>
          </a:extLst>
        </xdr:cNvPr>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a:extLst>
            <a:ext uri="{FF2B5EF4-FFF2-40B4-BE49-F238E27FC236}">
              <a16:creationId xmlns:a16="http://schemas.microsoft.com/office/drawing/2014/main" id="{00000000-0008-0000-2000-000003000000}"/>
            </a:ext>
          </a:extLst>
        </xdr:cNvPr>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a:extLst>
            <a:ext uri="{FF2B5EF4-FFF2-40B4-BE49-F238E27FC236}">
              <a16:creationId xmlns:a16="http://schemas.microsoft.com/office/drawing/2014/main" id="{00000000-0008-0000-2300-000002000000}"/>
            </a:ext>
          </a:extLst>
        </xdr:cNvPr>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a:extLst>
            <a:ext uri="{FF2B5EF4-FFF2-40B4-BE49-F238E27FC236}">
              <a16:creationId xmlns:a16="http://schemas.microsoft.com/office/drawing/2014/main" id="{00000000-0008-0000-2300-000003000000}"/>
            </a:ext>
          </a:extLst>
        </xdr:cNvPr>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a:extLst>
            <a:ext uri="{FF2B5EF4-FFF2-40B4-BE49-F238E27FC236}">
              <a16:creationId xmlns:a16="http://schemas.microsoft.com/office/drawing/2014/main" id="{00000000-0008-0000-2300-000004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a:extLst>
            <a:ext uri="{FF2B5EF4-FFF2-40B4-BE49-F238E27FC236}">
              <a16:creationId xmlns:a16="http://schemas.microsoft.com/office/drawing/2014/main" id="{00000000-0008-0000-2300-000005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a:extLst>
            <a:ext uri="{FF2B5EF4-FFF2-40B4-BE49-F238E27FC236}">
              <a16:creationId xmlns:a16="http://schemas.microsoft.com/office/drawing/2014/main" id="{00000000-0008-0000-2300-000006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a:extLst>
            <a:ext uri="{FF2B5EF4-FFF2-40B4-BE49-F238E27FC236}">
              <a16:creationId xmlns:a16="http://schemas.microsoft.com/office/drawing/2014/main" id="{00000000-0008-0000-2300-000007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a:extLst>
            <a:ext uri="{FF2B5EF4-FFF2-40B4-BE49-F238E27FC236}">
              <a16:creationId xmlns:a16="http://schemas.microsoft.com/office/drawing/2014/main" id="{00000000-0008-0000-2300-000008000000}"/>
            </a:ext>
          </a:extLst>
        </xdr:cNvPr>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a:extLst>
            <a:ext uri="{FF2B5EF4-FFF2-40B4-BE49-F238E27FC236}">
              <a16:creationId xmlns:a16="http://schemas.microsoft.com/office/drawing/2014/main" id="{00000000-0008-0000-2300-000009000000}"/>
            </a:ext>
          </a:extLst>
        </xdr:cNvPr>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autoPageBreaks="0"/>
  </sheetPr>
  <dimension ref="A1:IU109"/>
  <sheetViews>
    <sheetView showGridLines="0" tabSelected="1" workbookViewId="0"/>
  </sheetViews>
  <sheetFormatPr defaultColWidth="8.84375" defaultRowHeight="12.5"/>
  <cols>
    <col min="1" max="1" width="2.07421875" style="576" customWidth="1"/>
    <col min="2" max="2" width="22.84375" style="576" customWidth="1"/>
    <col min="3" max="3" width="6" style="576" customWidth="1"/>
    <col min="4" max="4" width="24.07421875" style="576" customWidth="1"/>
    <col min="5" max="6" width="12.4609375" style="576" customWidth="1"/>
    <col min="7" max="7" width="4" style="576" customWidth="1"/>
    <col min="8" max="8" width="12.4609375" style="576" customWidth="1"/>
    <col min="9" max="9" width="12" style="576" customWidth="1"/>
    <col min="10" max="10" width="3.84375" style="576" customWidth="1"/>
    <col min="11" max="11" width="28.4609375" style="576" customWidth="1"/>
    <col min="12" max="16384" width="8.84375" style="576"/>
  </cols>
  <sheetData>
    <row r="1" spans="1:10" s="573" customFormat="1" ht="13">
      <c r="A1" s="571"/>
      <c r="B1" s="571"/>
      <c r="C1" s="571"/>
      <c r="D1" s="571"/>
      <c r="E1" s="571"/>
      <c r="F1" s="571"/>
      <c r="G1" s="571"/>
      <c r="H1" s="571"/>
      <c r="I1" s="571"/>
      <c r="J1" s="572"/>
    </row>
    <row r="2" spans="1:10" s="573" customFormat="1" ht="13">
      <c r="A2" s="571"/>
      <c r="B2" s="571"/>
      <c r="C2" s="571"/>
      <c r="D2" s="571"/>
      <c r="E2" s="571"/>
      <c r="F2" s="571"/>
      <c r="G2" s="571"/>
      <c r="H2" s="571"/>
      <c r="I2" s="571"/>
      <c r="J2" s="572"/>
    </row>
    <row r="3" spans="1:10" s="573" customFormat="1" ht="13">
      <c r="A3" s="571"/>
      <c r="B3" s="571"/>
      <c r="C3" s="571"/>
      <c r="D3" s="571"/>
      <c r="E3" s="571"/>
      <c r="F3" s="571"/>
      <c r="G3" s="571"/>
      <c r="H3" s="571"/>
      <c r="I3" s="571"/>
      <c r="J3" s="572"/>
    </row>
    <row r="4" spans="1:10" s="573" customFormat="1" ht="13">
      <c r="A4" s="571" t="s">
        <v>847</v>
      </c>
      <c r="B4" s="571"/>
      <c r="C4" s="571"/>
      <c r="D4" s="571"/>
      <c r="E4" s="571"/>
      <c r="F4" s="571"/>
      <c r="G4" s="571"/>
      <c r="H4" s="571"/>
      <c r="I4" s="761" t="s">
        <v>843</v>
      </c>
      <c r="J4" s="572"/>
    </row>
    <row r="5" spans="1:10" ht="18">
      <c r="A5" s="571" t="s">
        <v>845</v>
      </c>
      <c r="B5" s="574"/>
      <c r="C5" s="574"/>
      <c r="D5" s="574"/>
      <c r="E5" s="574"/>
      <c r="F5" s="574"/>
      <c r="G5" s="574"/>
      <c r="H5" s="574"/>
      <c r="I5" s="761" t="s">
        <v>844</v>
      </c>
      <c r="J5" s="575"/>
    </row>
    <row r="6" spans="1:10" ht="18">
      <c r="A6" s="571" t="s">
        <v>722</v>
      </c>
      <c r="B6" s="574"/>
      <c r="C6" s="574"/>
      <c r="D6" s="574"/>
      <c r="E6" s="574"/>
      <c r="F6" s="574"/>
      <c r="G6" s="574"/>
      <c r="H6" s="574"/>
      <c r="I6" s="574"/>
      <c r="J6" s="575"/>
    </row>
    <row r="7" spans="1:10" ht="18">
      <c r="A7" s="571" t="s">
        <v>723</v>
      </c>
      <c r="B7" s="574"/>
      <c r="C7" s="574"/>
      <c r="D7" s="574"/>
      <c r="E7" s="574"/>
      <c r="F7" s="574"/>
      <c r="G7" s="574"/>
      <c r="H7" s="574"/>
      <c r="I7" s="574"/>
      <c r="J7" s="575"/>
    </row>
    <row r="8" spans="1:10" ht="18.5" thickBot="1">
      <c r="A8" s="574"/>
      <c r="B8" s="574"/>
      <c r="C8" s="574"/>
      <c r="D8" s="574"/>
      <c r="E8" s="574"/>
      <c r="F8" s="574"/>
      <c r="G8" s="574"/>
      <c r="H8" s="574"/>
      <c r="I8" s="574"/>
      <c r="J8" s="575"/>
    </row>
    <row r="9" spans="1:10" ht="18.5" thickTop="1">
      <c r="A9" s="577" t="s">
        <v>724</v>
      </c>
      <c r="B9" s="578"/>
      <c r="C9" s="578"/>
      <c r="D9" s="578"/>
      <c r="E9" s="578"/>
      <c r="F9" s="578"/>
      <c r="G9" s="578"/>
      <c r="H9" s="578"/>
      <c r="I9" s="578"/>
      <c r="J9" s="579"/>
    </row>
    <row r="10" spans="1:10" ht="18.5" thickBot="1">
      <c r="A10" s="1522" t="s">
        <v>1554</v>
      </c>
      <c r="B10" s="574"/>
      <c r="C10" s="574"/>
      <c r="D10" s="574"/>
      <c r="E10" s="574"/>
      <c r="F10" s="574"/>
      <c r="G10" s="574"/>
      <c r="H10" s="574"/>
      <c r="I10" s="574"/>
      <c r="J10" s="579"/>
    </row>
    <row r="11" spans="1:10" ht="18.5" thickTop="1">
      <c r="A11" s="580"/>
      <c r="B11" s="581"/>
      <c r="C11" s="581"/>
      <c r="D11" s="581"/>
      <c r="E11" s="581"/>
      <c r="F11" s="581"/>
      <c r="G11" s="581"/>
      <c r="H11" s="581"/>
      <c r="I11" s="581"/>
      <c r="J11" s="582"/>
    </row>
    <row r="12" spans="1:10" ht="13">
      <c r="A12" s="571" t="s">
        <v>725</v>
      </c>
      <c r="B12" s="574"/>
      <c r="C12" s="574"/>
      <c r="D12" s="574"/>
      <c r="E12" s="571"/>
      <c r="F12" s="571"/>
      <c r="G12" s="571"/>
      <c r="H12" s="574"/>
      <c r="I12" s="574"/>
      <c r="J12" s="583"/>
    </row>
    <row r="13" spans="1:10" ht="13">
      <c r="A13" s="573"/>
      <c r="J13" s="583"/>
    </row>
    <row r="14" spans="1:10" ht="13">
      <c r="A14" s="573" t="s">
        <v>726</v>
      </c>
      <c r="B14" s="586"/>
      <c r="J14" s="584"/>
    </row>
    <row r="15" spans="1:10" ht="13">
      <c r="A15" s="573"/>
      <c r="B15" s="643"/>
      <c r="J15" s="584"/>
    </row>
    <row r="16" spans="1:10" ht="13">
      <c r="A16" s="573"/>
      <c r="B16" s="1364" t="s">
        <v>757</v>
      </c>
      <c r="D16" s="585" t="s">
        <v>727</v>
      </c>
      <c r="F16" s="586"/>
      <c r="J16" s="644">
        <v>2</v>
      </c>
    </row>
    <row r="17" spans="1:255" ht="13">
      <c r="A17" s="573"/>
      <c r="B17" s="1364" t="s">
        <v>758</v>
      </c>
      <c r="D17" s="576" t="s">
        <v>1066</v>
      </c>
      <c r="E17" s="588"/>
      <c r="F17" s="589"/>
      <c r="G17" s="588"/>
      <c r="H17" s="588"/>
      <c r="I17" s="588"/>
      <c r="J17" s="644">
        <v>3</v>
      </c>
      <c r="M17" s="590"/>
    </row>
    <row r="18" spans="1:255" ht="13">
      <c r="A18" s="591"/>
      <c r="B18" s="1359" t="s">
        <v>1193</v>
      </c>
      <c r="D18" s="593" t="s">
        <v>880</v>
      </c>
      <c r="E18" s="585"/>
      <c r="F18" s="585"/>
      <c r="G18" s="585"/>
      <c r="H18" s="585"/>
      <c r="I18" s="585"/>
      <c r="J18" s="644">
        <v>4</v>
      </c>
    </row>
    <row r="19" spans="1:255" ht="13">
      <c r="A19" s="573"/>
      <c r="B19" s="1359" t="s">
        <v>759</v>
      </c>
      <c r="D19" s="592" t="s">
        <v>728</v>
      </c>
      <c r="E19" s="592"/>
      <c r="F19" s="592"/>
      <c r="G19" s="592"/>
      <c r="H19" s="592"/>
      <c r="I19" s="592"/>
      <c r="J19" s="644">
        <v>5</v>
      </c>
      <c r="M19" s="590"/>
    </row>
    <row r="20" spans="1:255" ht="13">
      <c r="A20" s="573"/>
      <c r="B20" s="1359" t="s">
        <v>760</v>
      </c>
      <c r="D20" s="592" t="s">
        <v>729</v>
      </c>
      <c r="E20" s="592"/>
      <c r="F20" s="592"/>
      <c r="G20" s="592"/>
      <c r="H20" s="592"/>
      <c r="I20" s="592"/>
      <c r="J20" s="644">
        <v>6</v>
      </c>
      <c r="M20" s="590"/>
    </row>
    <row r="21" spans="1:255" ht="13">
      <c r="A21" s="573"/>
      <c r="B21" s="1359" t="s">
        <v>1030</v>
      </c>
      <c r="D21" s="593" t="s">
        <v>1067</v>
      </c>
      <c r="E21" s="592"/>
      <c r="F21" s="592"/>
      <c r="G21" s="592"/>
      <c r="H21" s="592"/>
      <c r="I21" s="592"/>
      <c r="J21" s="644">
        <v>7</v>
      </c>
      <c r="M21" s="590"/>
    </row>
    <row r="22" spans="1:255" ht="13">
      <c r="A22" s="573"/>
      <c r="B22" s="1359" t="s">
        <v>1031</v>
      </c>
      <c r="D22" s="593" t="s">
        <v>1068</v>
      </c>
      <c r="E22" s="592"/>
      <c r="F22" s="592"/>
      <c r="G22" s="592"/>
      <c r="H22" s="592"/>
      <c r="I22" s="592"/>
      <c r="J22" s="644">
        <v>8</v>
      </c>
      <c r="M22" s="590"/>
    </row>
    <row r="23" spans="1:255" ht="13">
      <c r="A23" s="573"/>
      <c r="B23" s="1364" t="s">
        <v>1032</v>
      </c>
      <c r="D23" s="593" t="s">
        <v>1075</v>
      </c>
      <c r="E23" s="592"/>
      <c r="F23" s="592"/>
      <c r="G23" s="592"/>
      <c r="H23" s="592"/>
      <c r="I23" s="592"/>
      <c r="J23" s="644">
        <v>9</v>
      </c>
      <c r="M23" s="590"/>
    </row>
    <row r="24" spans="1:255" ht="13">
      <c r="A24" s="573"/>
      <c r="B24" s="1359" t="s">
        <v>1033</v>
      </c>
      <c r="D24" s="593" t="s">
        <v>1069</v>
      </c>
      <c r="E24" s="592"/>
      <c r="F24" s="592"/>
      <c r="G24" s="592"/>
      <c r="H24" s="592"/>
      <c r="I24" s="592"/>
      <c r="J24" s="644">
        <v>10</v>
      </c>
      <c r="M24" s="590"/>
    </row>
    <row r="25" spans="1:255" ht="13">
      <c r="A25" s="573"/>
      <c r="B25" s="1359" t="s">
        <v>1034</v>
      </c>
      <c r="D25" s="593" t="s">
        <v>1070</v>
      </c>
      <c r="E25" s="592"/>
      <c r="F25" s="592"/>
      <c r="G25" s="592"/>
      <c r="H25" s="592"/>
      <c r="I25" s="592"/>
      <c r="J25" s="644">
        <v>11</v>
      </c>
      <c r="M25" s="590"/>
    </row>
    <row r="26" spans="1:255" ht="13">
      <c r="A26" s="573"/>
      <c r="B26" s="1359" t="s">
        <v>1035</v>
      </c>
      <c r="D26" s="593" t="s">
        <v>1071</v>
      </c>
      <c r="E26" s="592"/>
      <c r="F26" s="592"/>
      <c r="G26" s="592"/>
      <c r="H26" s="592"/>
      <c r="I26" s="592"/>
      <c r="J26" s="644">
        <v>12</v>
      </c>
      <c r="M26" s="590"/>
    </row>
    <row r="27" spans="1:255" ht="13">
      <c r="A27" s="573"/>
      <c r="B27" s="1359" t="s">
        <v>1036</v>
      </c>
      <c r="D27" s="593" t="s">
        <v>1072</v>
      </c>
      <c r="E27" s="592"/>
      <c r="F27" s="592"/>
      <c r="G27" s="592"/>
      <c r="H27" s="592"/>
      <c r="I27" s="592"/>
      <c r="J27" s="644">
        <v>13</v>
      </c>
      <c r="M27" s="590"/>
    </row>
    <row r="28" spans="1:255" ht="13">
      <c r="A28" s="573"/>
      <c r="B28" s="1359" t="s">
        <v>1037</v>
      </c>
      <c r="D28" s="593" t="s">
        <v>1073</v>
      </c>
      <c r="E28" s="592"/>
      <c r="F28" s="592"/>
      <c r="G28" s="592"/>
      <c r="H28" s="592"/>
      <c r="I28" s="592"/>
      <c r="J28" s="644">
        <v>14</v>
      </c>
      <c r="M28" s="590"/>
    </row>
    <row r="29" spans="1:255" ht="13">
      <c r="A29" s="573"/>
      <c r="B29" s="1359" t="s">
        <v>761</v>
      </c>
      <c r="D29" s="594" t="s">
        <v>730</v>
      </c>
      <c r="E29" s="592"/>
      <c r="F29" s="592"/>
      <c r="G29" s="592"/>
      <c r="H29" s="592"/>
      <c r="I29" s="592"/>
      <c r="J29" s="644">
        <v>15</v>
      </c>
      <c r="M29" s="590"/>
    </row>
    <row r="30" spans="1:255" ht="13">
      <c r="A30" s="573"/>
      <c r="B30" s="1364" t="s">
        <v>779</v>
      </c>
      <c r="D30" s="593" t="s">
        <v>1074</v>
      </c>
      <c r="E30" s="593"/>
      <c r="F30" s="593"/>
      <c r="G30" s="593"/>
      <c r="H30" s="593"/>
      <c r="I30" s="593"/>
      <c r="J30" s="644">
        <v>16</v>
      </c>
      <c r="K30" s="573"/>
      <c r="L30" s="573"/>
      <c r="M30" s="573"/>
      <c r="N30" s="573"/>
      <c r="O30" s="573"/>
      <c r="P30" s="573"/>
      <c r="Q30" s="573"/>
      <c r="R30" s="573"/>
      <c r="S30" s="573"/>
      <c r="T30" s="573"/>
      <c r="U30" s="573"/>
      <c r="V30" s="573"/>
      <c r="W30" s="573"/>
      <c r="X30" s="573"/>
      <c r="Y30" s="573"/>
      <c r="Z30" s="573"/>
      <c r="AA30" s="573"/>
      <c r="AB30" s="573"/>
      <c r="AC30" s="573"/>
      <c r="AD30" s="573"/>
      <c r="AE30" s="573"/>
      <c r="AF30" s="573"/>
      <c r="AG30" s="573"/>
      <c r="AH30" s="573"/>
      <c r="AI30" s="573"/>
      <c r="AJ30" s="573"/>
      <c r="AK30" s="573"/>
      <c r="AL30" s="573"/>
      <c r="AM30" s="573"/>
      <c r="AN30" s="573"/>
      <c r="AO30" s="573"/>
      <c r="AP30" s="573"/>
      <c r="AQ30" s="573"/>
      <c r="AR30" s="573"/>
      <c r="AS30" s="573"/>
      <c r="AT30" s="573"/>
      <c r="AU30" s="573"/>
      <c r="AV30" s="573"/>
      <c r="AW30" s="573"/>
      <c r="AX30" s="573"/>
      <c r="AY30" s="573"/>
      <c r="AZ30" s="573"/>
      <c r="BA30" s="573"/>
      <c r="BB30" s="573"/>
      <c r="BC30" s="573"/>
      <c r="BD30" s="573"/>
      <c r="BE30" s="573"/>
      <c r="BF30" s="573"/>
      <c r="BG30" s="573"/>
      <c r="BH30" s="573"/>
      <c r="BI30" s="573"/>
      <c r="BJ30" s="573"/>
      <c r="BK30" s="573"/>
      <c r="BL30" s="573"/>
      <c r="BM30" s="573"/>
      <c r="BN30" s="573"/>
      <c r="BO30" s="573"/>
      <c r="BP30" s="573"/>
      <c r="BQ30" s="573"/>
      <c r="BR30" s="573"/>
      <c r="BS30" s="573"/>
      <c r="BT30" s="573"/>
      <c r="BU30" s="573"/>
      <c r="BV30" s="573"/>
      <c r="BW30" s="573"/>
      <c r="BX30" s="573"/>
      <c r="BY30" s="573"/>
      <c r="BZ30" s="573"/>
      <c r="CA30" s="573"/>
      <c r="CB30" s="573"/>
      <c r="CC30" s="573"/>
      <c r="CD30" s="573"/>
      <c r="CE30" s="573"/>
      <c r="CF30" s="573"/>
      <c r="CG30" s="573"/>
      <c r="CH30" s="573"/>
      <c r="CI30" s="573"/>
      <c r="CJ30" s="573"/>
      <c r="CK30" s="573"/>
      <c r="CL30" s="573"/>
      <c r="CM30" s="573"/>
      <c r="CN30" s="573"/>
      <c r="CO30" s="573"/>
      <c r="CP30" s="573"/>
      <c r="CQ30" s="573"/>
      <c r="CR30" s="573"/>
      <c r="CS30" s="573"/>
      <c r="CT30" s="573"/>
      <c r="CU30" s="573"/>
      <c r="CV30" s="573"/>
      <c r="CW30" s="573"/>
      <c r="CX30" s="573"/>
      <c r="CY30" s="573"/>
      <c r="CZ30" s="573"/>
      <c r="DA30" s="573"/>
      <c r="DB30" s="573"/>
      <c r="DC30" s="573"/>
      <c r="DD30" s="573"/>
      <c r="DE30" s="573"/>
      <c r="DF30" s="573"/>
      <c r="DG30" s="573"/>
      <c r="DH30" s="573"/>
      <c r="DI30" s="573"/>
      <c r="DJ30" s="573"/>
      <c r="DK30" s="573"/>
      <c r="DL30" s="573"/>
      <c r="DM30" s="573"/>
      <c r="DN30" s="573"/>
      <c r="DO30" s="573"/>
      <c r="DP30" s="573"/>
      <c r="DQ30" s="573"/>
      <c r="DR30" s="573"/>
      <c r="DS30" s="573"/>
      <c r="DT30" s="573"/>
      <c r="DU30" s="573"/>
      <c r="DV30" s="573"/>
      <c r="DW30" s="573"/>
      <c r="DX30" s="573"/>
      <c r="DY30" s="573"/>
      <c r="DZ30" s="573"/>
      <c r="EA30" s="573"/>
      <c r="EB30" s="573"/>
      <c r="EC30" s="573"/>
      <c r="ED30" s="573"/>
      <c r="EE30" s="573"/>
      <c r="EF30" s="573"/>
      <c r="EG30" s="573"/>
      <c r="EH30" s="573"/>
      <c r="EI30" s="573"/>
      <c r="EJ30" s="573"/>
      <c r="EK30" s="573"/>
      <c r="EL30" s="573"/>
      <c r="EM30" s="573"/>
      <c r="EN30" s="573"/>
      <c r="EO30" s="573"/>
      <c r="EP30" s="573"/>
      <c r="EQ30" s="573"/>
      <c r="ER30" s="573"/>
      <c r="ES30" s="573"/>
      <c r="ET30" s="573"/>
      <c r="EU30" s="573"/>
      <c r="EV30" s="573"/>
      <c r="EW30" s="573"/>
      <c r="EX30" s="573"/>
      <c r="EY30" s="573"/>
      <c r="EZ30" s="573"/>
      <c r="FA30" s="573"/>
      <c r="FB30" s="573"/>
      <c r="FC30" s="573"/>
      <c r="FD30" s="573"/>
      <c r="FE30" s="573"/>
      <c r="FF30" s="573"/>
      <c r="FG30" s="573"/>
      <c r="FH30" s="573"/>
      <c r="FI30" s="573"/>
      <c r="FJ30" s="573"/>
      <c r="FK30" s="573"/>
      <c r="FL30" s="573"/>
      <c r="FM30" s="573"/>
      <c r="FN30" s="573"/>
      <c r="FO30" s="573"/>
      <c r="FP30" s="573"/>
      <c r="FQ30" s="573"/>
      <c r="FR30" s="573"/>
      <c r="FS30" s="573"/>
      <c r="FT30" s="573"/>
      <c r="FU30" s="573"/>
      <c r="FV30" s="573"/>
      <c r="FW30" s="573"/>
      <c r="FX30" s="573"/>
      <c r="FY30" s="573"/>
      <c r="FZ30" s="573"/>
      <c r="GA30" s="573"/>
      <c r="GB30" s="573"/>
      <c r="GC30" s="573"/>
      <c r="GD30" s="573"/>
      <c r="GE30" s="573"/>
      <c r="GF30" s="573"/>
      <c r="GG30" s="573"/>
      <c r="GH30" s="573"/>
      <c r="GI30" s="573"/>
      <c r="GJ30" s="573"/>
      <c r="GK30" s="573"/>
      <c r="GL30" s="573"/>
      <c r="GM30" s="573"/>
      <c r="GN30" s="573"/>
      <c r="GO30" s="573"/>
      <c r="GP30" s="573"/>
      <c r="GQ30" s="573"/>
      <c r="GR30" s="573"/>
      <c r="GS30" s="573"/>
      <c r="GT30" s="573"/>
      <c r="GU30" s="573"/>
      <c r="GV30" s="573"/>
      <c r="GW30" s="573"/>
      <c r="GX30" s="573"/>
      <c r="GY30" s="573"/>
      <c r="GZ30" s="573"/>
      <c r="HA30" s="573"/>
      <c r="HB30" s="573"/>
      <c r="HC30" s="573"/>
      <c r="HD30" s="573"/>
      <c r="HE30" s="573"/>
      <c r="HF30" s="573"/>
      <c r="HG30" s="573"/>
      <c r="HH30" s="573"/>
      <c r="HI30" s="573"/>
      <c r="HJ30" s="573"/>
      <c r="HK30" s="573"/>
      <c r="HL30" s="573"/>
      <c r="HM30" s="573"/>
      <c r="HN30" s="573"/>
      <c r="HO30" s="573"/>
      <c r="HP30" s="573"/>
      <c r="HQ30" s="573"/>
      <c r="HR30" s="573"/>
      <c r="HS30" s="573"/>
      <c r="HT30" s="573"/>
      <c r="HU30" s="573"/>
      <c r="HV30" s="573"/>
      <c r="HW30" s="573"/>
      <c r="HX30" s="573"/>
      <c r="HY30" s="573"/>
      <c r="HZ30" s="573"/>
      <c r="IA30" s="573"/>
      <c r="IB30" s="573"/>
      <c r="IC30" s="573"/>
      <c r="ID30" s="573"/>
      <c r="IE30" s="573"/>
      <c r="IF30" s="573"/>
      <c r="IG30" s="573"/>
      <c r="IH30" s="573"/>
      <c r="II30" s="573"/>
      <c r="IJ30" s="573"/>
      <c r="IK30" s="573"/>
      <c r="IL30" s="573"/>
      <c r="IM30" s="573"/>
      <c r="IN30" s="573"/>
      <c r="IO30" s="573"/>
      <c r="IP30" s="573"/>
      <c r="IQ30" s="573"/>
      <c r="IR30" s="573"/>
      <c r="IS30" s="573"/>
      <c r="IT30" s="573"/>
      <c r="IU30" s="573"/>
    </row>
    <row r="31" spans="1:255" ht="13">
      <c r="A31" s="573"/>
      <c r="B31" s="1359" t="s">
        <v>1038</v>
      </c>
      <c r="D31" s="593" t="s">
        <v>1066</v>
      </c>
      <c r="E31" s="588"/>
      <c r="F31" s="588"/>
      <c r="G31" s="588"/>
      <c r="H31" s="588"/>
      <c r="I31" s="588"/>
      <c r="J31" s="644">
        <v>18</v>
      </c>
      <c r="K31" s="573"/>
      <c r="L31" s="573"/>
      <c r="M31" s="573"/>
      <c r="N31" s="573"/>
      <c r="O31" s="573"/>
      <c r="P31" s="573"/>
      <c r="Q31" s="573"/>
      <c r="R31" s="573"/>
      <c r="S31" s="573"/>
      <c r="T31" s="573"/>
      <c r="U31" s="573"/>
      <c r="V31" s="573"/>
      <c r="W31" s="573"/>
      <c r="X31" s="573"/>
      <c r="Y31" s="573"/>
      <c r="Z31" s="573"/>
      <c r="AA31" s="573"/>
      <c r="AB31" s="573"/>
      <c r="AC31" s="573"/>
      <c r="AD31" s="573"/>
      <c r="AE31" s="573"/>
      <c r="AF31" s="573"/>
      <c r="AG31" s="573"/>
      <c r="AH31" s="573"/>
      <c r="AI31" s="573"/>
      <c r="AJ31" s="573"/>
      <c r="AK31" s="573"/>
      <c r="AL31" s="573"/>
      <c r="AM31" s="573"/>
      <c r="AN31" s="573"/>
      <c r="AO31" s="573"/>
      <c r="AP31" s="573"/>
      <c r="AQ31" s="573"/>
      <c r="AR31" s="573"/>
      <c r="AS31" s="573"/>
      <c r="AT31" s="573"/>
      <c r="AU31" s="573"/>
      <c r="AV31" s="573"/>
      <c r="AW31" s="573"/>
      <c r="AX31" s="573"/>
      <c r="AY31" s="573"/>
      <c r="AZ31" s="573"/>
      <c r="BA31" s="573"/>
      <c r="BB31" s="573"/>
      <c r="BC31" s="573"/>
      <c r="BD31" s="573"/>
      <c r="BE31" s="573"/>
      <c r="BF31" s="573"/>
      <c r="BG31" s="573"/>
      <c r="BH31" s="573"/>
      <c r="BI31" s="573"/>
      <c r="BJ31" s="573"/>
      <c r="BK31" s="573"/>
      <c r="BL31" s="573"/>
      <c r="BM31" s="573"/>
      <c r="BN31" s="573"/>
      <c r="BO31" s="573"/>
      <c r="BP31" s="573"/>
      <c r="BQ31" s="573"/>
      <c r="BR31" s="573"/>
      <c r="BS31" s="573"/>
      <c r="BT31" s="573"/>
      <c r="BU31" s="573"/>
      <c r="BV31" s="573"/>
      <c r="BW31" s="573"/>
      <c r="BX31" s="573"/>
      <c r="BY31" s="573"/>
      <c r="BZ31" s="573"/>
      <c r="CA31" s="573"/>
      <c r="CB31" s="573"/>
      <c r="CC31" s="573"/>
      <c r="CD31" s="573"/>
      <c r="CE31" s="573"/>
      <c r="CF31" s="573"/>
      <c r="CG31" s="573"/>
      <c r="CH31" s="573"/>
      <c r="CI31" s="573"/>
      <c r="CJ31" s="573"/>
      <c r="CK31" s="573"/>
      <c r="CL31" s="573"/>
      <c r="CM31" s="573"/>
      <c r="CN31" s="573"/>
      <c r="CO31" s="573"/>
      <c r="CP31" s="573"/>
      <c r="CQ31" s="573"/>
      <c r="CR31" s="573"/>
      <c r="CS31" s="573"/>
      <c r="CT31" s="573"/>
      <c r="CU31" s="573"/>
      <c r="CV31" s="573"/>
      <c r="CW31" s="573"/>
      <c r="CX31" s="573"/>
      <c r="CY31" s="573"/>
      <c r="CZ31" s="573"/>
      <c r="DA31" s="573"/>
      <c r="DB31" s="573"/>
      <c r="DC31" s="573"/>
      <c r="DD31" s="573"/>
      <c r="DE31" s="573"/>
      <c r="DF31" s="573"/>
      <c r="DG31" s="573"/>
      <c r="DH31" s="573"/>
      <c r="DI31" s="573"/>
      <c r="DJ31" s="573"/>
      <c r="DK31" s="573"/>
      <c r="DL31" s="573"/>
      <c r="DM31" s="573"/>
      <c r="DN31" s="573"/>
      <c r="DO31" s="573"/>
      <c r="DP31" s="573"/>
      <c r="DQ31" s="573"/>
      <c r="DR31" s="573"/>
      <c r="DS31" s="573"/>
      <c r="DT31" s="573"/>
      <c r="DU31" s="573"/>
      <c r="DV31" s="573"/>
      <c r="DW31" s="573"/>
      <c r="DX31" s="573"/>
      <c r="DY31" s="573"/>
      <c r="DZ31" s="573"/>
      <c r="EA31" s="573"/>
      <c r="EB31" s="573"/>
      <c r="EC31" s="573"/>
      <c r="ED31" s="573"/>
      <c r="EE31" s="573"/>
      <c r="EF31" s="573"/>
      <c r="EG31" s="573"/>
      <c r="EH31" s="573"/>
      <c r="EI31" s="573"/>
      <c r="EJ31" s="573"/>
      <c r="EK31" s="573"/>
      <c r="EL31" s="573"/>
      <c r="EM31" s="573"/>
      <c r="EN31" s="573"/>
      <c r="EO31" s="573"/>
      <c r="EP31" s="573"/>
      <c r="EQ31" s="573"/>
      <c r="ER31" s="573"/>
      <c r="ES31" s="573"/>
      <c r="ET31" s="573"/>
      <c r="EU31" s="573"/>
      <c r="EV31" s="573"/>
      <c r="EW31" s="573"/>
      <c r="EX31" s="573"/>
      <c r="EY31" s="573"/>
      <c r="EZ31" s="573"/>
      <c r="FA31" s="573"/>
      <c r="FB31" s="573"/>
      <c r="FC31" s="573"/>
      <c r="FD31" s="573"/>
      <c r="FE31" s="573"/>
      <c r="FF31" s="573"/>
      <c r="FG31" s="573"/>
      <c r="FH31" s="573"/>
      <c r="FI31" s="573"/>
      <c r="FJ31" s="573"/>
      <c r="FK31" s="573"/>
      <c r="FL31" s="573"/>
      <c r="FM31" s="573"/>
      <c r="FN31" s="573"/>
      <c r="FO31" s="573"/>
      <c r="FP31" s="573"/>
      <c r="FQ31" s="573"/>
      <c r="FR31" s="573"/>
      <c r="FS31" s="573"/>
      <c r="FT31" s="573"/>
      <c r="FU31" s="573"/>
      <c r="FV31" s="573"/>
      <c r="FW31" s="573"/>
      <c r="FX31" s="573"/>
      <c r="FY31" s="573"/>
      <c r="FZ31" s="573"/>
      <c r="GA31" s="573"/>
      <c r="GB31" s="573"/>
      <c r="GC31" s="573"/>
      <c r="GD31" s="573"/>
      <c r="GE31" s="573"/>
      <c r="GF31" s="573"/>
      <c r="GG31" s="573"/>
      <c r="GH31" s="573"/>
      <c r="GI31" s="573"/>
      <c r="GJ31" s="573"/>
      <c r="GK31" s="573"/>
      <c r="GL31" s="573"/>
      <c r="GM31" s="573"/>
      <c r="GN31" s="573"/>
      <c r="GO31" s="573"/>
      <c r="GP31" s="573"/>
      <c r="GQ31" s="573"/>
      <c r="GR31" s="573"/>
      <c r="GS31" s="573"/>
      <c r="GT31" s="573"/>
      <c r="GU31" s="573"/>
      <c r="GV31" s="573"/>
      <c r="GW31" s="573"/>
      <c r="GX31" s="573"/>
      <c r="GY31" s="573"/>
      <c r="GZ31" s="573"/>
      <c r="HA31" s="573"/>
      <c r="HB31" s="573"/>
      <c r="HC31" s="573"/>
      <c r="HD31" s="573"/>
      <c r="HE31" s="573"/>
      <c r="HF31" s="573"/>
      <c r="HG31" s="573"/>
      <c r="HH31" s="573"/>
      <c r="HI31" s="573"/>
      <c r="HJ31" s="573"/>
      <c r="HK31" s="573"/>
      <c r="HL31" s="573"/>
      <c r="HM31" s="573"/>
      <c r="HN31" s="573"/>
      <c r="HO31" s="573"/>
      <c r="HP31" s="573"/>
      <c r="HQ31" s="573"/>
      <c r="HR31" s="573"/>
      <c r="HS31" s="573"/>
      <c r="HT31" s="573"/>
      <c r="HU31" s="573"/>
      <c r="HV31" s="573"/>
      <c r="HW31" s="573"/>
      <c r="HX31" s="573"/>
      <c r="HY31" s="573"/>
      <c r="HZ31" s="573"/>
      <c r="IA31" s="573"/>
      <c r="IB31" s="573"/>
      <c r="IC31" s="573"/>
      <c r="ID31" s="573"/>
      <c r="IE31" s="573"/>
      <c r="IF31" s="573"/>
      <c r="IG31" s="573"/>
      <c r="IH31" s="573"/>
      <c r="II31" s="573"/>
      <c r="IJ31" s="573"/>
      <c r="IK31" s="573"/>
      <c r="IL31" s="573"/>
      <c r="IM31" s="573"/>
      <c r="IN31" s="573"/>
      <c r="IO31" s="573"/>
      <c r="IP31" s="573"/>
      <c r="IQ31" s="573"/>
      <c r="IR31" s="573"/>
      <c r="IS31" s="573"/>
      <c r="IT31" s="573"/>
      <c r="IU31" s="573"/>
    </row>
    <row r="32" spans="1:255" ht="13">
      <c r="A32" s="573"/>
      <c r="B32" s="1359"/>
      <c r="D32" s="595"/>
      <c r="E32" s="595"/>
      <c r="F32" s="595"/>
      <c r="G32" s="595"/>
      <c r="H32" s="595"/>
      <c r="I32" s="595"/>
      <c r="J32" s="644"/>
      <c r="K32" s="573"/>
      <c r="L32" s="573"/>
      <c r="M32" s="573"/>
      <c r="N32" s="573"/>
      <c r="O32" s="573"/>
      <c r="P32" s="573"/>
      <c r="Q32" s="573"/>
      <c r="R32" s="573"/>
      <c r="S32" s="573"/>
      <c r="T32" s="573"/>
      <c r="U32" s="573"/>
      <c r="V32" s="573"/>
      <c r="W32" s="573"/>
      <c r="X32" s="573"/>
      <c r="Y32" s="573"/>
      <c r="Z32" s="573"/>
      <c r="AA32" s="573"/>
      <c r="AB32" s="573"/>
      <c r="AC32" s="573"/>
      <c r="AD32" s="573"/>
      <c r="AE32" s="573"/>
      <c r="AF32" s="573"/>
      <c r="AG32" s="573"/>
      <c r="AH32" s="573"/>
      <c r="AI32" s="573"/>
      <c r="AJ32" s="573"/>
      <c r="AK32" s="573"/>
      <c r="AL32" s="573"/>
      <c r="AM32" s="573"/>
      <c r="AN32" s="573"/>
      <c r="AO32" s="573"/>
      <c r="AP32" s="573"/>
      <c r="AQ32" s="573"/>
      <c r="AR32" s="573"/>
      <c r="AS32" s="573"/>
      <c r="AT32" s="573"/>
      <c r="AU32" s="573"/>
      <c r="AV32" s="573"/>
      <c r="AW32" s="573"/>
      <c r="AX32" s="573"/>
      <c r="AY32" s="573"/>
      <c r="AZ32" s="573"/>
      <c r="BA32" s="573"/>
      <c r="BB32" s="573"/>
      <c r="BC32" s="573"/>
      <c r="BD32" s="573"/>
      <c r="BE32" s="573"/>
      <c r="BF32" s="573"/>
      <c r="BG32" s="573"/>
      <c r="BH32" s="573"/>
      <c r="BI32" s="573"/>
      <c r="BJ32" s="573"/>
      <c r="BK32" s="573"/>
      <c r="BL32" s="573"/>
      <c r="BM32" s="573"/>
      <c r="BN32" s="573"/>
      <c r="BO32" s="573"/>
      <c r="BP32" s="573"/>
      <c r="BQ32" s="573"/>
      <c r="BR32" s="573"/>
      <c r="BS32" s="573"/>
      <c r="BT32" s="573"/>
      <c r="BU32" s="573"/>
      <c r="BV32" s="573"/>
      <c r="BW32" s="573"/>
      <c r="BX32" s="573"/>
      <c r="BY32" s="573"/>
      <c r="BZ32" s="573"/>
      <c r="CA32" s="573"/>
      <c r="CB32" s="573"/>
      <c r="CC32" s="573"/>
      <c r="CD32" s="573"/>
      <c r="CE32" s="573"/>
      <c r="CF32" s="573"/>
      <c r="CG32" s="573"/>
      <c r="CH32" s="573"/>
      <c r="CI32" s="573"/>
      <c r="CJ32" s="573"/>
      <c r="CK32" s="573"/>
      <c r="CL32" s="573"/>
      <c r="CM32" s="573"/>
      <c r="CN32" s="573"/>
      <c r="CO32" s="573"/>
      <c r="CP32" s="573"/>
      <c r="CQ32" s="573"/>
      <c r="CR32" s="573"/>
      <c r="CS32" s="573"/>
      <c r="CT32" s="573"/>
      <c r="CU32" s="573"/>
      <c r="CV32" s="573"/>
      <c r="CW32" s="573"/>
      <c r="CX32" s="573"/>
      <c r="CY32" s="573"/>
      <c r="CZ32" s="573"/>
      <c r="DA32" s="573"/>
      <c r="DB32" s="573"/>
      <c r="DC32" s="573"/>
      <c r="DD32" s="573"/>
      <c r="DE32" s="573"/>
      <c r="DF32" s="573"/>
      <c r="DG32" s="573"/>
      <c r="DH32" s="573"/>
      <c r="DI32" s="573"/>
      <c r="DJ32" s="573"/>
      <c r="DK32" s="573"/>
      <c r="DL32" s="573"/>
      <c r="DM32" s="573"/>
      <c r="DN32" s="573"/>
      <c r="DO32" s="573"/>
      <c r="DP32" s="573"/>
      <c r="DQ32" s="573"/>
      <c r="DR32" s="573"/>
      <c r="DS32" s="573"/>
      <c r="DT32" s="573"/>
      <c r="DU32" s="573"/>
      <c r="DV32" s="573"/>
      <c r="DW32" s="573"/>
      <c r="DX32" s="573"/>
      <c r="DY32" s="573"/>
      <c r="DZ32" s="573"/>
      <c r="EA32" s="573"/>
      <c r="EB32" s="573"/>
      <c r="EC32" s="573"/>
      <c r="ED32" s="573"/>
      <c r="EE32" s="573"/>
      <c r="EF32" s="573"/>
      <c r="EG32" s="573"/>
      <c r="EH32" s="573"/>
      <c r="EI32" s="573"/>
      <c r="EJ32" s="573"/>
      <c r="EK32" s="573"/>
      <c r="EL32" s="573"/>
      <c r="EM32" s="573"/>
      <c r="EN32" s="573"/>
      <c r="EO32" s="573"/>
      <c r="EP32" s="573"/>
      <c r="EQ32" s="573"/>
      <c r="ER32" s="573"/>
      <c r="ES32" s="573"/>
      <c r="ET32" s="573"/>
      <c r="EU32" s="573"/>
      <c r="EV32" s="573"/>
      <c r="EW32" s="573"/>
      <c r="EX32" s="573"/>
      <c r="EY32" s="573"/>
      <c r="EZ32" s="573"/>
      <c r="FA32" s="573"/>
      <c r="FB32" s="573"/>
      <c r="FC32" s="573"/>
      <c r="FD32" s="573"/>
      <c r="FE32" s="573"/>
      <c r="FF32" s="573"/>
      <c r="FG32" s="573"/>
      <c r="FH32" s="573"/>
      <c r="FI32" s="573"/>
      <c r="FJ32" s="573"/>
      <c r="FK32" s="573"/>
      <c r="FL32" s="573"/>
      <c r="FM32" s="573"/>
      <c r="FN32" s="573"/>
      <c r="FO32" s="573"/>
      <c r="FP32" s="573"/>
      <c r="FQ32" s="573"/>
      <c r="FR32" s="573"/>
      <c r="FS32" s="573"/>
      <c r="FT32" s="573"/>
      <c r="FU32" s="573"/>
      <c r="FV32" s="573"/>
      <c r="FW32" s="573"/>
      <c r="FX32" s="573"/>
      <c r="FY32" s="573"/>
      <c r="FZ32" s="573"/>
      <c r="GA32" s="573"/>
      <c r="GB32" s="573"/>
      <c r="GC32" s="573"/>
      <c r="GD32" s="573"/>
      <c r="GE32" s="573"/>
      <c r="GF32" s="573"/>
      <c r="GG32" s="573"/>
      <c r="GH32" s="573"/>
      <c r="GI32" s="573"/>
      <c r="GJ32" s="573"/>
      <c r="GK32" s="573"/>
      <c r="GL32" s="573"/>
      <c r="GM32" s="573"/>
      <c r="GN32" s="573"/>
      <c r="GO32" s="573"/>
      <c r="GP32" s="573"/>
      <c r="GQ32" s="573"/>
      <c r="GR32" s="573"/>
      <c r="GS32" s="573"/>
      <c r="GT32" s="573"/>
      <c r="GU32" s="573"/>
      <c r="GV32" s="573"/>
      <c r="GW32" s="573"/>
      <c r="GX32" s="573"/>
      <c r="GY32" s="573"/>
      <c r="GZ32" s="573"/>
      <c r="HA32" s="573"/>
      <c r="HB32" s="573"/>
      <c r="HC32" s="573"/>
      <c r="HD32" s="573"/>
      <c r="HE32" s="573"/>
      <c r="HF32" s="573"/>
      <c r="HG32" s="573"/>
      <c r="HH32" s="573"/>
      <c r="HI32" s="573"/>
      <c r="HJ32" s="573"/>
      <c r="HK32" s="573"/>
      <c r="HL32" s="573"/>
      <c r="HM32" s="573"/>
      <c r="HN32" s="573"/>
      <c r="HO32" s="573"/>
      <c r="HP32" s="573"/>
      <c r="HQ32" s="573"/>
      <c r="HR32" s="573"/>
      <c r="HS32" s="573"/>
      <c r="HT32" s="573"/>
      <c r="HU32" s="573"/>
      <c r="HV32" s="573"/>
      <c r="HW32" s="573"/>
      <c r="HX32" s="573"/>
      <c r="HY32" s="573"/>
      <c r="HZ32" s="573"/>
      <c r="IA32" s="573"/>
      <c r="IB32" s="573"/>
      <c r="IC32" s="573"/>
      <c r="ID32" s="573"/>
      <c r="IE32" s="573"/>
      <c r="IF32" s="573"/>
      <c r="IG32" s="573"/>
      <c r="IH32" s="573"/>
      <c r="II32" s="573"/>
      <c r="IJ32" s="573"/>
      <c r="IK32" s="573"/>
      <c r="IL32" s="573"/>
      <c r="IM32" s="573"/>
      <c r="IN32" s="573"/>
      <c r="IO32" s="573"/>
      <c r="IP32" s="573"/>
      <c r="IQ32" s="573"/>
      <c r="IR32" s="573"/>
      <c r="IS32" s="573"/>
      <c r="IT32" s="573"/>
      <c r="IU32" s="573"/>
    </row>
    <row r="33" spans="1:255" ht="13">
      <c r="A33" s="573"/>
      <c r="B33" s="1360"/>
      <c r="D33" s="595"/>
      <c r="E33" s="595"/>
      <c r="F33" s="595"/>
      <c r="G33" s="595"/>
      <c r="H33" s="595"/>
      <c r="I33" s="595"/>
      <c r="J33" s="644"/>
      <c r="M33" s="590"/>
    </row>
    <row r="34" spans="1:255" ht="13">
      <c r="A34" s="573" t="s">
        <v>731</v>
      </c>
      <c r="B34" s="1361"/>
      <c r="C34" s="573"/>
      <c r="D34" s="573"/>
      <c r="E34" s="573"/>
      <c r="F34" s="573"/>
      <c r="G34" s="573"/>
      <c r="H34" s="573"/>
      <c r="I34" s="573"/>
      <c r="J34" s="645"/>
      <c r="M34" s="590"/>
    </row>
    <row r="35" spans="1:255" ht="13">
      <c r="A35" s="573"/>
      <c r="B35" s="1361"/>
      <c r="C35" s="573"/>
      <c r="D35" s="596"/>
      <c r="E35" s="596"/>
      <c r="F35" s="596"/>
      <c r="G35" s="596"/>
      <c r="H35" s="596"/>
      <c r="I35" s="596"/>
      <c r="J35" s="646"/>
      <c r="M35" s="590"/>
    </row>
    <row r="36" spans="1:255" ht="13">
      <c r="A36" s="573"/>
      <c r="B36" s="1364" t="s">
        <v>762</v>
      </c>
      <c r="D36" s="585" t="s">
        <v>783</v>
      </c>
      <c r="E36" s="585"/>
      <c r="F36" s="585"/>
      <c r="G36" s="585"/>
      <c r="H36" s="585"/>
      <c r="I36" s="585"/>
      <c r="J36" s="644">
        <v>20</v>
      </c>
      <c r="M36" s="590"/>
    </row>
    <row r="37" spans="1:255" ht="13">
      <c r="A37" s="573"/>
      <c r="B37" s="1364" t="s">
        <v>732</v>
      </c>
      <c r="D37" s="595" t="s">
        <v>778</v>
      </c>
      <c r="E37" s="595"/>
      <c r="F37" s="595"/>
      <c r="G37" s="595"/>
      <c r="H37" s="595"/>
      <c r="I37" s="595"/>
      <c r="J37" s="644">
        <v>22</v>
      </c>
      <c r="M37" s="590"/>
    </row>
    <row r="38" spans="1:255" ht="13">
      <c r="A38" s="573"/>
      <c r="B38" s="1364" t="s">
        <v>763</v>
      </c>
      <c r="D38" s="592" t="s">
        <v>1194</v>
      </c>
      <c r="E38" s="592"/>
      <c r="F38" s="592"/>
      <c r="G38" s="592"/>
      <c r="H38" s="592"/>
      <c r="I38" s="592"/>
      <c r="J38" s="644">
        <v>24</v>
      </c>
      <c r="M38" s="590"/>
    </row>
    <row r="39" spans="1:255" ht="13">
      <c r="A39" s="573"/>
      <c r="B39" s="1364" t="s">
        <v>764</v>
      </c>
      <c r="D39" s="592" t="s">
        <v>1195</v>
      </c>
      <c r="E39" s="592"/>
      <c r="F39" s="592"/>
      <c r="G39" s="592"/>
      <c r="H39" s="592"/>
      <c r="I39" s="592"/>
      <c r="J39" s="644">
        <v>26</v>
      </c>
      <c r="M39" s="590"/>
    </row>
    <row r="40" spans="1:255" ht="13">
      <c r="A40" s="573"/>
      <c r="B40" s="1359" t="s">
        <v>733</v>
      </c>
      <c r="D40" s="592" t="s">
        <v>925</v>
      </c>
      <c r="E40" s="592"/>
      <c r="F40" s="592"/>
      <c r="G40" s="592"/>
      <c r="H40" s="592"/>
      <c r="I40" s="592"/>
      <c r="J40" s="644">
        <v>28</v>
      </c>
      <c r="M40" s="590"/>
    </row>
    <row r="41" spans="1:255" ht="13">
      <c r="A41" s="573"/>
      <c r="B41" s="1364" t="s">
        <v>734</v>
      </c>
      <c r="D41" s="592" t="s">
        <v>888</v>
      </c>
      <c r="E41" s="592"/>
      <c r="F41" s="592"/>
      <c r="G41" s="592"/>
      <c r="H41" s="592"/>
      <c r="I41" s="592"/>
      <c r="J41" s="644">
        <v>29</v>
      </c>
      <c r="M41" s="590"/>
    </row>
    <row r="42" spans="1:255" ht="13">
      <c r="A42" s="573"/>
      <c r="B42" s="1364" t="s">
        <v>765</v>
      </c>
      <c r="D42" s="592" t="s">
        <v>1196</v>
      </c>
      <c r="E42" s="592"/>
      <c r="F42" s="592"/>
      <c r="G42" s="592"/>
      <c r="H42" s="592"/>
      <c r="I42" s="592"/>
      <c r="J42" s="644">
        <v>31</v>
      </c>
      <c r="M42" s="590"/>
    </row>
    <row r="43" spans="1:255" ht="13">
      <c r="A43" s="573"/>
      <c r="B43" s="1364" t="s">
        <v>766</v>
      </c>
      <c r="D43" s="592" t="s">
        <v>1197</v>
      </c>
      <c r="E43" s="592"/>
      <c r="F43" s="592"/>
      <c r="G43" s="592"/>
      <c r="H43" s="592"/>
      <c r="I43" s="592"/>
      <c r="J43" s="644">
        <v>33</v>
      </c>
      <c r="M43" s="590"/>
    </row>
    <row r="44" spans="1:255" ht="13">
      <c r="A44" s="573"/>
      <c r="B44" s="1359" t="s">
        <v>735</v>
      </c>
      <c r="D44" s="592" t="s">
        <v>784</v>
      </c>
      <c r="E44" s="592"/>
      <c r="F44" s="592"/>
      <c r="G44" s="592"/>
      <c r="H44" s="592"/>
      <c r="I44" s="592"/>
      <c r="J44" s="644">
        <v>34</v>
      </c>
      <c r="M44" s="590"/>
    </row>
    <row r="45" spans="1:255" ht="13">
      <c r="A45" s="573"/>
      <c r="B45" s="1364" t="s">
        <v>736</v>
      </c>
      <c r="D45" s="592" t="s">
        <v>780</v>
      </c>
      <c r="E45" s="592"/>
      <c r="F45" s="592"/>
      <c r="G45" s="592"/>
      <c r="H45" s="592"/>
      <c r="I45" s="592"/>
      <c r="J45" s="644">
        <v>35</v>
      </c>
      <c r="M45" s="590"/>
    </row>
    <row r="46" spans="1:255" ht="13">
      <c r="A46" s="573"/>
      <c r="B46" s="1359" t="s">
        <v>737</v>
      </c>
      <c r="D46" s="592" t="s">
        <v>781</v>
      </c>
      <c r="E46" s="592"/>
      <c r="F46" s="592"/>
      <c r="G46" s="592"/>
      <c r="H46" s="592"/>
      <c r="I46" s="592"/>
      <c r="J46" s="644">
        <v>36</v>
      </c>
      <c r="M46" s="590"/>
    </row>
    <row r="47" spans="1:255" ht="13">
      <c r="A47" s="573"/>
      <c r="B47" s="1359" t="s">
        <v>738</v>
      </c>
      <c r="D47" s="593" t="s">
        <v>782</v>
      </c>
      <c r="E47" s="593"/>
      <c r="F47" s="593"/>
      <c r="G47" s="593"/>
      <c r="H47" s="593"/>
      <c r="I47" s="593"/>
      <c r="J47" s="644">
        <v>37</v>
      </c>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573"/>
      <c r="AZ47" s="573"/>
      <c r="BA47" s="573"/>
      <c r="BB47" s="573"/>
      <c r="BC47" s="573"/>
      <c r="BD47" s="573"/>
      <c r="BE47" s="573"/>
      <c r="BF47" s="573"/>
      <c r="BG47" s="573"/>
      <c r="BH47" s="573"/>
      <c r="BI47" s="573"/>
      <c r="BJ47" s="573"/>
      <c r="BK47" s="573"/>
      <c r="BL47" s="573"/>
      <c r="BM47" s="573"/>
      <c r="BN47" s="573"/>
      <c r="BO47" s="573"/>
      <c r="BP47" s="573"/>
      <c r="BQ47" s="573"/>
      <c r="BR47" s="573"/>
      <c r="BS47" s="573"/>
      <c r="BT47" s="573"/>
      <c r="BU47" s="573"/>
      <c r="BV47" s="573"/>
      <c r="BW47" s="573"/>
      <c r="BX47" s="573"/>
      <c r="BY47" s="573"/>
      <c r="BZ47" s="573"/>
      <c r="CA47" s="573"/>
      <c r="CB47" s="573"/>
      <c r="CC47" s="573"/>
      <c r="CD47" s="573"/>
      <c r="CE47" s="573"/>
      <c r="CF47" s="573"/>
      <c r="CG47" s="573"/>
      <c r="CH47" s="573"/>
      <c r="CI47" s="573"/>
      <c r="CJ47" s="573"/>
      <c r="CK47" s="573"/>
      <c r="CL47" s="573"/>
      <c r="CM47" s="573"/>
      <c r="CN47" s="573"/>
      <c r="CO47" s="573"/>
      <c r="CP47" s="573"/>
      <c r="CQ47" s="573"/>
      <c r="CR47" s="573"/>
      <c r="CS47" s="573"/>
      <c r="CT47" s="573"/>
      <c r="CU47" s="573"/>
      <c r="CV47" s="573"/>
      <c r="CW47" s="573"/>
      <c r="CX47" s="573"/>
      <c r="CY47" s="573"/>
      <c r="CZ47" s="573"/>
      <c r="DA47" s="573"/>
      <c r="DB47" s="573"/>
      <c r="DC47" s="573"/>
      <c r="DD47" s="573"/>
      <c r="DE47" s="573"/>
      <c r="DF47" s="573"/>
      <c r="DG47" s="573"/>
      <c r="DH47" s="573"/>
      <c r="DI47" s="573"/>
      <c r="DJ47" s="573"/>
      <c r="DK47" s="573"/>
      <c r="DL47" s="573"/>
      <c r="DM47" s="573"/>
      <c r="DN47" s="573"/>
      <c r="DO47" s="573"/>
      <c r="DP47" s="573"/>
      <c r="DQ47" s="573"/>
      <c r="DR47" s="573"/>
      <c r="DS47" s="573"/>
      <c r="DT47" s="573"/>
      <c r="DU47" s="573"/>
      <c r="DV47" s="573"/>
      <c r="DW47" s="573"/>
      <c r="DX47" s="573"/>
      <c r="DY47" s="573"/>
      <c r="DZ47" s="573"/>
      <c r="EA47" s="573"/>
      <c r="EB47" s="573"/>
      <c r="EC47" s="573"/>
      <c r="ED47" s="573"/>
      <c r="EE47" s="573"/>
      <c r="EF47" s="573"/>
      <c r="EG47" s="573"/>
      <c r="EH47" s="573"/>
      <c r="EI47" s="573"/>
      <c r="EJ47" s="573"/>
      <c r="EK47" s="573"/>
      <c r="EL47" s="573"/>
      <c r="EM47" s="573"/>
      <c r="EN47" s="573"/>
      <c r="EO47" s="573"/>
      <c r="EP47" s="573"/>
      <c r="EQ47" s="573"/>
      <c r="ER47" s="573"/>
      <c r="ES47" s="573"/>
      <c r="ET47" s="573"/>
      <c r="EU47" s="573"/>
      <c r="EV47" s="573"/>
      <c r="EW47" s="573"/>
      <c r="EX47" s="573"/>
      <c r="EY47" s="573"/>
      <c r="EZ47" s="573"/>
      <c r="FA47" s="573"/>
      <c r="FB47" s="573"/>
      <c r="FC47" s="573"/>
      <c r="FD47" s="573"/>
      <c r="FE47" s="573"/>
      <c r="FF47" s="573"/>
      <c r="FG47" s="573"/>
      <c r="FH47" s="573"/>
      <c r="FI47" s="573"/>
      <c r="FJ47" s="573"/>
      <c r="FK47" s="573"/>
      <c r="FL47" s="573"/>
      <c r="FM47" s="573"/>
      <c r="FN47" s="573"/>
      <c r="FO47" s="573"/>
      <c r="FP47" s="573"/>
      <c r="FQ47" s="573"/>
      <c r="FR47" s="573"/>
      <c r="FS47" s="573"/>
      <c r="FT47" s="573"/>
      <c r="FU47" s="573"/>
      <c r="FV47" s="573"/>
      <c r="FW47" s="573"/>
      <c r="FX47" s="573"/>
      <c r="FY47" s="573"/>
      <c r="FZ47" s="573"/>
      <c r="GA47" s="573"/>
      <c r="GB47" s="573"/>
      <c r="GC47" s="573"/>
      <c r="GD47" s="573"/>
      <c r="GE47" s="573"/>
      <c r="GF47" s="573"/>
      <c r="GG47" s="573"/>
      <c r="GH47" s="573"/>
      <c r="GI47" s="573"/>
      <c r="GJ47" s="573"/>
      <c r="GK47" s="573"/>
      <c r="GL47" s="573"/>
      <c r="GM47" s="573"/>
      <c r="GN47" s="573"/>
      <c r="GO47" s="573"/>
      <c r="GP47" s="573"/>
      <c r="GQ47" s="573"/>
      <c r="GR47" s="573"/>
      <c r="GS47" s="573"/>
      <c r="GT47" s="573"/>
      <c r="GU47" s="573"/>
      <c r="GV47" s="573"/>
      <c r="GW47" s="573"/>
      <c r="GX47" s="573"/>
      <c r="GY47" s="573"/>
      <c r="GZ47" s="573"/>
      <c r="HA47" s="573"/>
      <c r="HB47" s="573"/>
      <c r="HC47" s="573"/>
      <c r="HD47" s="573"/>
      <c r="HE47" s="573"/>
      <c r="HF47" s="573"/>
      <c r="HG47" s="573"/>
      <c r="HH47" s="573"/>
      <c r="HI47" s="573"/>
      <c r="HJ47" s="573"/>
      <c r="HK47" s="573"/>
      <c r="HL47" s="573"/>
      <c r="HM47" s="573"/>
      <c r="HN47" s="573"/>
      <c r="HO47" s="573"/>
      <c r="HP47" s="573"/>
      <c r="HQ47" s="573"/>
      <c r="HR47" s="573"/>
      <c r="HS47" s="573"/>
      <c r="HT47" s="573"/>
      <c r="HU47" s="573"/>
      <c r="HV47" s="573"/>
      <c r="HW47" s="573"/>
      <c r="HX47" s="573"/>
      <c r="HY47" s="573"/>
      <c r="HZ47" s="573"/>
      <c r="IA47" s="573"/>
      <c r="IB47" s="573"/>
      <c r="IC47" s="573"/>
      <c r="ID47" s="573"/>
      <c r="IE47" s="573"/>
      <c r="IF47" s="573"/>
      <c r="IG47" s="573"/>
      <c r="IH47" s="573"/>
      <c r="II47" s="573"/>
      <c r="IJ47" s="573"/>
      <c r="IK47" s="573"/>
      <c r="IL47" s="573"/>
      <c r="IM47" s="573"/>
      <c r="IN47" s="573"/>
      <c r="IO47" s="573"/>
      <c r="IP47" s="573"/>
      <c r="IQ47" s="573"/>
      <c r="IR47" s="573"/>
      <c r="IS47" s="573"/>
      <c r="IT47" s="573"/>
      <c r="IU47" s="573"/>
    </row>
    <row r="48" spans="1:255" ht="13">
      <c r="A48" s="573"/>
      <c r="B48" s="1360"/>
      <c r="D48" s="595"/>
      <c r="E48" s="595"/>
      <c r="F48" s="595"/>
      <c r="G48" s="595"/>
      <c r="H48" s="595"/>
      <c r="I48" s="595"/>
      <c r="J48" s="644"/>
      <c r="M48" s="590"/>
    </row>
    <row r="49" spans="1:13" ht="13">
      <c r="A49" s="573" t="s">
        <v>739</v>
      </c>
      <c r="B49" s="1360"/>
      <c r="D49" s="595"/>
      <c r="E49" s="595"/>
      <c r="F49" s="595"/>
      <c r="G49" s="595"/>
      <c r="H49" s="595"/>
      <c r="I49" s="595"/>
      <c r="J49" s="644"/>
      <c r="M49" s="590"/>
    </row>
    <row r="50" spans="1:13" ht="13">
      <c r="A50" s="573"/>
      <c r="B50" s="1361"/>
      <c r="C50" s="573"/>
      <c r="D50" s="596"/>
      <c r="E50" s="596"/>
      <c r="F50" s="596"/>
      <c r="G50" s="596"/>
      <c r="H50" s="596"/>
      <c r="I50" s="596"/>
      <c r="J50" s="645"/>
      <c r="M50" s="590"/>
    </row>
    <row r="51" spans="1:13" ht="13">
      <c r="A51" s="573"/>
      <c r="B51" s="1359" t="s">
        <v>740</v>
      </c>
      <c r="D51" s="595" t="s">
        <v>785</v>
      </c>
      <c r="E51" s="595"/>
      <c r="F51" s="595"/>
      <c r="G51" s="595"/>
      <c r="H51" s="595"/>
      <c r="I51" s="595"/>
      <c r="J51" s="644">
        <v>38</v>
      </c>
      <c r="M51" s="590"/>
    </row>
    <row r="52" spans="1:13" ht="13">
      <c r="A52" s="573"/>
      <c r="B52" s="1359" t="s">
        <v>741</v>
      </c>
      <c r="D52" s="592" t="s">
        <v>786</v>
      </c>
      <c r="E52" s="592"/>
      <c r="F52" s="592"/>
      <c r="G52" s="592"/>
      <c r="H52" s="592"/>
      <c r="I52" s="592"/>
      <c r="J52" s="644">
        <v>41</v>
      </c>
      <c r="M52" s="590"/>
    </row>
    <row r="53" spans="1:13" ht="13">
      <c r="A53" s="573"/>
      <c r="B53" s="1359" t="s">
        <v>742</v>
      </c>
      <c r="D53" s="592" t="s">
        <v>787</v>
      </c>
      <c r="E53" s="592"/>
      <c r="F53" s="592"/>
      <c r="G53" s="592"/>
      <c r="H53" s="592"/>
      <c r="I53" s="592"/>
      <c r="J53" s="644">
        <v>42</v>
      </c>
      <c r="M53" s="590"/>
    </row>
    <row r="54" spans="1:13" ht="13">
      <c r="A54" s="573"/>
      <c r="B54" s="1359" t="s">
        <v>743</v>
      </c>
      <c r="D54" s="592" t="s">
        <v>790</v>
      </c>
      <c r="E54" s="592"/>
      <c r="F54" s="592"/>
      <c r="G54" s="592"/>
      <c r="H54" s="592"/>
      <c r="I54" s="592"/>
      <c r="J54" s="644">
        <v>43</v>
      </c>
      <c r="M54" s="590"/>
    </row>
    <row r="55" spans="1:13" ht="13">
      <c r="A55" s="573"/>
      <c r="B55" s="1359" t="s">
        <v>744</v>
      </c>
      <c r="D55" s="592" t="s">
        <v>788</v>
      </c>
      <c r="E55" s="592"/>
      <c r="F55" s="592"/>
      <c r="G55" s="592"/>
      <c r="H55" s="592"/>
      <c r="I55" s="592"/>
      <c r="J55" s="644">
        <v>44</v>
      </c>
      <c r="K55" s="597"/>
      <c r="M55" s="590"/>
    </row>
    <row r="56" spans="1:13" ht="13">
      <c r="A56" s="573"/>
      <c r="B56" s="1364" t="s">
        <v>745</v>
      </c>
      <c r="D56" s="592" t="s">
        <v>789</v>
      </c>
      <c r="E56" s="592"/>
      <c r="F56" s="592"/>
      <c r="G56" s="592"/>
      <c r="H56" s="592"/>
      <c r="I56" s="592"/>
      <c r="J56" s="644">
        <v>45</v>
      </c>
      <c r="K56" s="583"/>
    </row>
    <row r="57" spans="1:13" ht="13">
      <c r="A57" s="573"/>
      <c r="B57" s="1359" t="s">
        <v>746</v>
      </c>
      <c r="D57" s="593" t="s">
        <v>747</v>
      </c>
      <c r="E57" s="593"/>
      <c r="F57" s="593"/>
      <c r="G57" s="593"/>
      <c r="H57" s="593"/>
      <c r="I57" s="593"/>
      <c r="J57" s="644">
        <v>46</v>
      </c>
      <c r="K57" s="583"/>
    </row>
    <row r="58" spans="1:13" ht="13">
      <c r="A58" s="573"/>
      <c r="B58" s="1362" t="s">
        <v>767</v>
      </c>
      <c r="D58" s="585" t="s">
        <v>748</v>
      </c>
      <c r="E58" s="585"/>
      <c r="F58" s="585"/>
      <c r="G58" s="585"/>
      <c r="H58" s="585"/>
      <c r="I58" s="585"/>
      <c r="J58" s="644">
        <v>47</v>
      </c>
      <c r="K58" s="583"/>
      <c r="M58" s="590"/>
    </row>
    <row r="59" spans="1:13" ht="13">
      <c r="A59" s="573"/>
      <c r="B59" s="1363" t="s">
        <v>768</v>
      </c>
      <c r="D59" s="588" t="s">
        <v>749</v>
      </c>
      <c r="E59" s="588"/>
      <c r="F59" s="588"/>
      <c r="G59" s="588"/>
      <c r="H59" s="588"/>
      <c r="I59" s="588"/>
      <c r="J59" s="644">
        <v>48</v>
      </c>
      <c r="K59" s="583"/>
      <c r="M59" s="590"/>
    </row>
    <row r="60" spans="1:13" ht="13">
      <c r="A60" s="573"/>
      <c r="B60" s="1363" t="s">
        <v>769</v>
      </c>
      <c r="D60" s="598" t="s">
        <v>750</v>
      </c>
      <c r="E60" s="588"/>
      <c r="F60" s="598"/>
      <c r="G60" s="588"/>
      <c r="H60" s="588"/>
      <c r="I60" s="588"/>
      <c r="J60" s="644">
        <v>49</v>
      </c>
      <c r="K60" s="583"/>
      <c r="M60" s="590"/>
    </row>
    <row r="61" spans="1:13" ht="13">
      <c r="A61" s="573"/>
      <c r="B61" s="1363" t="s">
        <v>770</v>
      </c>
      <c r="D61" s="588" t="s">
        <v>751</v>
      </c>
      <c r="E61" s="588"/>
      <c r="F61" s="588"/>
      <c r="G61" s="588"/>
      <c r="H61" s="588"/>
      <c r="I61" s="588"/>
      <c r="J61" s="644">
        <v>50</v>
      </c>
      <c r="K61" s="595"/>
      <c r="M61" s="590"/>
    </row>
    <row r="62" spans="1:13" ht="13">
      <c r="A62" s="573"/>
      <c r="B62" s="1618" t="s">
        <v>771</v>
      </c>
      <c r="D62" s="588" t="s">
        <v>1198</v>
      </c>
      <c r="E62" s="588"/>
      <c r="F62" s="588"/>
      <c r="G62" s="588"/>
      <c r="H62" s="589"/>
      <c r="I62" s="588"/>
      <c r="J62" s="644">
        <v>51</v>
      </c>
      <c r="K62" s="595"/>
      <c r="M62" s="590"/>
    </row>
    <row r="63" spans="1:13" ht="13">
      <c r="A63" s="573"/>
      <c r="B63" s="1618" t="s">
        <v>772</v>
      </c>
      <c r="D63" s="588" t="s">
        <v>752</v>
      </c>
      <c r="E63" s="588"/>
      <c r="F63" s="588"/>
      <c r="G63" s="588"/>
      <c r="H63" s="589"/>
      <c r="I63" s="588"/>
      <c r="J63" s="644">
        <v>52</v>
      </c>
      <c r="K63" s="595"/>
      <c r="M63" s="590"/>
    </row>
    <row r="64" spans="1:13" ht="13">
      <c r="A64" s="573"/>
      <c r="B64" s="1364" t="s">
        <v>773</v>
      </c>
      <c r="D64" s="588" t="s">
        <v>1139</v>
      </c>
      <c r="E64" s="588"/>
      <c r="F64" s="588"/>
      <c r="G64" s="588"/>
      <c r="H64" s="589"/>
      <c r="I64" s="588"/>
      <c r="J64" s="644">
        <v>56</v>
      </c>
      <c r="K64" s="595"/>
      <c r="M64" s="590"/>
    </row>
    <row r="65" spans="1:13" ht="13.4" customHeight="1">
      <c r="A65" s="573"/>
      <c r="B65" s="1364" t="s">
        <v>1333</v>
      </c>
      <c r="D65" s="588" t="s">
        <v>1363</v>
      </c>
      <c r="E65" s="588"/>
      <c r="F65" s="588"/>
      <c r="G65" s="588"/>
      <c r="H65" s="589"/>
      <c r="I65" s="588"/>
      <c r="J65" s="644">
        <v>57</v>
      </c>
      <c r="K65" s="595"/>
      <c r="M65" s="590"/>
    </row>
    <row r="66" spans="1:13" ht="13.4" customHeight="1">
      <c r="A66" s="573"/>
      <c r="B66" s="1364" t="s">
        <v>1334</v>
      </c>
      <c r="D66" s="588" t="s">
        <v>1364</v>
      </c>
      <c r="E66" s="588"/>
      <c r="F66" s="588"/>
      <c r="G66" s="588"/>
      <c r="H66" s="589"/>
      <c r="I66" s="588"/>
      <c r="J66" s="644">
        <v>58</v>
      </c>
      <c r="K66" s="595"/>
      <c r="M66" s="590"/>
    </row>
    <row r="67" spans="1:13" ht="13.4" customHeight="1">
      <c r="A67" s="573"/>
      <c r="B67" s="599"/>
      <c r="D67" s="600"/>
      <c r="E67" s="600"/>
      <c r="F67" s="600"/>
      <c r="G67" s="600"/>
      <c r="H67" s="600"/>
      <c r="I67" s="600"/>
      <c r="J67" s="587"/>
      <c r="K67" s="595"/>
      <c r="M67" s="590"/>
    </row>
    <row r="68" spans="1:13" ht="13.4" customHeight="1">
      <c r="A68" s="573"/>
      <c r="B68" s="599"/>
      <c r="D68" s="600"/>
      <c r="E68" s="600"/>
      <c r="F68" s="600"/>
      <c r="G68" s="600"/>
      <c r="H68" s="600"/>
      <c r="I68" s="600"/>
      <c r="J68" s="587"/>
      <c r="K68" s="595"/>
      <c r="M68" s="590"/>
    </row>
    <row r="69" spans="1:13" ht="13.4" customHeight="1">
      <c r="A69" s="573"/>
      <c r="B69" s="599"/>
      <c r="D69" s="600"/>
      <c r="E69" s="600"/>
      <c r="F69" s="600"/>
      <c r="G69" s="600"/>
      <c r="H69" s="600"/>
      <c r="I69" s="600"/>
      <c r="J69" s="587"/>
      <c r="K69" s="595"/>
      <c r="M69" s="590"/>
    </row>
    <row r="70" spans="1:13" ht="13.4" customHeight="1">
      <c r="A70" s="573"/>
      <c r="B70" s="599"/>
      <c r="D70" s="600"/>
      <c r="E70" s="600"/>
      <c r="F70" s="600"/>
      <c r="G70" s="600"/>
      <c r="H70" s="600"/>
      <c r="I70" s="600"/>
      <c r="J70" s="587"/>
      <c r="K70" s="595"/>
      <c r="M70" s="590"/>
    </row>
    <row r="71" spans="1:13" ht="13.4" customHeight="1">
      <c r="A71" s="573"/>
      <c r="B71" s="599"/>
      <c r="D71" s="600"/>
      <c r="E71" s="600"/>
      <c r="F71" s="600"/>
      <c r="G71" s="600"/>
      <c r="H71" s="600"/>
      <c r="I71" s="600"/>
      <c r="J71" s="587"/>
      <c r="K71" s="595"/>
      <c r="M71" s="590"/>
    </row>
    <row r="72" spans="1:13" ht="13.4" customHeight="1">
      <c r="A72" s="573"/>
      <c r="B72" s="599"/>
      <c r="D72" s="600"/>
      <c r="E72" s="600"/>
      <c r="F72" s="600"/>
      <c r="G72" s="600"/>
      <c r="H72" s="600"/>
      <c r="I72" s="600"/>
      <c r="J72" s="587"/>
      <c r="K72" s="595"/>
      <c r="M72" s="590"/>
    </row>
    <row r="73" spans="1:13" ht="13.4" customHeight="1">
      <c r="A73" s="573"/>
      <c r="B73" s="599"/>
      <c r="D73" s="600"/>
      <c r="E73" s="600"/>
      <c r="F73" s="600"/>
      <c r="G73" s="600"/>
      <c r="H73" s="600"/>
      <c r="I73" s="600"/>
      <c r="J73" s="587"/>
      <c r="K73" s="595"/>
      <c r="M73" s="590"/>
    </row>
    <row r="74" spans="1:13" ht="13.4" customHeight="1">
      <c r="A74" s="573"/>
      <c r="B74" s="599"/>
      <c r="D74" s="600"/>
      <c r="E74" s="600"/>
      <c r="F74" s="600"/>
      <c r="G74" s="600"/>
      <c r="H74" s="600"/>
      <c r="I74" s="600"/>
      <c r="J74" s="587"/>
      <c r="K74" s="595"/>
      <c r="M74" s="590"/>
    </row>
    <row r="75" spans="1:13" ht="13.4" customHeight="1">
      <c r="A75" s="573"/>
      <c r="B75" s="599"/>
      <c r="D75" s="600"/>
      <c r="E75" s="600"/>
      <c r="F75" s="600"/>
      <c r="G75" s="600"/>
      <c r="H75" s="600"/>
      <c r="I75" s="600"/>
      <c r="J75" s="587"/>
      <c r="K75" s="595"/>
      <c r="M75" s="590"/>
    </row>
    <row r="76" spans="1:13" ht="13.4" customHeight="1">
      <c r="A76" s="573"/>
      <c r="B76" s="599"/>
      <c r="D76" s="600"/>
      <c r="E76" s="600"/>
      <c r="F76" s="600"/>
      <c r="G76" s="600"/>
      <c r="H76" s="600"/>
      <c r="I76" s="600"/>
      <c r="J76" s="587"/>
      <c r="K76" s="595"/>
      <c r="M76" s="590"/>
    </row>
    <row r="77" spans="1:13" ht="13.4" customHeight="1">
      <c r="A77" s="573"/>
      <c r="B77" s="599"/>
      <c r="D77" s="600"/>
      <c r="E77" s="600"/>
      <c r="F77" s="600"/>
      <c r="G77" s="600"/>
      <c r="H77" s="600"/>
      <c r="I77" s="600"/>
      <c r="J77" s="587"/>
      <c r="K77" s="595"/>
      <c r="M77" s="590"/>
    </row>
    <row r="78" spans="1:13" ht="13.4" customHeight="1">
      <c r="A78" s="573"/>
      <c r="B78" s="599"/>
      <c r="D78" s="600"/>
      <c r="E78" s="600"/>
      <c r="F78" s="600"/>
      <c r="G78" s="600"/>
      <c r="H78" s="600"/>
      <c r="I78" s="600"/>
      <c r="J78" s="587"/>
      <c r="K78" s="595"/>
      <c r="M78" s="590"/>
    </row>
    <row r="79" spans="1:13" ht="13.4" customHeight="1">
      <c r="A79" s="573"/>
      <c r="B79" s="599"/>
      <c r="D79" s="600"/>
      <c r="E79" s="600"/>
      <c r="F79" s="600"/>
      <c r="G79" s="600"/>
      <c r="H79" s="600"/>
      <c r="I79" s="600"/>
      <c r="J79" s="587"/>
      <c r="K79" s="595"/>
      <c r="M79" s="590"/>
    </row>
    <row r="80" spans="1:13" ht="13.4" customHeight="1">
      <c r="A80" s="573"/>
      <c r="B80" s="599"/>
      <c r="D80" s="600"/>
      <c r="E80" s="600"/>
      <c r="F80" s="600"/>
      <c r="G80" s="600"/>
      <c r="H80" s="600"/>
      <c r="I80" s="600"/>
      <c r="J80" s="587"/>
      <c r="K80" s="595"/>
      <c r="M80" s="590"/>
    </row>
    <row r="81" spans="1:13" ht="13.4" customHeight="1">
      <c r="A81" s="573"/>
      <c r="B81" s="599"/>
      <c r="D81" s="600"/>
      <c r="E81" s="600"/>
      <c r="F81" s="600"/>
      <c r="G81" s="600"/>
      <c r="H81" s="600"/>
      <c r="I81" s="600"/>
      <c r="J81" s="587"/>
      <c r="K81" s="595"/>
      <c r="M81" s="590"/>
    </row>
    <row r="82" spans="1:13" ht="13.4" customHeight="1">
      <c r="A82" s="573"/>
      <c r="B82" s="599"/>
      <c r="D82" s="600"/>
      <c r="E82" s="600"/>
      <c r="F82" s="600"/>
      <c r="G82" s="600"/>
      <c r="H82" s="600"/>
      <c r="I82" s="600"/>
      <c r="J82" s="587"/>
      <c r="K82" s="595"/>
      <c r="M82" s="590"/>
    </row>
    <row r="83" spans="1:13" ht="13.4" customHeight="1">
      <c r="A83" s="573"/>
      <c r="B83" s="599"/>
      <c r="D83" s="600"/>
      <c r="E83" s="600"/>
      <c r="F83" s="600"/>
      <c r="G83" s="600"/>
      <c r="H83" s="600"/>
      <c r="I83" s="600"/>
      <c r="J83" s="587"/>
      <c r="K83" s="595"/>
      <c r="M83" s="590"/>
    </row>
    <row r="84" spans="1:13" ht="13.4" customHeight="1">
      <c r="A84" s="573"/>
      <c r="B84" s="599"/>
      <c r="D84" s="600"/>
      <c r="E84" s="600"/>
      <c r="F84" s="600"/>
      <c r="G84" s="600"/>
      <c r="H84" s="600"/>
      <c r="I84" s="600"/>
      <c r="J84" s="587"/>
      <c r="K84" s="595"/>
      <c r="M84" s="590"/>
    </row>
    <row r="85" spans="1:13" ht="13.4" customHeight="1">
      <c r="A85" s="573"/>
      <c r="B85" s="599"/>
      <c r="D85" s="600"/>
      <c r="E85" s="600"/>
      <c r="F85" s="600"/>
      <c r="G85" s="600"/>
      <c r="H85" s="600"/>
      <c r="I85" s="600"/>
      <c r="J85" s="587"/>
      <c r="K85" s="595"/>
      <c r="M85" s="590"/>
    </row>
    <row r="86" spans="1:13" ht="13.4" customHeight="1">
      <c r="A86" s="573"/>
      <c r="B86" s="599"/>
      <c r="D86" s="600"/>
      <c r="E86" s="600"/>
      <c r="F86" s="600"/>
      <c r="G86" s="600"/>
      <c r="H86" s="600"/>
      <c r="I86" s="600"/>
      <c r="J86" s="587"/>
      <c r="K86" s="595"/>
      <c r="M86" s="590"/>
    </row>
    <row r="87" spans="1:13" ht="13.4" customHeight="1">
      <c r="A87" s="573"/>
      <c r="B87" s="599"/>
      <c r="D87" s="600"/>
      <c r="E87" s="600"/>
      <c r="F87" s="600"/>
      <c r="G87" s="600"/>
      <c r="H87" s="600"/>
      <c r="I87" s="600"/>
      <c r="J87" s="587"/>
      <c r="K87" s="595"/>
      <c r="M87" s="590"/>
    </row>
    <row r="88" spans="1:13" ht="13.4" customHeight="1">
      <c r="A88" s="573"/>
      <c r="B88" s="599"/>
      <c r="D88" s="600"/>
      <c r="E88" s="600"/>
      <c r="F88" s="600"/>
      <c r="G88" s="600"/>
      <c r="H88" s="600"/>
      <c r="I88" s="600"/>
      <c r="J88" s="587"/>
      <c r="K88" s="595"/>
      <c r="M88" s="590"/>
    </row>
    <row r="89" spans="1:13" ht="13.4" customHeight="1">
      <c r="A89" s="573"/>
      <c r="B89" s="599"/>
      <c r="D89" s="600"/>
      <c r="E89" s="600"/>
      <c r="F89" s="600"/>
      <c r="G89" s="600"/>
      <c r="H89" s="600"/>
      <c r="I89" s="600"/>
      <c r="J89" s="587"/>
      <c r="K89" s="595"/>
      <c r="M89" s="590"/>
    </row>
    <row r="90" spans="1:13" ht="13.4" customHeight="1">
      <c r="A90" s="573"/>
      <c r="B90" s="599"/>
      <c r="D90" s="600"/>
      <c r="E90" s="600"/>
      <c r="F90" s="600"/>
      <c r="G90" s="600"/>
      <c r="H90" s="600"/>
      <c r="I90" s="600"/>
      <c r="J90" s="587"/>
      <c r="K90" s="595"/>
      <c r="M90" s="590"/>
    </row>
    <row r="91" spans="1:13" ht="13.4" customHeight="1">
      <c r="A91" s="573"/>
      <c r="B91" s="599"/>
      <c r="D91" s="600"/>
      <c r="E91" s="600"/>
      <c r="F91" s="600"/>
      <c r="G91" s="600"/>
      <c r="H91" s="600"/>
      <c r="I91" s="600"/>
      <c r="J91" s="587"/>
      <c r="K91" s="595"/>
      <c r="M91" s="590"/>
    </row>
    <row r="92" spans="1:13" ht="13.4" customHeight="1">
      <c r="A92" s="573"/>
      <c r="B92" s="599"/>
      <c r="D92" s="600"/>
      <c r="E92" s="600"/>
      <c r="F92" s="600"/>
      <c r="G92" s="600"/>
      <c r="H92" s="600"/>
      <c r="I92" s="600"/>
      <c r="J92" s="587"/>
      <c r="M92" s="590"/>
    </row>
    <row r="93" spans="1:13" ht="13.4" customHeight="1">
      <c r="A93" s="573"/>
      <c r="B93" s="599"/>
      <c r="D93" s="600"/>
      <c r="E93" s="600"/>
      <c r="F93" s="600"/>
      <c r="G93" s="600"/>
      <c r="H93" s="600"/>
      <c r="I93" s="600"/>
      <c r="J93" s="587"/>
      <c r="M93" s="590"/>
    </row>
    <row r="94" spans="1:13" ht="13.4" customHeight="1">
      <c r="A94" s="573"/>
      <c r="B94" s="599"/>
      <c r="D94" s="600"/>
      <c r="E94" s="600"/>
      <c r="F94" s="600"/>
      <c r="G94" s="600"/>
      <c r="H94" s="600"/>
      <c r="I94" s="600"/>
      <c r="J94" s="587"/>
      <c r="M94" s="590"/>
    </row>
    <row r="95" spans="1:13" ht="13.4" customHeight="1">
      <c r="A95" s="573"/>
      <c r="B95" s="599"/>
      <c r="D95" s="600"/>
      <c r="E95" s="600"/>
      <c r="F95" s="600"/>
      <c r="G95" s="600"/>
      <c r="H95" s="600"/>
      <c r="I95" s="600"/>
      <c r="J95" s="587"/>
      <c r="M95" s="590"/>
    </row>
    <row r="96" spans="1:13" ht="13.4" customHeight="1">
      <c r="A96" s="573"/>
      <c r="B96" s="599"/>
      <c r="D96" s="600"/>
      <c r="E96" s="600"/>
      <c r="F96" s="600"/>
      <c r="G96" s="600"/>
      <c r="H96" s="600"/>
      <c r="I96" s="600"/>
      <c r="J96" s="587"/>
      <c r="M96" s="590"/>
    </row>
    <row r="97" spans="1:13" ht="13.4" customHeight="1">
      <c r="A97" s="573"/>
      <c r="B97" s="599"/>
      <c r="D97" s="600"/>
      <c r="E97" s="600"/>
      <c r="F97" s="600"/>
      <c r="G97" s="600"/>
      <c r="H97" s="600"/>
      <c r="I97" s="600"/>
      <c r="J97" s="587"/>
      <c r="M97" s="590"/>
    </row>
    <row r="98" spans="1:13" ht="13.4" customHeight="1">
      <c r="A98" s="573"/>
      <c r="B98" s="599"/>
      <c r="D98" s="600"/>
      <c r="E98" s="600"/>
      <c r="F98" s="600"/>
      <c r="G98" s="600"/>
      <c r="H98" s="600"/>
      <c r="I98" s="600"/>
      <c r="J98" s="587"/>
      <c r="M98" s="590"/>
    </row>
    <row r="99" spans="1:13" ht="13.4" customHeight="1">
      <c r="A99" s="573"/>
      <c r="B99" s="599"/>
      <c r="D99" s="600"/>
      <c r="E99" s="600"/>
      <c r="F99" s="600"/>
      <c r="G99" s="600"/>
      <c r="H99" s="600"/>
      <c r="I99" s="600"/>
      <c r="J99" s="587"/>
      <c r="M99" s="590"/>
    </row>
    <row r="100" spans="1:13" ht="13.4" customHeight="1">
      <c r="A100" s="573"/>
      <c r="B100" s="599"/>
      <c r="D100" s="600"/>
      <c r="E100" s="600"/>
      <c r="F100" s="600"/>
      <c r="G100" s="600"/>
      <c r="H100" s="600"/>
      <c r="I100" s="600"/>
      <c r="J100" s="587"/>
      <c r="M100" s="590"/>
    </row>
    <row r="101" spans="1:13">
      <c r="A101" s="595"/>
      <c r="B101" s="601"/>
      <c r="C101" s="595"/>
      <c r="D101" s="595"/>
      <c r="E101" s="595"/>
      <c r="F101" s="595"/>
      <c r="G101" s="595"/>
      <c r="H101" s="595"/>
      <c r="I101" s="595"/>
      <c r="J101" s="603"/>
    </row>
    <row r="102" spans="1:13">
      <c r="B102" s="599"/>
      <c r="J102" s="602"/>
    </row>
    <row r="103" spans="1:13">
      <c r="B103" s="599"/>
      <c r="J103" s="602"/>
    </row>
    <row r="104" spans="1:13">
      <c r="B104" s="599"/>
    </row>
    <row r="105" spans="1:13">
      <c r="B105" s="599"/>
    </row>
    <row r="106" spans="1:13">
      <c r="B106" s="599"/>
    </row>
    <row r="107" spans="1:13">
      <c r="B107" s="599"/>
    </row>
    <row r="108" spans="1:13">
      <c r="B108" s="599"/>
    </row>
    <row r="109" spans="1:13">
      <c r="B109" s="599"/>
    </row>
  </sheetData>
  <hyperlinks>
    <hyperlink ref="B16" location="'Exhibit A'!A1" display="Exhibit A" xr:uid="{00000000-0004-0000-0000-000000000000}"/>
    <hyperlink ref="B17" location="'Exh A Supp'!A1" display="Exhibit A Supplemental " xr:uid="{00000000-0004-0000-0000-000001000000}"/>
    <hyperlink ref="B18" location="Footnotes!A1" display="Exhibit A Footnotes" xr:uid="{00000000-0004-0000-0000-000002000000}"/>
    <hyperlink ref="B19" location="'Exh B'!A1" display="Exhibit B" xr:uid="{00000000-0004-0000-0000-000003000000}"/>
    <hyperlink ref="B20" location="'Exh C'!A1" display="Exhibit C" xr:uid="{00000000-0004-0000-0000-000004000000}"/>
    <hyperlink ref="B21" location="'Exh D-Governmental  '!A1" display="Exhibit D    " xr:uid="{00000000-0004-0000-0000-000005000000}"/>
    <hyperlink ref="B22" location="'Exh D State Operating'!A1" display="Exhibit D State Operating" xr:uid="{00000000-0004-0000-0000-000006000000}"/>
    <hyperlink ref="B23" location="'Exh D General Fund'!A1" display="Exhibit D General Fund" xr:uid="{00000000-0004-0000-0000-000007000000}"/>
    <hyperlink ref="B29" location="'EXHIBIT E '!A1" display="Exhibit E" xr:uid="{00000000-0004-0000-0000-000008000000}"/>
    <hyperlink ref="B30" location="'Cashflow Governmental'!A1" display="Cash Flow - Governmental" xr:uid="{00000000-0004-0000-0000-000009000000}"/>
    <hyperlink ref="B36" location="'Exhibit F'!A1" display="Exhibit F" xr:uid="{00000000-0004-0000-0000-00000A000000}"/>
    <hyperlink ref="B37" location="'Exhibit G'!A1" display="Exhibit G" xr:uid="{00000000-0004-0000-0000-00000B000000}"/>
    <hyperlink ref="B38" location="'Exhibit G state'!A1" display="Exhibit G State" xr:uid="{00000000-0004-0000-0000-00000C000000}"/>
    <hyperlink ref="B39" location="'Exhibit G Federal'!A1" display="Exhibit G Federal" xr:uid="{00000000-0004-0000-0000-00000D000000}"/>
    <hyperlink ref="B40" location="'Exhibit H'!A1" display="Exhibit H" xr:uid="{00000000-0004-0000-0000-00000E000000}"/>
    <hyperlink ref="B41" location="'Exhibit I'!A1" display="Exhibit I" xr:uid="{00000000-0004-0000-0000-00000F000000}"/>
    <hyperlink ref="B42" location="'Exhibit I State'!A1" display="Exhibit I State" xr:uid="{00000000-0004-0000-0000-000010000000}"/>
    <hyperlink ref="B43" location="'Exhibit I Federal'!A1" display="Exhibit I Federal" xr:uid="{00000000-0004-0000-0000-000011000000}"/>
    <hyperlink ref="B44" location="'Exhibit J'!A1" display="Exhibit J" xr:uid="{00000000-0004-0000-0000-000012000000}"/>
    <hyperlink ref="B45" location="'Exhibit K'!A1" display="Exhibit K" xr:uid="{00000000-0004-0000-0000-000013000000}"/>
    <hyperlink ref="B46" location="'EXHIBIT L'!A1" display="Exhibit L" xr:uid="{00000000-0004-0000-0000-000014000000}"/>
    <hyperlink ref="B47" location="'EXHIBIT M'!A1" display="Exhibit M" xr:uid="{00000000-0004-0000-0000-000015000000}"/>
    <hyperlink ref="B51" location="'Sch 1 '!A1" display="Schedule 1" xr:uid="{00000000-0004-0000-0000-000016000000}"/>
    <hyperlink ref="B52" location="'Sch 2 '!A1" display="Schedule 2" xr:uid="{00000000-0004-0000-0000-000017000000}"/>
    <hyperlink ref="B53" location="'Sch 3 '!A1" display="Schedule 3" xr:uid="{00000000-0004-0000-0000-000018000000}"/>
    <hyperlink ref="B54" location="'Sch 4'!A1" display="Schedule 4" xr:uid="{00000000-0004-0000-0000-000019000000}"/>
    <hyperlink ref="B55" location="'Sch 5 '!A1" display="Schedule 5" xr:uid="{00000000-0004-0000-0000-00001A000000}"/>
    <hyperlink ref="B56" location="'Sch 5a'!A1" display="Schedule 5a" xr:uid="{00000000-0004-0000-0000-00001B000000}"/>
    <hyperlink ref="B57" location="'Sch 6'!A1" display="Schedule 6" xr:uid="{00000000-0004-0000-0000-00001C000000}"/>
    <hyperlink ref="B58" location="'HCRA '!A1" display="Appendix A " xr:uid="{00000000-0004-0000-0000-00001D000000}"/>
    <hyperlink ref="B59" location="'HCRA PROG DISB'!A1" display="Appendix B" xr:uid="{00000000-0004-0000-0000-00001E000000}"/>
    <hyperlink ref="B60" location="'Public Goods '!A1" display="Appendix D" xr:uid="{00000000-0004-0000-0000-00001F000000}"/>
    <hyperlink ref="B61" location="'Medicaid Disp Share'!B1" display="Appendix E" xr:uid="{00000000-0004-0000-0000-000020000000}"/>
    <hyperlink ref="B62" location="'Appendix E'!A1" display="Appendix E" xr:uid="{00000000-0004-0000-0000-000021000000}"/>
    <hyperlink ref="B63" location="'Appendix F'!D1" display="Appendix F" xr:uid="{00000000-0004-0000-0000-000022000000}"/>
    <hyperlink ref="B31" location="'Cash Flow State Operating'!A1" display="Cash Flow - State Operating" xr:uid="{00000000-0004-0000-0000-000023000000}"/>
    <hyperlink ref="B25" location="'Exh D Special Revenue State Fed'!A1" display="Exhibit D Special Revenue State/Federal" xr:uid="{00000000-0004-0000-0000-000024000000}"/>
    <hyperlink ref="B26" location="'Exh D Debt Service'!A1" display="Exhibit D Debt" xr:uid="{00000000-0004-0000-0000-000025000000}"/>
    <hyperlink ref="B28" location="'Exh D Captl Projects State Fed'!A1" display="Exhibit D Capital Projects State/Federal" xr:uid="{00000000-0004-0000-0000-000026000000}"/>
    <hyperlink ref="B24" location="'Exh D Special Revenue'!A1" display="Exhibit D Special Revenue" xr:uid="{00000000-0004-0000-0000-000027000000}"/>
    <hyperlink ref="B27" location="'Exh D Capital Projects'!A1" display="Exhibit D Capital Projects" xr:uid="{00000000-0004-0000-0000-000028000000}"/>
    <hyperlink ref="B64" location="'Appendix G'!A1" display="Appendix G" xr:uid="{00000000-0004-0000-0000-000029000000}"/>
    <hyperlink ref="B65" location="'Appendix H'!A1" display="Appendix H" xr:uid="{00000000-0004-0000-0000-00002A000000}"/>
    <hyperlink ref="B66" location="'Appendix I'!A1" display="Appendix I" xr:uid="{00000000-0004-0000-0000-00002B000000}"/>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A1:AH50"/>
  <sheetViews>
    <sheetView showGridLines="0" zoomScale="90" zoomScaleNormal="70" workbookViewId="0"/>
  </sheetViews>
  <sheetFormatPr defaultColWidth="8.84375" defaultRowHeight="15.5"/>
  <cols>
    <col min="1" max="1" width="50.07421875" style="920" customWidth="1"/>
    <col min="2" max="2" width="3.84375" style="613" customWidth="1"/>
    <col min="3" max="3" width="16.84375" style="613" customWidth="1"/>
    <col min="4" max="4" width="1.53515625" style="613" customWidth="1"/>
    <col min="5" max="5" width="16.4609375" style="422" customWidth="1"/>
    <col min="6" max="6" width="3.07421875" style="924" customWidth="1"/>
    <col min="7" max="7" width="14.07421875" style="924" customWidth="1"/>
    <col min="8" max="8" width="2.07421875" style="924" customWidth="1"/>
    <col min="9" max="9" width="14.07421875" style="924" customWidth="1"/>
    <col min="10" max="10" width="1.07421875" style="924" customWidth="1"/>
    <col min="11" max="11" width="14.07421875" style="924" customWidth="1"/>
    <col min="12" max="12" width="1.07421875" style="924" customWidth="1"/>
    <col min="13" max="13" width="16.07421875" style="924" customWidth="1"/>
    <col min="14" max="14" width="1.53515625" style="613" customWidth="1"/>
    <col min="15" max="15" width="12.53515625" style="613" customWidth="1"/>
    <col min="16" max="16" width="11.4609375" style="613" customWidth="1"/>
    <col min="17" max="17" width="1.84375" style="613" customWidth="1"/>
    <col min="18" max="18" width="11.84375" style="613" customWidth="1"/>
    <col min="19" max="19" width="2.07421875" style="613" customWidth="1"/>
    <col min="20" max="20" width="11.4609375" style="613" customWidth="1"/>
    <col min="21" max="21" width="0.53515625" style="613" customWidth="1"/>
    <col min="22" max="22" width="2.07421875" style="613" customWidth="1"/>
    <col min="23" max="23" width="10.53515625" style="613" customWidth="1"/>
    <col min="24" max="24" width="11.07421875" style="613" customWidth="1"/>
    <col min="25" max="25" width="2.07421875" style="613" customWidth="1"/>
    <col min="26" max="26" width="11.07421875" style="613" customWidth="1"/>
    <col min="27" max="27" width="2.07421875" style="613" customWidth="1"/>
    <col min="28" max="28" width="12.4609375" style="613" customWidth="1"/>
    <col min="29" max="33" width="8.84375" style="613"/>
    <col min="34" max="34" width="8.84375" style="924"/>
    <col min="35" max="16384" width="8.84375" style="920"/>
  </cols>
  <sheetData>
    <row r="1" spans="1:28">
      <c r="A1" s="635" t="s">
        <v>882</v>
      </c>
      <c r="B1" s="183"/>
      <c r="C1" s="183"/>
      <c r="D1" s="183"/>
      <c r="E1" s="416"/>
      <c r="F1" s="184"/>
      <c r="G1" s="184"/>
      <c r="H1" s="184"/>
      <c r="I1" s="184"/>
      <c r="J1" s="184"/>
      <c r="K1" s="184"/>
      <c r="L1" s="184"/>
      <c r="M1" s="184"/>
      <c r="N1" s="184"/>
      <c r="O1" s="183"/>
      <c r="P1" s="183"/>
      <c r="Q1" s="183"/>
      <c r="R1" s="183"/>
      <c r="S1" s="183"/>
      <c r="T1" s="183"/>
      <c r="U1" s="183"/>
      <c r="V1" s="183"/>
      <c r="W1" s="183"/>
      <c r="X1" s="183"/>
      <c r="Y1" s="183"/>
      <c r="Z1" s="183"/>
      <c r="AA1" s="183"/>
      <c r="AB1" s="183"/>
    </row>
    <row r="2" spans="1:28" ht="17.25" customHeight="1">
      <c r="A2" s="185"/>
      <c r="B2" s="183"/>
      <c r="C2" s="183"/>
      <c r="D2" s="183"/>
      <c r="E2" s="416"/>
      <c r="F2" s="184"/>
      <c r="G2" s="187"/>
      <c r="H2" s="187"/>
      <c r="I2" s="187"/>
      <c r="J2" s="187"/>
      <c r="K2" s="187"/>
      <c r="L2" s="184"/>
      <c r="M2" s="184"/>
      <c r="N2" s="184"/>
      <c r="O2" s="183"/>
      <c r="P2" s="183"/>
      <c r="Q2" s="183"/>
      <c r="R2" s="183"/>
      <c r="S2" s="183"/>
      <c r="T2" s="183"/>
      <c r="U2" s="183"/>
      <c r="V2" s="183"/>
      <c r="W2" s="183"/>
      <c r="X2" s="183"/>
      <c r="Y2" s="183"/>
      <c r="Z2" s="183"/>
      <c r="AA2" s="183"/>
      <c r="AB2" s="183"/>
    </row>
    <row r="3" spans="1:28" ht="17.25" customHeight="1">
      <c r="A3" s="188" t="s">
        <v>0</v>
      </c>
      <c r="B3" s="153"/>
      <c r="C3" s="153"/>
      <c r="D3" s="153"/>
      <c r="E3" s="419"/>
      <c r="F3" s="140"/>
      <c r="G3" s="140"/>
      <c r="H3" s="140"/>
      <c r="I3" s="140"/>
      <c r="J3" s="140"/>
      <c r="K3" s="140"/>
      <c r="L3" s="140"/>
      <c r="M3" s="811"/>
      <c r="N3" s="140"/>
      <c r="O3" s="811" t="s">
        <v>82</v>
      </c>
      <c r="P3" s="153"/>
      <c r="Q3" s="153"/>
      <c r="R3" s="153"/>
      <c r="S3" s="153"/>
      <c r="T3" s="153"/>
      <c r="U3" s="153"/>
      <c r="V3" s="153"/>
      <c r="W3" s="153"/>
      <c r="X3" s="153"/>
      <c r="Y3" s="153"/>
      <c r="Z3" s="153"/>
      <c r="AA3" s="153"/>
      <c r="AB3" s="189"/>
    </row>
    <row r="4" spans="1:28" ht="17.25" customHeight="1">
      <c r="A4" s="188" t="s">
        <v>81</v>
      </c>
      <c r="B4" s="153"/>
      <c r="C4" s="153"/>
      <c r="D4" s="153"/>
      <c r="E4" s="419"/>
      <c r="F4" s="140"/>
      <c r="G4" s="140"/>
      <c r="H4" s="140"/>
      <c r="I4" s="140"/>
      <c r="J4" s="140"/>
      <c r="K4" s="140"/>
      <c r="L4" s="140"/>
      <c r="M4" s="812"/>
      <c r="N4" s="140"/>
      <c r="O4" s="812"/>
      <c r="P4" s="153"/>
      <c r="Q4" s="153"/>
      <c r="R4" s="153"/>
      <c r="S4" s="153"/>
      <c r="T4" s="153"/>
      <c r="U4" s="153"/>
      <c r="V4" s="153"/>
      <c r="W4" s="153"/>
      <c r="X4" s="153"/>
      <c r="Y4" s="153"/>
      <c r="Z4" s="153"/>
      <c r="AA4" s="153"/>
      <c r="AB4" s="153"/>
    </row>
    <row r="5" spans="1:28" ht="17.25" customHeight="1">
      <c r="A5" s="3957" t="str">
        <f>'Exh D-Governmental  '!A5:E5</f>
        <v>FISCAL YEAR 2021-2022</v>
      </c>
      <c r="B5" s="3958"/>
      <c r="C5" s="3958"/>
      <c r="D5" s="3958"/>
      <c r="E5" s="3958"/>
      <c r="F5" s="140"/>
      <c r="G5" s="140"/>
      <c r="H5" s="140"/>
      <c r="I5" s="140"/>
      <c r="J5" s="140"/>
      <c r="K5" s="140"/>
      <c r="L5" s="140"/>
      <c r="M5" s="140"/>
      <c r="N5" s="140"/>
      <c r="O5" s="153"/>
      <c r="P5" s="153"/>
      <c r="Q5" s="153"/>
      <c r="R5" s="153"/>
      <c r="S5" s="153"/>
      <c r="T5" s="153"/>
      <c r="U5" s="153"/>
      <c r="V5" s="153"/>
      <c r="W5" s="153"/>
      <c r="X5" s="153"/>
      <c r="Y5" s="153"/>
      <c r="Z5" s="153"/>
      <c r="AA5" s="153"/>
      <c r="AB5" s="153"/>
    </row>
    <row r="6" spans="1:28" ht="17.25" customHeight="1">
      <c r="A6" s="1459" t="str">
        <f>+'Exh D-Governmental  '!A6</f>
        <v xml:space="preserve">FOR SIX MONTHS ENDED SEPTEMBER 30, 2021    </v>
      </c>
      <c r="B6" s="153"/>
      <c r="C6" s="153"/>
      <c r="D6" s="153"/>
      <c r="E6" s="419"/>
      <c r="F6" s="140"/>
      <c r="G6" s="140"/>
      <c r="H6" s="140"/>
      <c r="I6" s="140"/>
      <c r="J6" s="140"/>
      <c r="K6" s="140"/>
      <c r="L6" s="140"/>
      <c r="M6" s="140"/>
      <c r="N6" s="140"/>
      <c r="O6" s="153"/>
      <c r="P6" s="153"/>
      <c r="Q6" s="153"/>
      <c r="R6" s="153"/>
      <c r="S6" s="153"/>
      <c r="T6" s="153"/>
      <c r="U6" s="153"/>
      <c r="V6" s="153"/>
      <c r="W6" s="153"/>
      <c r="X6" s="153"/>
      <c r="Y6" s="153"/>
      <c r="Z6" s="153"/>
      <c r="AA6" s="153"/>
      <c r="AB6" s="153"/>
    </row>
    <row r="7" spans="1:28" ht="18">
      <c r="A7" s="188" t="s">
        <v>1278</v>
      </c>
      <c r="B7" s="153"/>
      <c r="C7" s="153"/>
      <c r="D7" s="153"/>
      <c r="E7" s="419"/>
      <c r="F7" s="140"/>
      <c r="G7" s="140"/>
      <c r="H7" s="140"/>
      <c r="I7" s="140"/>
      <c r="J7" s="140"/>
      <c r="K7" s="140"/>
      <c r="L7" s="140"/>
      <c r="M7" s="140"/>
      <c r="N7" s="140"/>
      <c r="O7" s="153"/>
      <c r="P7" s="153"/>
      <c r="Q7" s="153"/>
      <c r="R7" s="153"/>
      <c r="S7" s="153"/>
      <c r="T7" s="153"/>
      <c r="U7" s="153"/>
      <c r="V7" s="153"/>
      <c r="W7" s="153"/>
      <c r="X7" s="153"/>
      <c r="Y7" s="153"/>
      <c r="Z7" s="153"/>
      <c r="AA7" s="153"/>
      <c r="AB7" s="153"/>
    </row>
    <row r="8" spans="1:28" ht="15" customHeight="1">
      <c r="A8" s="190"/>
      <c r="B8" s="153"/>
      <c r="C8" s="153"/>
      <c r="D8" s="153"/>
      <c r="E8" s="419"/>
      <c r="F8" s="140"/>
      <c r="G8" s="140"/>
      <c r="H8" s="140"/>
      <c r="I8" s="140"/>
      <c r="J8" s="140"/>
      <c r="K8" s="140"/>
      <c r="L8" s="140"/>
      <c r="M8" s="140"/>
      <c r="N8" s="140"/>
      <c r="O8" s="153"/>
      <c r="P8" s="153"/>
      <c r="Q8" s="153"/>
      <c r="R8" s="153"/>
      <c r="S8" s="153"/>
      <c r="T8" s="153"/>
      <c r="U8" s="153"/>
      <c r="V8" s="153"/>
      <c r="W8" s="153"/>
      <c r="X8" s="153"/>
      <c r="Y8" s="153"/>
      <c r="Z8" s="153"/>
      <c r="AA8" s="153"/>
      <c r="AB8" s="153"/>
    </row>
    <row r="9" spans="1:28">
      <c r="A9" s="147"/>
      <c r="B9" s="153"/>
      <c r="C9" s="153"/>
      <c r="D9" s="153"/>
      <c r="E9" s="419"/>
      <c r="F9" s="140"/>
      <c r="G9" s="140"/>
      <c r="H9" s="140"/>
      <c r="I9" s="140"/>
      <c r="J9" s="140"/>
      <c r="K9" s="140"/>
      <c r="L9" s="140"/>
      <c r="M9" s="140"/>
      <c r="N9" s="140"/>
      <c r="O9" s="153"/>
      <c r="P9" s="153"/>
      <c r="Q9" s="153"/>
      <c r="R9" s="153"/>
      <c r="S9" s="153"/>
      <c r="T9" s="153"/>
      <c r="U9" s="153"/>
      <c r="V9" s="153"/>
      <c r="W9" s="153"/>
      <c r="X9" s="153"/>
      <c r="Y9" s="153"/>
      <c r="Z9" s="153"/>
      <c r="AA9" s="153"/>
      <c r="AB9" s="153"/>
    </row>
    <row r="10" spans="1:28">
      <c r="A10" s="147"/>
      <c r="B10" s="153"/>
      <c r="C10" s="153"/>
      <c r="D10" s="153"/>
      <c r="E10" s="418"/>
      <c r="F10" s="145"/>
      <c r="G10" s="145"/>
      <c r="H10" s="145"/>
      <c r="I10" s="145"/>
      <c r="J10" s="145"/>
      <c r="K10" s="145"/>
      <c r="L10" s="145"/>
      <c r="M10" s="145"/>
      <c r="N10" s="140"/>
      <c r="O10" s="153"/>
      <c r="P10" s="153"/>
      <c r="Q10" s="153"/>
      <c r="R10" s="153"/>
      <c r="S10" s="153"/>
      <c r="T10" s="153"/>
      <c r="U10" s="153"/>
      <c r="V10" s="153"/>
      <c r="W10" s="153"/>
      <c r="X10" s="153"/>
      <c r="Y10" s="153"/>
      <c r="Z10" s="153"/>
      <c r="AA10" s="153"/>
      <c r="AB10" s="153"/>
    </row>
    <row r="11" spans="1:28">
      <c r="A11" s="679"/>
      <c r="C11" s="1165"/>
      <c r="D11" s="1165"/>
      <c r="E11" s="1187"/>
      <c r="F11" s="1167"/>
      <c r="G11" s="1404" t="s">
        <v>1044</v>
      </c>
      <c r="H11" s="1621"/>
      <c r="I11" s="1404"/>
      <c r="J11" s="1621"/>
      <c r="K11" s="1621"/>
      <c r="L11" s="1167"/>
      <c r="M11" s="1167"/>
      <c r="N11" s="1170"/>
      <c r="O11" s="1164"/>
      <c r="P11" s="191"/>
      <c r="Q11" s="191"/>
      <c r="R11" s="191"/>
      <c r="S11" s="191"/>
      <c r="T11" s="191"/>
      <c r="U11" s="191"/>
      <c r="V11" s="148"/>
      <c r="W11" s="191"/>
      <c r="X11" s="192"/>
      <c r="Y11" s="191"/>
      <c r="Z11" s="191"/>
      <c r="AA11" s="191"/>
      <c r="AB11" s="191"/>
    </row>
    <row r="12" spans="1:28">
      <c r="A12" s="679"/>
      <c r="E12" s="423"/>
      <c r="F12" s="193"/>
      <c r="G12" s="194"/>
      <c r="H12" s="194"/>
      <c r="I12" s="194"/>
      <c r="J12" s="194"/>
      <c r="K12" s="194"/>
      <c r="L12" s="193"/>
      <c r="M12" s="193" t="s">
        <v>83</v>
      </c>
      <c r="N12" s="148"/>
      <c r="O12" s="193" t="s">
        <v>83</v>
      </c>
      <c r="P12" s="191"/>
      <c r="Q12" s="191"/>
      <c r="R12" s="191"/>
      <c r="S12" s="191"/>
      <c r="T12" s="191"/>
      <c r="U12" s="191"/>
      <c r="V12" s="148"/>
      <c r="W12" s="191"/>
      <c r="X12" s="192"/>
      <c r="Y12" s="191"/>
      <c r="Z12" s="191"/>
      <c r="AA12" s="191"/>
      <c r="AB12" s="191"/>
    </row>
    <row r="13" spans="1:28">
      <c r="A13" s="679"/>
      <c r="E13" s="423"/>
      <c r="F13" s="193"/>
      <c r="G13" s="194"/>
      <c r="H13" s="194"/>
      <c r="I13" s="194"/>
      <c r="J13" s="194"/>
      <c r="K13" s="194"/>
      <c r="L13" s="193"/>
      <c r="M13" s="196" t="s">
        <v>795</v>
      </c>
      <c r="N13" s="148"/>
      <c r="O13" s="196" t="s">
        <v>795</v>
      </c>
      <c r="P13" s="191"/>
      <c r="Q13" s="191"/>
      <c r="R13" s="191"/>
      <c r="S13" s="191"/>
      <c r="T13" s="191"/>
      <c r="U13" s="191"/>
      <c r="V13" s="148"/>
      <c r="W13" s="191"/>
      <c r="X13" s="192"/>
      <c r="Y13" s="191"/>
      <c r="Z13" s="191"/>
      <c r="AA13" s="191"/>
      <c r="AB13" s="191"/>
    </row>
    <row r="14" spans="1:28">
      <c r="A14" s="679"/>
      <c r="B14" s="148"/>
      <c r="C14" s="151" t="s">
        <v>991</v>
      </c>
      <c r="D14" s="148"/>
      <c r="E14" s="150" t="s">
        <v>992</v>
      </c>
      <c r="F14" s="195"/>
      <c r="G14" s="195"/>
      <c r="H14" s="195"/>
      <c r="I14" s="195"/>
      <c r="J14" s="195"/>
      <c r="K14" s="195"/>
      <c r="L14" s="195"/>
      <c r="M14" s="150" t="s">
        <v>84</v>
      </c>
      <c r="N14" s="148"/>
      <c r="O14" s="150" t="s">
        <v>84</v>
      </c>
      <c r="P14" s="148"/>
      <c r="Q14" s="148"/>
      <c r="R14" s="148"/>
      <c r="S14" s="148"/>
      <c r="T14" s="197"/>
      <c r="U14" s="198"/>
      <c r="V14" s="148"/>
      <c r="W14" s="148"/>
      <c r="X14" s="148"/>
      <c r="Y14" s="148"/>
      <c r="Z14" s="148"/>
      <c r="AA14" s="148"/>
      <c r="AB14" s="197"/>
    </row>
    <row r="15" spans="1:28">
      <c r="A15" s="679"/>
      <c r="B15" s="199"/>
      <c r="C15" s="150" t="s">
        <v>1028</v>
      </c>
      <c r="D15" s="199"/>
      <c r="E15" s="150" t="s">
        <v>1028</v>
      </c>
      <c r="F15" s="149"/>
      <c r="G15" s="149"/>
      <c r="H15" s="149"/>
      <c r="I15" s="149"/>
      <c r="J15" s="149"/>
      <c r="K15" s="149"/>
      <c r="L15" s="149"/>
      <c r="M15" s="150" t="s">
        <v>991</v>
      </c>
      <c r="N15" s="148"/>
      <c r="O15" s="150" t="s">
        <v>992</v>
      </c>
      <c r="P15" s="198"/>
      <c r="Q15" s="148"/>
      <c r="R15" s="148"/>
      <c r="S15" s="148"/>
      <c r="T15" s="197"/>
      <c r="U15" s="198"/>
      <c r="V15" s="148"/>
      <c r="W15" s="197"/>
      <c r="X15" s="198"/>
      <c r="Y15" s="148"/>
      <c r="Z15" s="148"/>
      <c r="AA15" s="148"/>
      <c r="AB15" s="197"/>
    </row>
    <row r="16" spans="1:28">
      <c r="A16" s="679"/>
      <c r="B16" s="198"/>
      <c r="C16" s="1169" t="s">
        <v>1029</v>
      </c>
      <c r="D16" s="198"/>
      <c r="E16" s="196" t="s">
        <v>1544</v>
      </c>
      <c r="F16" s="149"/>
      <c r="G16" s="151" t="s">
        <v>83</v>
      </c>
      <c r="H16" s="151"/>
      <c r="I16" s="1623" t="s">
        <v>1165</v>
      </c>
      <c r="J16" s="151"/>
      <c r="K16" s="1623" t="s">
        <v>721</v>
      </c>
      <c r="L16" s="149"/>
      <c r="M16" s="150" t="s">
        <v>85</v>
      </c>
      <c r="N16" s="148"/>
      <c r="O16" s="1169" t="s">
        <v>85</v>
      </c>
      <c r="P16" s="198"/>
      <c r="Q16" s="148"/>
      <c r="R16" s="197"/>
      <c r="S16" s="148"/>
      <c r="T16" s="197"/>
      <c r="U16" s="198"/>
      <c r="V16" s="148"/>
      <c r="W16" s="198"/>
      <c r="X16" s="198"/>
      <c r="Y16" s="148"/>
      <c r="Z16" s="197"/>
      <c r="AA16" s="148"/>
      <c r="AB16" s="197"/>
    </row>
    <row r="17" spans="1:28">
      <c r="A17" s="152"/>
      <c r="B17" s="153"/>
      <c r="C17" s="153"/>
      <c r="D17" s="153"/>
      <c r="E17" s="154"/>
      <c r="F17" s="140"/>
      <c r="G17" s="154"/>
      <c r="H17" s="153"/>
      <c r="I17" s="153"/>
      <c r="J17" s="153"/>
      <c r="K17" s="153"/>
      <c r="L17" s="140"/>
      <c r="M17" s="154"/>
      <c r="N17" s="153"/>
      <c r="O17" s="153"/>
      <c r="P17" s="153"/>
      <c r="Q17" s="153"/>
      <c r="R17" s="153"/>
      <c r="S17" s="153"/>
      <c r="T17" s="153"/>
      <c r="U17" s="153"/>
      <c r="V17" s="153"/>
      <c r="W17" s="153"/>
      <c r="X17" s="153"/>
      <c r="Y17" s="153"/>
      <c r="Z17" s="153"/>
      <c r="AA17" s="153"/>
      <c r="AB17" s="153"/>
    </row>
    <row r="18" spans="1:28">
      <c r="A18" s="26" t="s">
        <v>13</v>
      </c>
      <c r="B18" s="913"/>
      <c r="C18" s="913"/>
      <c r="D18" s="913"/>
      <c r="E18" s="648"/>
      <c r="F18" s="648"/>
      <c r="G18" s="648"/>
      <c r="H18" s="648"/>
      <c r="I18" s="648"/>
      <c r="J18" s="648"/>
      <c r="K18" s="648"/>
      <c r="L18" s="648"/>
      <c r="M18" s="648"/>
      <c r="N18" s="913"/>
      <c r="O18" s="913"/>
      <c r="P18" s="913"/>
      <c r="Q18" s="913"/>
      <c r="R18" s="913"/>
      <c r="S18" s="913"/>
      <c r="T18" s="913"/>
      <c r="U18" s="913"/>
      <c r="V18" s="913"/>
      <c r="W18" s="913"/>
      <c r="X18" s="913"/>
      <c r="Y18" s="913"/>
      <c r="Z18" s="913"/>
      <c r="AA18" s="913"/>
      <c r="AB18" s="913"/>
    </row>
    <row r="19" spans="1:28">
      <c r="A19" s="809" t="s">
        <v>86</v>
      </c>
      <c r="B19" s="914"/>
      <c r="C19" s="914"/>
      <c r="D19" s="914"/>
      <c r="E19" s="648"/>
      <c r="F19" s="648"/>
      <c r="G19" s="648"/>
      <c r="H19" s="648"/>
      <c r="I19" s="648"/>
      <c r="J19" s="648"/>
      <c r="K19" s="648"/>
      <c r="L19" s="914"/>
      <c r="M19" s="648"/>
      <c r="N19" s="913"/>
      <c r="O19" s="1527"/>
      <c r="P19" s="913"/>
      <c r="Q19" s="913"/>
      <c r="R19" s="913"/>
      <c r="S19" s="913"/>
      <c r="T19" s="913"/>
      <c r="U19" s="913"/>
      <c r="V19" s="913"/>
      <c r="W19" s="913"/>
      <c r="X19" s="913"/>
      <c r="Y19" s="913"/>
      <c r="Z19" s="913"/>
      <c r="AA19" s="913"/>
      <c r="AB19" s="913"/>
    </row>
    <row r="20" spans="1:28">
      <c r="A20" s="809" t="s">
        <v>87</v>
      </c>
      <c r="B20" s="914"/>
      <c r="C20" s="1001">
        <f>'Exh D Special Revenue State Fed'!C20+'Exh D Special Revenue State Fed'!N20</f>
        <v>0</v>
      </c>
      <c r="D20" s="1920"/>
      <c r="E20" s="1001">
        <f>'Exh D Special Revenue State Fed'!E20+'Exh D Special Revenue State Fed'!P20</f>
        <v>0</v>
      </c>
      <c r="F20" s="651"/>
      <c r="G20" s="930">
        <f>+'Exh D Special Revenue State Fed'!G20</f>
        <v>0</v>
      </c>
      <c r="H20" s="930"/>
      <c r="I20" s="930">
        <v>0</v>
      </c>
      <c r="J20" s="930"/>
      <c r="K20" s="930">
        <f t="shared" ref="K20:K25" si="0">+G20+I20</f>
        <v>0</v>
      </c>
      <c r="L20" s="651"/>
      <c r="M20" s="649">
        <f>ROUND(SUM(K20)-SUM(C20),1)</f>
        <v>0</v>
      </c>
      <c r="N20" s="913"/>
      <c r="O20" s="649">
        <f>K20-E20</f>
        <v>0</v>
      </c>
      <c r="P20" s="913"/>
      <c r="Q20" s="913"/>
      <c r="R20" s="913"/>
      <c r="S20" s="913"/>
      <c r="T20" s="913"/>
      <c r="U20" s="913"/>
      <c r="V20" s="913"/>
      <c r="W20" s="913"/>
      <c r="X20" s="913"/>
      <c r="Y20" s="913"/>
      <c r="Z20" s="913"/>
      <c r="AA20" s="913"/>
      <c r="AB20" s="913"/>
    </row>
    <row r="21" spans="1:28">
      <c r="A21" s="809" t="s">
        <v>88</v>
      </c>
      <c r="B21" s="913"/>
      <c r="C21" s="674">
        <f>'Exh D Special Revenue State Fed'!C21+'Exh D Special Revenue State Fed'!N21</f>
        <v>950</v>
      </c>
      <c r="D21" s="1921"/>
      <c r="E21" s="674">
        <f>'Exh D Special Revenue State Fed'!E21+'Exh D Special Revenue State Fed'!P21</f>
        <v>1003</v>
      </c>
      <c r="F21" s="634"/>
      <c r="G21" s="634">
        <f>+'Exh D Special Revenue State Fed'!G21</f>
        <v>1024.5999999999999</v>
      </c>
      <c r="H21" s="1515"/>
      <c r="I21" s="1515">
        <v>0</v>
      </c>
      <c r="J21" s="1515"/>
      <c r="K21" s="1515">
        <f t="shared" si="0"/>
        <v>1024.5999999999999</v>
      </c>
      <c r="L21" s="634"/>
      <c r="M21" s="1515">
        <f t="shared" ref="M21:M25" si="1">ROUND(SUM(K21)-SUM(C21),1)</f>
        <v>74.599999999999994</v>
      </c>
      <c r="N21" s="932"/>
      <c r="O21" s="1515">
        <f>K21-E21</f>
        <v>21.599999999999909</v>
      </c>
      <c r="P21" s="913"/>
      <c r="Q21" s="913"/>
      <c r="R21" s="913"/>
      <c r="S21" s="913"/>
      <c r="T21" s="913"/>
      <c r="U21" s="913"/>
      <c r="V21" s="913"/>
      <c r="W21" s="913"/>
      <c r="X21" s="913"/>
      <c r="Y21" s="913"/>
      <c r="Z21" s="913"/>
      <c r="AA21" s="913"/>
      <c r="AB21" s="913"/>
    </row>
    <row r="22" spans="1:28">
      <c r="A22" s="809" t="s">
        <v>89</v>
      </c>
      <c r="B22" s="914"/>
      <c r="C22" s="674">
        <f>'Exh D Special Revenue State Fed'!C22+'Exh D Special Revenue State Fed'!N22</f>
        <v>976</v>
      </c>
      <c r="D22" s="1920"/>
      <c r="E22" s="674">
        <f>'Exh D Special Revenue State Fed'!E22+'Exh D Special Revenue State Fed'!P22</f>
        <v>1038</v>
      </c>
      <c r="F22" s="671"/>
      <c r="G22" s="634">
        <f>+'Exh D Special Revenue State Fed'!G22</f>
        <v>1163.3</v>
      </c>
      <c r="H22" s="1515"/>
      <c r="I22" s="1515">
        <v>0</v>
      </c>
      <c r="J22" s="1515"/>
      <c r="K22" s="1515">
        <f t="shared" si="0"/>
        <v>1163.3</v>
      </c>
      <c r="L22" s="671"/>
      <c r="M22" s="1515">
        <f t="shared" si="1"/>
        <v>187.3</v>
      </c>
      <c r="N22" s="933"/>
      <c r="O22" s="1515">
        <f t="shared" ref="O22:O25" si="2">K22-E22</f>
        <v>125.29999999999995</v>
      </c>
      <c r="P22" s="913"/>
      <c r="Q22" s="934"/>
      <c r="R22" s="913"/>
      <c r="S22" s="934"/>
      <c r="T22" s="913"/>
      <c r="U22" s="913"/>
      <c r="V22" s="934"/>
      <c r="W22" s="913"/>
      <c r="X22" s="913"/>
      <c r="Y22" s="934"/>
      <c r="Z22" s="200"/>
      <c r="AA22" s="934"/>
      <c r="AB22" s="913"/>
    </row>
    <row r="23" spans="1:28" ht="15" customHeight="1">
      <c r="A23" s="809" t="s">
        <v>19</v>
      </c>
      <c r="B23" s="913"/>
      <c r="C23" s="674">
        <f>'Exh D Special Revenue State Fed'!C23+'Exh D Special Revenue State Fed'!N23</f>
        <v>8247</v>
      </c>
      <c r="D23" s="1921"/>
      <c r="E23" s="674">
        <f>'Exh D Special Revenue State Fed'!E23+'Exh D Special Revenue State Fed'!P23</f>
        <v>8993</v>
      </c>
      <c r="F23" s="634"/>
      <c r="G23" s="634">
        <f>+'Exh D Special Revenue State Fed'!G23+'Exh D Special Revenue State Fed'!R23</f>
        <v>9033.4</v>
      </c>
      <c r="H23" s="1515"/>
      <c r="I23" s="1515">
        <v>0</v>
      </c>
      <c r="J23" s="1515"/>
      <c r="K23" s="1515">
        <f t="shared" si="0"/>
        <v>9033.4</v>
      </c>
      <c r="L23" s="634"/>
      <c r="M23" s="1515">
        <f t="shared" si="1"/>
        <v>786.4</v>
      </c>
      <c r="N23" s="932"/>
      <c r="O23" s="1515">
        <f t="shared" si="2"/>
        <v>40.399999999999636</v>
      </c>
      <c r="P23" s="913"/>
      <c r="Q23" s="913"/>
      <c r="R23" s="913"/>
      <c r="S23" s="913"/>
      <c r="T23" s="913"/>
      <c r="U23" s="913"/>
      <c r="V23" s="913"/>
      <c r="W23" s="913"/>
      <c r="X23" s="913"/>
      <c r="Y23" s="913"/>
      <c r="Z23" s="913"/>
      <c r="AA23" s="913"/>
      <c r="AB23" s="913"/>
    </row>
    <row r="24" spans="1:28" ht="15" customHeight="1">
      <c r="A24" s="809" t="s">
        <v>20</v>
      </c>
      <c r="B24" s="913"/>
      <c r="C24" s="674">
        <f>'Exh D Special Revenue State Fed'!C24+'Exh D Special Revenue State Fed'!N24</f>
        <v>54618</v>
      </c>
      <c r="D24" s="1921"/>
      <c r="E24" s="674">
        <f>'Exh D Special Revenue State Fed'!E24+'Exh D Special Revenue State Fed'!P24</f>
        <v>52729</v>
      </c>
      <c r="F24" s="634"/>
      <c r="G24" s="634">
        <f>+'Exh D Special Revenue State Fed'!G24+'Exh D Special Revenue State Fed'!R24</f>
        <v>51678.7</v>
      </c>
      <c r="H24" s="1515"/>
      <c r="I24" s="1515">
        <v>0</v>
      </c>
      <c r="J24" s="1515"/>
      <c r="K24" s="1515">
        <f t="shared" si="0"/>
        <v>51678.7</v>
      </c>
      <c r="L24" s="634"/>
      <c r="M24" s="1515">
        <f t="shared" si="1"/>
        <v>-2939.3</v>
      </c>
      <c r="N24" s="932"/>
      <c r="O24" s="1515">
        <f t="shared" si="2"/>
        <v>-1050.3000000000029</v>
      </c>
      <c r="P24" s="936"/>
      <c r="Q24" s="913"/>
      <c r="R24" s="936"/>
      <c r="S24" s="913"/>
      <c r="T24" s="936"/>
      <c r="U24" s="937"/>
      <c r="V24" s="913"/>
      <c r="W24" s="913"/>
      <c r="X24" s="913"/>
      <c r="Y24" s="913"/>
      <c r="Z24" s="913"/>
      <c r="AA24" s="913"/>
      <c r="AB24" s="913"/>
    </row>
    <row r="25" spans="1:28">
      <c r="A25" s="809" t="s">
        <v>1550</v>
      </c>
      <c r="B25" s="936"/>
      <c r="C25" s="1699">
        <f>'Exh D Special Revenue State Fed'!C25+'Exh D Special Revenue State Fed'!N25</f>
        <v>1682</v>
      </c>
      <c r="D25" s="1922"/>
      <c r="E25" s="1699">
        <f>'Exh D Special Revenue State Fed'!E25+'Exh D Special Revenue State Fed'!P25</f>
        <v>2087</v>
      </c>
      <c r="F25" s="634"/>
      <c r="G25" s="917">
        <f>+'Exh D Special Revenue State Fed'!G25</f>
        <v>2208.4</v>
      </c>
      <c r="H25" s="933"/>
      <c r="I25" s="1469">
        <f>+'Exhibit G'!AB113</f>
        <v>-419.9</v>
      </c>
      <c r="J25" s="933"/>
      <c r="K25" s="918">
        <f t="shared" si="0"/>
        <v>1788.5</v>
      </c>
      <c r="L25" s="634"/>
      <c r="M25" s="1396">
        <f t="shared" si="1"/>
        <v>106.5</v>
      </c>
      <c r="N25" s="932"/>
      <c r="O25" s="918">
        <f t="shared" si="2"/>
        <v>-298.5</v>
      </c>
      <c r="P25" s="936"/>
      <c r="Q25" s="913"/>
      <c r="R25" s="936"/>
      <c r="S25" s="913"/>
      <c r="T25" s="936"/>
      <c r="U25" s="937"/>
      <c r="V25" s="913"/>
      <c r="W25" s="913"/>
      <c r="X25" s="913"/>
      <c r="Y25" s="913"/>
      <c r="Z25" s="913"/>
      <c r="AA25" s="913"/>
      <c r="AB25" s="913"/>
    </row>
    <row r="26" spans="1:28" ht="18" customHeight="1">
      <c r="A26" s="1110" t="s">
        <v>107</v>
      </c>
      <c r="B26" s="148"/>
      <c r="C26" s="818">
        <f>ROUND(SUM(C20:C25),1)</f>
        <v>66473</v>
      </c>
      <c r="D26" s="148"/>
      <c r="E26" s="818">
        <f>ROUND(SUM(E20:E25),1)</f>
        <v>65850</v>
      </c>
      <c r="F26" s="911"/>
      <c r="G26" s="818">
        <f>ROUND(SUM(G20:G25),1)</f>
        <v>65108.4</v>
      </c>
      <c r="H26" s="1516"/>
      <c r="I26" s="818">
        <f>ROUND(SUM(I20:I25),1)</f>
        <v>-419.9</v>
      </c>
      <c r="J26" s="1516"/>
      <c r="K26" s="818">
        <f>ROUND(SUM(K20:K25),1)</f>
        <v>64688.5</v>
      </c>
      <c r="L26" s="911"/>
      <c r="M26" s="818">
        <f>ROUND(SUM(M20:M25),1)</f>
        <v>-1784.5</v>
      </c>
      <c r="N26" s="73"/>
      <c r="O26" s="71">
        <f>ROUND(SUM(O20:O25),1)</f>
        <v>-1161.5</v>
      </c>
      <c r="P26" s="148"/>
      <c r="Q26" s="148"/>
      <c r="R26" s="148"/>
      <c r="S26" s="148"/>
      <c r="T26" s="148"/>
      <c r="U26" s="148"/>
      <c r="V26" s="148"/>
      <c r="W26" s="148"/>
      <c r="X26" s="148"/>
      <c r="Y26" s="148"/>
      <c r="Z26" s="148"/>
      <c r="AA26" s="148"/>
      <c r="AB26" s="148"/>
    </row>
    <row r="27" spans="1:28">
      <c r="A27" s="679"/>
      <c r="B27" s="913"/>
      <c r="C27" s="932"/>
      <c r="D27" s="913"/>
      <c r="E27" s="932"/>
      <c r="F27" s="634"/>
      <c r="G27" s="677"/>
      <c r="H27" s="932"/>
      <c r="I27" s="932"/>
      <c r="J27" s="932"/>
      <c r="K27" s="932"/>
      <c r="L27" s="634"/>
      <c r="M27" s="677"/>
      <c r="N27" s="932"/>
      <c r="O27" s="677"/>
      <c r="P27" s="913"/>
      <c r="Q27" s="913"/>
      <c r="R27" s="913"/>
      <c r="S27" s="913"/>
      <c r="T27" s="913"/>
      <c r="U27" s="913"/>
      <c r="V27" s="913"/>
      <c r="W27" s="913"/>
      <c r="X27" s="913"/>
      <c r="Y27" s="913"/>
      <c r="Z27" s="913"/>
      <c r="AA27" s="913"/>
      <c r="AB27" s="913"/>
    </row>
    <row r="28" spans="1:28">
      <c r="A28" s="26" t="s">
        <v>22</v>
      </c>
      <c r="B28" s="913"/>
      <c r="C28" s="932"/>
      <c r="D28" s="913"/>
      <c r="E28" s="932"/>
      <c r="F28" s="634"/>
      <c r="G28" s="634"/>
      <c r="H28" s="1515"/>
      <c r="I28" s="1515" t="s">
        <v>14</v>
      </c>
      <c r="J28" s="1515" t="s">
        <v>14</v>
      </c>
      <c r="K28" s="1515" t="s">
        <v>14</v>
      </c>
      <c r="L28" s="634"/>
      <c r="M28" s="634"/>
      <c r="N28" s="932"/>
      <c r="O28" s="1515"/>
      <c r="P28" s="913"/>
      <c r="Q28" s="913"/>
      <c r="R28" s="913"/>
      <c r="S28" s="913"/>
      <c r="T28" s="913"/>
      <c r="U28" s="913"/>
      <c r="V28" s="913"/>
      <c r="W28" s="913"/>
      <c r="X28" s="913"/>
      <c r="Y28" s="913"/>
      <c r="Z28" s="913"/>
      <c r="AA28" s="913"/>
      <c r="AB28" s="913"/>
    </row>
    <row r="29" spans="1:28">
      <c r="A29" s="809" t="s">
        <v>92</v>
      </c>
      <c r="B29" s="934"/>
      <c r="C29" s="674">
        <f>'Exh D Special Revenue State Fed'!C29+'Exh D Special Revenue State Fed'!N29</f>
        <v>44419</v>
      </c>
      <c r="D29" s="1923"/>
      <c r="E29" s="674">
        <f>'Exh D Special Revenue State Fed'!E29+'Exh D Special Revenue State Fed'!P29</f>
        <v>42912</v>
      </c>
      <c r="F29" s="634"/>
      <c r="G29" s="671">
        <f>+'Exh D Special Revenue State Fed'!G29+'Exh D Special Revenue State Fed'!R29</f>
        <v>42099.8</v>
      </c>
      <c r="H29" s="671"/>
      <c r="I29" s="671">
        <v>0</v>
      </c>
      <c r="J29" s="671"/>
      <c r="K29" s="1515">
        <f t="shared" ref="K29:K34" si="3">+G29+I29</f>
        <v>42099.8</v>
      </c>
      <c r="L29" s="634"/>
      <c r="M29" s="1515">
        <f t="shared" ref="M29:M34" si="4">ROUND(SUM(K29)-SUM(C29),1)</f>
        <v>-2319.1999999999998</v>
      </c>
      <c r="N29" s="932"/>
      <c r="O29" s="1515">
        <f t="shared" ref="O29:O34" si="5">K29-E29</f>
        <v>-812.19999999999709</v>
      </c>
      <c r="P29" s="936"/>
      <c r="Q29" s="913"/>
      <c r="R29" s="936"/>
      <c r="S29" s="913"/>
      <c r="T29" s="936"/>
      <c r="U29" s="937"/>
      <c r="V29" s="913"/>
      <c r="W29" s="913"/>
      <c r="X29" s="913"/>
      <c r="Y29" s="913"/>
      <c r="Z29" s="913"/>
      <c r="AA29" s="913"/>
      <c r="AB29" s="913"/>
    </row>
    <row r="30" spans="1:28">
      <c r="A30" s="809" t="s">
        <v>93</v>
      </c>
      <c r="B30" s="934"/>
      <c r="C30" s="674">
        <f>'Exh D Special Revenue State Fed'!C30+'Exh D Special Revenue State Fed'!N30</f>
        <v>6169</v>
      </c>
      <c r="D30" s="1923"/>
      <c r="E30" s="674">
        <f>'Exh D Special Revenue State Fed'!E30+'Exh D Special Revenue State Fed'!P30</f>
        <v>5966</v>
      </c>
      <c r="F30" s="634"/>
      <c r="G30" s="671">
        <f>+'Exh D Special Revenue State Fed'!G30+'Exh D Special Revenue State Fed'!R30</f>
        <v>5977.7000000000007</v>
      </c>
      <c r="H30" s="671"/>
      <c r="I30" s="671">
        <v>0</v>
      </c>
      <c r="J30" s="671"/>
      <c r="K30" s="1515">
        <f t="shared" si="3"/>
        <v>5977.7000000000007</v>
      </c>
      <c r="L30" s="634"/>
      <c r="M30" s="1515">
        <f t="shared" si="4"/>
        <v>-191.3</v>
      </c>
      <c r="N30" s="932"/>
      <c r="O30" s="1515">
        <f t="shared" si="5"/>
        <v>11.700000000000728</v>
      </c>
      <c r="P30" s="934"/>
      <c r="Q30" s="913"/>
      <c r="R30" s="934"/>
      <c r="S30" s="913"/>
      <c r="T30" s="936"/>
      <c r="U30" s="913"/>
      <c r="V30" s="913"/>
      <c r="W30" s="936"/>
      <c r="X30" s="936"/>
      <c r="Y30" s="913"/>
      <c r="Z30" s="936"/>
      <c r="AA30" s="913"/>
      <c r="AB30" s="936"/>
    </row>
    <row r="31" spans="1:28">
      <c r="A31" s="809" t="s">
        <v>68</v>
      </c>
      <c r="B31" s="934"/>
      <c r="C31" s="674">
        <f>'Exh D Special Revenue State Fed'!C31+'Exh D Special Revenue State Fed'!N31</f>
        <v>714</v>
      </c>
      <c r="D31" s="1923"/>
      <c r="E31" s="674">
        <f>'Exh D Special Revenue State Fed'!E31+'Exh D Special Revenue State Fed'!P31</f>
        <v>881</v>
      </c>
      <c r="F31" s="634"/>
      <c r="G31" s="671">
        <f>+'Exh D Special Revenue State Fed'!G31+'Exh D Special Revenue State Fed'!R31</f>
        <v>861.3</v>
      </c>
      <c r="H31" s="671"/>
      <c r="I31" s="671">
        <v>0</v>
      </c>
      <c r="J31" s="671"/>
      <c r="K31" s="1515">
        <f t="shared" si="3"/>
        <v>861.3</v>
      </c>
      <c r="L31" s="634"/>
      <c r="M31" s="1515">
        <f t="shared" si="4"/>
        <v>147.30000000000001</v>
      </c>
      <c r="N31" s="932"/>
      <c r="O31" s="1515">
        <f t="shared" si="5"/>
        <v>-19.700000000000045</v>
      </c>
      <c r="P31" s="936"/>
      <c r="Q31" s="913"/>
      <c r="R31" s="936"/>
      <c r="S31" s="913"/>
      <c r="T31" s="936"/>
      <c r="U31" s="937"/>
      <c r="V31" s="913"/>
      <c r="W31" s="936"/>
      <c r="X31" s="936"/>
      <c r="Y31" s="913"/>
      <c r="Z31" s="936"/>
      <c r="AA31" s="913"/>
      <c r="AB31" s="936"/>
    </row>
    <row r="32" spans="1:28">
      <c r="A32" s="809" t="s">
        <v>94</v>
      </c>
      <c r="B32" s="934"/>
      <c r="C32" s="674">
        <f>'Exh D Special Revenue State Fed'!C32+'Exh D Special Revenue State Fed'!N32</f>
        <v>42</v>
      </c>
      <c r="D32" s="1923"/>
      <c r="E32" s="674">
        <f>'Exh D Special Revenue State Fed'!E32+'Exh D Special Revenue State Fed'!P32</f>
        <v>42</v>
      </c>
      <c r="F32" s="1515"/>
      <c r="G32" s="671">
        <f>+'Exh D Special Revenue State Fed'!G32+'Exh D Special Revenue State Fed'!R32</f>
        <v>42.3</v>
      </c>
      <c r="H32" s="671"/>
      <c r="I32" s="671">
        <v>0</v>
      </c>
      <c r="J32" s="671"/>
      <c r="K32" s="1515">
        <f t="shared" si="3"/>
        <v>42.3</v>
      </c>
      <c r="L32" s="1515"/>
      <c r="M32" s="1515">
        <f t="shared" si="4"/>
        <v>0.3</v>
      </c>
      <c r="N32" s="932"/>
      <c r="O32" s="1515">
        <f t="shared" si="5"/>
        <v>0.29999999999999716</v>
      </c>
      <c r="P32" s="936"/>
      <c r="Q32" s="913"/>
      <c r="R32" s="936"/>
      <c r="S32" s="913"/>
      <c r="T32" s="936"/>
      <c r="U32" s="937"/>
      <c r="V32" s="913"/>
      <c r="W32" s="936"/>
      <c r="X32" s="936"/>
      <c r="Y32" s="913"/>
      <c r="Z32" s="936"/>
      <c r="AA32" s="913"/>
      <c r="AB32" s="936"/>
    </row>
    <row r="33" spans="1:28">
      <c r="A33" s="809" t="s">
        <v>41</v>
      </c>
      <c r="B33" s="934"/>
      <c r="C33" s="674">
        <f>'Exh D Special Revenue State Fed'!C33+'Exh D Special Revenue State Fed'!N33</f>
        <v>0</v>
      </c>
      <c r="D33" s="1923"/>
      <c r="E33" s="674">
        <f>'Exh D Special Revenue State Fed'!E33+'Exh D Special Revenue State Fed'!P33</f>
        <v>0</v>
      </c>
      <c r="F33" s="634"/>
      <c r="G33" s="675">
        <f>+'Exh D Special Revenue State Fed'!G33+'Exh D Special Revenue State Fed'!R33</f>
        <v>0</v>
      </c>
      <c r="H33" s="675"/>
      <c r="I33" s="675">
        <v>0</v>
      </c>
      <c r="J33" s="675"/>
      <c r="K33" s="1515">
        <f t="shared" si="3"/>
        <v>0</v>
      </c>
      <c r="L33" s="634"/>
      <c r="M33" s="1515">
        <f t="shared" si="4"/>
        <v>0</v>
      </c>
      <c r="N33" s="932"/>
      <c r="O33" s="1515">
        <f t="shared" si="5"/>
        <v>0</v>
      </c>
      <c r="P33" s="936"/>
      <c r="Q33" s="913"/>
      <c r="R33" s="936"/>
      <c r="S33" s="913"/>
      <c r="T33" s="936"/>
      <c r="U33" s="937"/>
      <c r="V33" s="913"/>
      <c r="W33" s="913"/>
      <c r="X33" s="913"/>
      <c r="Y33" s="913"/>
      <c r="Z33" s="913"/>
      <c r="AA33" s="913"/>
      <c r="AB33" s="913"/>
    </row>
    <row r="34" spans="1:28">
      <c r="A34" s="809" t="s">
        <v>1551</v>
      </c>
      <c r="B34" s="934"/>
      <c r="C34" s="674">
        <f>'Exh D Special Revenue State Fed'!C34+'Exh D Special Revenue State Fed'!N34</f>
        <v>1170</v>
      </c>
      <c r="D34" s="1923"/>
      <c r="E34" s="674">
        <f>'Exh D Special Revenue State Fed'!E34+'Exh D Special Revenue State Fed'!P34</f>
        <v>1251</v>
      </c>
      <c r="F34" s="634"/>
      <c r="G34" s="671">
        <f>+'Exh D Special Revenue State Fed'!G34+'Exh D Special Revenue State Fed'!R34</f>
        <v>1174</v>
      </c>
      <c r="H34" s="671"/>
      <c r="I34" s="673">
        <f>-'Exhibit G'!AB114</f>
        <v>-419.9</v>
      </c>
      <c r="J34" s="671"/>
      <c r="K34" s="1515">
        <f t="shared" si="3"/>
        <v>754.1</v>
      </c>
      <c r="L34" s="634"/>
      <c r="M34" s="1515">
        <f t="shared" si="4"/>
        <v>-415.9</v>
      </c>
      <c r="N34" s="932"/>
      <c r="O34" s="1515">
        <f t="shared" si="5"/>
        <v>-496.9</v>
      </c>
      <c r="P34" s="936"/>
      <c r="Q34" s="913"/>
      <c r="R34" s="936"/>
      <c r="S34" s="913"/>
      <c r="T34" s="936"/>
      <c r="U34" s="937"/>
      <c r="V34" s="913"/>
      <c r="W34" s="913"/>
      <c r="X34" s="913"/>
      <c r="Y34" s="913"/>
      <c r="Z34" s="913"/>
      <c r="AA34" s="913"/>
      <c r="AB34" s="913"/>
    </row>
    <row r="35" spans="1:28" ht="18" customHeight="1">
      <c r="A35" s="1525" t="s">
        <v>116</v>
      </c>
      <c r="B35" s="148"/>
      <c r="C35" s="1857">
        <f>ROUND(SUM(C29:C34),1)</f>
        <v>52514</v>
      </c>
      <c r="D35" s="148"/>
      <c r="E35" s="1857">
        <f>ROUND(SUM(E29:E34),1)</f>
        <v>51052</v>
      </c>
      <c r="F35" s="911"/>
      <c r="G35" s="212">
        <f>ROUND(SUM(G29:G34),1)</f>
        <v>50155.1</v>
      </c>
      <c r="H35" s="1516"/>
      <c r="I35" s="1526">
        <f>ROUND(SUM(I29:I34),1)</f>
        <v>-419.9</v>
      </c>
      <c r="J35" s="1516"/>
      <c r="K35" s="1526">
        <f>ROUND(SUM(K29:K34),1)</f>
        <v>49735.199999999997</v>
      </c>
      <c r="L35" s="911"/>
      <c r="M35" s="212">
        <f>ROUND(SUM(M29:M34),1)</f>
        <v>-2778.8</v>
      </c>
      <c r="N35" s="73"/>
      <c r="O35" s="212">
        <f>ROUND(SUM(O29:O34),1)</f>
        <v>-1316.8</v>
      </c>
      <c r="P35" s="148"/>
      <c r="Q35" s="148"/>
      <c r="R35" s="148"/>
      <c r="S35" s="148"/>
      <c r="T35" s="148"/>
      <c r="U35" s="148"/>
      <c r="V35" s="148"/>
      <c r="W35" s="148"/>
      <c r="X35" s="148"/>
      <c r="Y35" s="148"/>
      <c r="Z35" s="148"/>
      <c r="AA35" s="148"/>
      <c r="AB35" s="148"/>
    </row>
    <row r="36" spans="1:28">
      <c r="A36" s="679"/>
      <c r="B36" s="913"/>
      <c r="C36" s="932"/>
      <c r="D36" s="913"/>
      <c r="E36" s="932"/>
      <c r="F36" s="634"/>
      <c r="G36" s="677"/>
      <c r="H36" s="932"/>
      <c r="I36" s="932"/>
      <c r="J36" s="932"/>
      <c r="K36" s="932"/>
      <c r="L36" s="634"/>
      <c r="M36" s="677"/>
      <c r="N36" s="932"/>
      <c r="O36" s="677"/>
      <c r="P36" s="913"/>
      <c r="Q36" s="913"/>
      <c r="R36" s="913"/>
      <c r="S36" s="913"/>
      <c r="T36" s="913"/>
      <c r="U36" s="913"/>
      <c r="V36" s="913"/>
      <c r="W36" s="913"/>
      <c r="X36" s="913"/>
      <c r="Y36" s="913"/>
      <c r="Z36" s="913"/>
      <c r="AA36" s="913"/>
      <c r="AB36" s="913"/>
    </row>
    <row r="37" spans="1:28">
      <c r="A37" s="26" t="s">
        <v>117</v>
      </c>
      <c r="B37" s="913"/>
      <c r="C37" s="932"/>
      <c r="D37" s="913"/>
      <c r="E37" s="932"/>
      <c r="F37" s="634"/>
      <c r="G37" s="634"/>
      <c r="H37" s="1515"/>
      <c r="I37" s="1515"/>
      <c r="J37" s="1515"/>
      <c r="K37" s="1515"/>
      <c r="L37" s="634"/>
      <c r="M37" s="634"/>
      <c r="N37" s="932"/>
      <c r="O37" s="1515"/>
      <c r="P37" s="913"/>
      <c r="Q37" s="913"/>
      <c r="R37" s="913"/>
      <c r="S37" s="913"/>
      <c r="T37" s="913"/>
      <c r="U37" s="913"/>
      <c r="V37" s="913"/>
      <c r="W37" s="913"/>
      <c r="X37" s="913"/>
      <c r="Y37" s="913"/>
      <c r="Z37" s="913"/>
      <c r="AA37" s="913"/>
      <c r="AB37" s="913"/>
    </row>
    <row r="38" spans="1:28">
      <c r="A38" s="26" t="s">
        <v>118</v>
      </c>
      <c r="B38" s="913"/>
      <c r="C38" s="932"/>
      <c r="D38" s="913"/>
      <c r="E38" s="932"/>
      <c r="F38" s="634"/>
      <c r="G38" s="634"/>
      <c r="H38" s="1515"/>
      <c r="I38" s="1515"/>
      <c r="J38" s="1515"/>
      <c r="K38" s="1515"/>
      <c r="L38" s="634"/>
      <c r="M38" s="634"/>
      <c r="N38" s="932"/>
      <c r="O38" s="1515"/>
      <c r="P38" s="913"/>
      <c r="Q38" s="913"/>
      <c r="R38" s="913"/>
      <c r="S38" s="913"/>
      <c r="T38" s="913"/>
      <c r="U38" s="913"/>
      <c r="V38" s="913"/>
      <c r="W38" s="913"/>
      <c r="X38" s="913"/>
      <c r="Y38" s="913"/>
      <c r="Z38" s="913"/>
      <c r="AA38" s="913"/>
      <c r="AB38" s="913"/>
    </row>
    <row r="39" spans="1:28">
      <c r="A39" s="1110" t="s">
        <v>101</v>
      </c>
      <c r="B39" s="172"/>
      <c r="C39" s="1516">
        <f>ROUND(SUM(C26)-SUM(C35),1)</f>
        <v>13959</v>
      </c>
      <c r="D39" s="172"/>
      <c r="E39" s="1516">
        <f>ROUND(SUM(E26)-SUM(E35),1)</f>
        <v>14798</v>
      </c>
      <c r="F39" s="81"/>
      <c r="G39" s="73">
        <f>ROUND(SUM(G26)-SUM(G35),1)</f>
        <v>14953.3</v>
      </c>
      <c r="H39" s="1516"/>
      <c r="I39" s="1516">
        <v>0</v>
      </c>
      <c r="J39" s="1516"/>
      <c r="K39" s="1516">
        <f>+G39+I39</f>
        <v>14953.3</v>
      </c>
      <c r="L39" s="81"/>
      <c r="M39" s="73">
        <f>ROUND(SUM(M26)-SUM(M35),1)</f>
        <v>994.3</v>
      </c>
      <c r="N39" s="389"/>
      <c r="O39" s="1516">
        <f>ROUND(SUM(O26)-SUM(O35),1)</f>
        <v>155.30000000000001</v>
      </c>
      <c r="P39" s="148"/>
      <c r="Q39" s="171"/>
      <c r="R39" s="148"/>
      <c r="S39" s="171"/>
      <c r="T39" s="148"/>
      <c r="U39" s="148"/>
      <c r="V39" s="171"/>
      <c r="W39" s="148"/>
      <c r="X39" s="148"/>
      <c r="Y39" s="171"/>
      <c r="Z39" s="148"/>
      <c r="AA39" s="171"/>
      <c r="AB39" s="148"/>
    </row>
    <row r="40" spans="1:28" ht="15" customHeight="1">
      <c r="C40" s="660"/>
      <c r="E40" s="660"/>
      <c r="F40" s="921"/>
      <c r="G40" s="660"/>
      <c r="H40" s="660"/>
      <c r="I40" s="660"/>
      <c r="J40" s="660"/>
      <c r="K40" s="660"/>
      <c r="L40" s="921"/>
      <c r="M40" s="660"/>
      <c r="N40" s="660"/>
      <c r="O40" s="660"/>
    </row>
    <row r="41" spans="1:28">
      <c r="A41" s="1110" t="str">
        <f>+'Exh D-Governmental  '!A49</f>
        <v>Fund Balances (Deficits) at April 1</v>
      </c>
      <c r="C41" s="1924">
        <f>'Exh D Special Revenue State Fed'!C41+'Exh D Special Revenue State Fed'!N41</f>
        <v>10669</v>
      </c>
      <c r="D41" s="1925"/>
      <c r="E41" s="1924">
        <f>'Exh D Special Revenue State Fed'!E41+'Exh D Special Revenue State Fed'!P41</f>
        <v>10669</v>
      </c>
      <c r="F41" s="921"/>
      <c r="G41" s="1516">
        <f>'Exh D Special Revenue State Fed'!G41+'Exh D Special Revenue State Fed'!R41</f>
        <v>10669.3</v>
      </c>
      <c r="H41" s="1516"/>
      <c r="I41" s="1516">
        <v>0</v>
      </c>
      <c r="J41" s="1516"/>
      <c r="K41" s="1516">
        <f>+G41+I41</f>
        <v>10669.3</v>
      </c>
      <c r="L41" s="921"/>
      <c r="M41" s="1516">
        <f>ROUND(SUM(K41)-SUM(C41),1)</f>
        <v>0.3</v>
      </c>
      <c r="N41" s="660"/>
      <c r="O41" s="911">
        <f t="shared" ref="O41" si="6">K41-E41</f>
        <v>0.2999999999992724</v>
      </c>
    </row>
    <row r="42" spans="1:28" ht="18" customHeight="1" thickBot="1">
      <c r="A42" s="1338" t="str">
        <f>+'Exh D-Governmental  '!A50</f>
        <v>Fund Balances (Deficits) at September 30, 2021</v>
      </c>
      <c r="B42" s="172"/>
      <c r="C42" s="95">
        <f>ROUND(SUM(C39:C41),1)</f>
        <v>24628</v>
      </c>
      <c r="D42" s="172"/>
      <c r="E42" s="95">
        <f>ROUND(SUM(E39:E41),1)</f>
        <v>25467</v>
      </c>
      <c r="F42" s="178"/>
      <c r="G42" s="95">
        <f>ROUND(SUM(G39:G41),1)</f>
        <v>25622.6</v>
      </c>
      <c r="H42" s="216"/>
      <c r="I42" s="95">
        <f>ROUND(SUM(I39:I41),1)</f>
        <v>0</v>
      </c>
      <c r="J42" s="216"/>
      <c r="K42" s="95">
        <f>ROUND(SUM(K39:K41),1)</f>
        <v>25622.6</v>
      </c>
      <c r="L42" s="178"/>
      <c r="M42" s="95">
        <f>ROUND(SUM(M39:M41),1)</f>
        <v>994.6</v>
      </c>
      <c r="O42" s="95">
        <f>ROUND(SUM(O39:O41),1)</f>
        <v>155.6</v>
      </c>
    </row>
    <row r="43" spans="1:28" ht="15" customHeight="1" thickTop="1">
      <c r="A43" s="152"/>
      <c r="E43" s="678"/>
      <c r="F43" s="938"/>
      <c r="G43" s="938"/>
      <c r="H43" s="938"/>
      <c r="I43" s="938"/>
      <c r="J43" s="938"/>
      <c r="K43" s="938"/>
      <c r="L43" s="938"/>
      <c r="M43" s="938"/>
      <c r="O43" s="1528"/>
    </row>
    <row r="44" spans="1:28">
      <c r="A44" s="925" t="str">
        <f>'Exh D-Governmental  '!A52</f>
        <v>(*)    Source: 2021-22 Enacted Financial Plan dated May 25, 2021.</v>
      </c>
    </row>
    <row r="45" spans="1:28">
      <c r="A45" s="920" t="str">
        <f>'Exh D-Governmental  '!A53</f>
        <v>(**)   Source: 2021-22 First Quarter Update dated September 15, 2021.</v>
      </c>
    </row>
    <row r="46" spans="1:28">
      <c r="A46" s="1484" t="s">
        <v>1552</v>
      </c>
      <c r="I46" s="924" t="s">
        <v>14</v>
      </c>
    </row>
    <row r="47" spans="1:28">
      <c r="A47" s="939"/>
    </row>
    <row r="49" spans="1:1">
      <c r="A49" s="201"/>
    </row>
    <row r="50" spans="1:1">
      <c r="A50" s="201"/>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A1:AW69"/>
  <sheetViews>
    <sheetView showGridLines="0" zoomScale="90" zoomScaleNormal="80" workbookViewId="0"/>
  </sheetViews>
  <sheetFormatPr defaultColWidth="8.84375" defaultRowHeight="15.5"/>
  <cols>
    <col min="1" max="1" width="53.07421875" style="920" customWidth="1"/>
    <col min="2" max="2" width="0.84375" style="613" customWidth="1"/>
    <col min="3" max="3" width="15.84375" style="422" customWidth="1"/>
    <col min="4" max="4" width="0.84375" style="924" customWidth="1"/>
    <col min="5" max="5" width="15.84375" style="422" customWidth="1"/>
    <col min="6" max="6" width="0.84375" style="924" customWidth="1"/>
    <col min="7" max="7" width="15.84375" style="924" customWidth="1"/>
    <col min="8" max="8" width="0.84375" style="924" customWidth="1"/>
    <col min="9" max="9" width="15.84375" style="924" customWidth="1"/>
    <col min="10" max="10" width="0.84375" style="924" customWidth="1"/>
    <col min="11" max="11" width="15.84375" style="924" customWidth="1"/>
    <col min="12" max="12" width="1.84375" style="613" customWidth="1"/>
    <col min="13" max="13" width="0.84375" style="613" customWidth="1"/>
    <col min="14" max="14" width="15.84375" style="613" customWidth="1"/>
    <col min="15" max="15" width="1.07421875" style="613" customWidth="1"/>
    <col min="16" max="16" width="15.84375" style="613" customWidth="1"/>
    <col min="17" max="17" width="1.07421875" style="613" customWidth="1"/>
    <col min="18" max="18" width="15.84375" style="613" customWidth="1"/>
    <col min="19" max="19" width="0.53515625" style="613" customWidth="1"/>
    <col min="20" max="20" width="15.84375" style="613" customWidth="1"/>
    <col min="21" max="21" width="1.07421875" style="613" customWidth="1"/>
    <col min="22" max="22" width="15.84375" style="422" customWidth="1"/>
    <col min="23" max="23" width="1" style="613" customWidth="1"/>
    <col min="24" max="24" width="3.84375" style="422" customWidth="1"/>
    <col min="25" max="25" width="1" style="613" customWidth="1"/>
    <col min="26" max="26" width="15.84375" style="613" customWidth="1"/>
    <col min="27" max="27" width="0.84375" style="613" customWidth="1"/>
    <col min="28" max="28" width="15.84375" style="613" customWidth="1"/>
    <col min="29" max="29" width="7.421875E-2" style="613" customWidth="1"/>
    <col min="30" max="30" width="11.84375" style="613" customWidth="1"/>
    <col min="31" max="31" width="11.4609375" style="613" customWidth="1"/>
    <col min="32" max="32" width="1.84375" style="613" customWidth="1"/>
    <col min="33" max="33" width="11.84375" style="613" customWidth="1"/>
    <col min="34" max="34" width="2.07421875" style="613" customWidth="1"/>
    <col min="35" max="35" width="11.4609375" style="613" customWidth="1"/>
    <col min="36" max="36" width="0.53515625" style="613" customWidth="1"/>
    <col min="37" max="37" width="2.07421875" style="613" customWidth="1"/>
    <col min="38" max="38" width="10.53515625" style="613" customWidth="1"/>
    <col min="39" max="39" width="11.07421875" style="613" customWidth="1"/>
    <col min="40" max="40" width="2.07421875" style="613" customWidth="1"/>
    <col min="41" max="41" width="11.07421875" style="613" customWidth="1"/>
    <col min="42" max="42" width="2.07421875" style="613" customWidth="1"/>
    <col min="43" max="43" width="12.4609375" style="613" customWidth="1"/>
    <col min="44" max="48" width="8.84375" style="613"/>
    <col min="49" max="49" width="8.84375" style="924"/>
    <col min="50" max="16384" width="8.84375" style="920"/>
  </cols>
  <sheetData>
    <row r="1" spans="1:49">
      <c r="A1" s="926" t="s">
        <v>882</v>
      </c>
      <c r="B1" s="183"/>
      <c r="C1" s="416"/>
      <c r="D1" s="184"/>
      <c r="E1" s="416"/>
      <c r="F1" s="184"/>
      <c r="G1" s="184"/>
      <c r="H1" s="184"/>
      <c r="I1" s="184"/>
      <c r="J1" s="184"/>
      <c r="K1" s="184"/>
      <c r="L1" s="183"/>
      <c r="M1" s="183"/>
      <c r="N1" s="183"/>
      <c r="O1" s="183"/>
      <c r="P1" s="183"/>
      <c r="Q1" s="183"/>
      <c r="R1" s="183"/>
      <c r="S1" s="183"/>
      <c r="T1" s="183"/>
      <c r="U1" s="183"/>
      <c r="V1" s="1171"/>
      <c r="W1" s="183"/>
      <c r="X1" s="1171"/>
      <c r="Y1" s="183"/>
      <c r="Z1" s="183"/>
      <c r="AA1" s="183"/>
      <c r="AB1" s="183"/>
      <c r="AC1" s="184"/>
      <c r="AD1" s="183"/>
      <c r="AE1" s="183"/>
      <c r="AF1" s="183"/>
      <c r="AG1" s="183"/>
      <c r="AH1" s="183"/>
      <c r="AI1" s="183"/>
      <c r="AJ1" s="183"/>
      <c r="AK1" s="183"/>
      <c r="AL1" s="183"/>
      <c r="AM1" s="183"/>
      <c r="AN1" s="183"/>
      <c r="AO1" s="183"/>
      <c r="AP1" s="183"/>
      <c r="AQ1" s="183"/>
      <c r="AR1" s="920"/>
      <c r="AS1" s="920"/>
      <c r="AT1" s="920"/>
      <c r="AU1" s="920"/>
      <c r="AV1" s="920"/>
      <c r="AW1" s="920"/>
    </row>
    <row r="2" spans="1:49" ht="17.25" customHeight="1">
      <c r="A2" s="185"/>
      <c r="B2" s="186"/>
      <c r="C2" s="417"/>
      <c r="D2" s="184"/>
      <c r="E2" s="417"/>
      <c r="F2" s="184"/>
      <c r="G2" s="184"/>
      <c r="H2" s="184"/>
      <c r="I2" s="184"/>
      <c r="J2" s="184"/>
      <c r="K2" s="184"/>
      <c r="L2" s="183"/>
      <c r="M2" s="183"/>
      <c r="N2" s="183"/>
      <c r="O2" s="183"/>
      <c r="P2" s="183"/>
      <c r="Q2" s="183"/>
      <c r="R2" s="183"/>
      <c r="S2" s="183"/>
      <c r="T2" s="183"/>
      <c r="U2" s="183"/>
      <c r="V2" s="1171"/>
      <c r="W2" s="183"/>
      <c r="X2" s="1171"/>
      <c r="Y2" s="183"/>
      <c r="Z2" s="1172"/>
      <c r="AA2" s="183"/>
      <c r="AB2" s="183"/>
      <c r="AC2" s="184"/>
      <c r="AD2" s="183"/>
      <c r="AE2" s="183"/>
      <c r="AF2" s="183"/>
      <c r="AG2" s="183"/>
      <c r="AH2" s="183"/>
      <c r="AI2" s="183"/>
      <c r="AJ2" s="183"/>
      <c r="AK2" s="183"/>
      <c r="AL2" s="183"/>
      <c r="AM2" s="183"/>
      <c r="AN2" s="183"/>
      <c r="AO2" s="183"/>
      <c r="AP2" s="183"/>
      <c r="AQ2" s="183"/>
      <c r="AR2" s="920"/>
      <c r="AS2" s="920"/>
      <c r="AT2" s="920"/>
      <c r="AU2" s="920"/>
      <c r="AV2" s="920"/>
      <c r="AW2" s="920"/>
    </row>
    <row r="3" spans="1:49" ht="17.25" customHeight="1">
      <c r="A3" s="188" t="s">
        <v>0</v>
      </c>
      <c r="B3" s="145"/>
      <c r="C3" s="418"/>
      <c r="D3" s="140"/>
      <c r="E3" s="418"/>
      <c r="F3" s="140"/>
      <c r="G3" s="140"/>
      <c r="H3" s="140"/>
      <c r="I3" s="140"/>
      <c r="J3" s="140"/>
      <c r="K3" s="140"/>
      <c r="L3" s="153"/>
      <c r="M3" s="153"/>
      <c r="N3" s="153"/>
      <c r="O3" s="153"/>
      <c r="P3" s="153"/>
      <c r="Q3" s="153"/>
      <c r="R3" s="153"/>
      <c r="S3" s="153"/>
      <c r="T3" s="811"/>
      <c r="U3" s="153"/>
      <c r="V3" s="811" t="s">
        <v>82</v>
      </c>
      <c r="W3" s="153"/>
      <c r="X3" s="1173"/>
      <c r="Y3" s="153"/>
      <c r="Z3" s="153"/>
      <c r="AA3" s="153"/>
      <c r="AB3" s="1174"/>
      <c r="AC3" s="140"/>
      <c r="AD3" s="153"/>
      <c r="AE3" s="153"/>
      <c r="AF3" s="153"/>
      <c r="AG3" s="153"/>
      <c r="AH3" s="153"/>
      <c r="AI3" s="153"/>
      <c r="AJ3" s="153"/>
      <c r="AK3" s="153"/>
      <c r="AL3" s="153"/>
      <c r="AM3" s="153"/>
      <c r="AN3" s="153"/>
      <c r="AO3" s="153"/>
      <c r="AP3" s="153"/>
      <c r="AQ3" s="189"/>
      <c r="AR3" s="920"/>
      <c r="AS3" s="920"/>
      <c r="AT3" s="920"/>
      <c r="AU3" s="920"/>
      <c r="AV3" s="920"/>
      <c r="AW3" s="920"/>
    </row>
    <row r="4" spans="1:49" ht="17.25" customHeight="1">
      <c r="A4" s="188" t="s">
        <v>81</v>
      </c>
      <c r="B4" s="145"/>
      <c r="C4" s="418"/>
      <c r="D4" s="140"/>
      <c r="E4" s="418"/>
      <c r="F4" s="140"/>
      <c r="G4" s="140"/>
      <c r="H4" s="140"/>
      <c r="I4" s="140"/>
      <c r="J4" s="140"/>
      <c r="K4" s="140"/>
      <c r="L4" s="153"/>
      <c r="M4" s="153"/>
      <c r="N4" s="153"/>
      <c r="O4" s="153"/>
      <c r="P4" s="153"/>
      <c r="Q4" s="153"/>
      <c r="R4" s="153"/>
      <c r="S4" s="153"/>
      <c r="T4" s="812"/>
      <c r="U4" s="153"/>
      <c r="V4" s="812"/>
      <c r="W4" s="153"/>
      <c r="X4" s="1173"/>
      <c r="Y4" s="153"/>
      <c r="Z4" s="153"/>
      <c r="AA4" s="153"/>
      <c r="AB4" s="1175"/>
      <c r="AC4" s="140"/>
      <c r="AD4" s="153"/>
      <c r="AE4" s="153"/>
      <c r="AF4" s="153"/>
      <c r="AG4" s="153"/>
      <c r="AH4" s="153"/>
      <c r="AI4" s="153"/>
      <c r="AJ4" s="153"/>
      <c r="AK4" s="153"/>
      <c r="AL4" s="153"/>
      <c r="AM4" s="153"/>
      <c r="AN4" s="153"/>
      <c r="AO4" s="153"/>
      <c r="AP4" s="153"/>
      <c r="AQ4" s="153"/>
      <c r="AR4" s="920"/>
      <c r="AS4" s="920"/>
      <c r="AT4" s="920"/>
      <c r="AU4" s="920"/>
      <c r="AV4" s="920"/>
      <c r="AW4" s="920"/>
    </row>
    <row r="5" spans="1:49" ht="17.25" customHeight="1">
      <c r="A5" s="3957" t="str">
        <f>'Exh D-Governmental  '!A5:E5</f>
        <v>FISCAL YEAR 2021-2022</v>
      </c>
      <c r="B5" s="3958"/>
      <c r="C5" s="3958"/>
      <c r="D5" s="3958"/>
      <c r="E5" s="3958"/>
      <c r="F5" s="140"/>
      <c r="G5" s="804"/>
      <c r="H5" s="140"/>
      <c r="I5" s="140"/>
      <c r="J5" s="140"/>
      <c r="K5" s="140"/>
      <c r="L5" s="153"/>
      <c r="M5" s="153"/>
      <c r="N5" s="2039"/>
      <c r="O5" s="153"/>
      <c r="P5" s="153"/>
      <c r="Q5" s="153"/>
      <c r="R5" s="153"/>
      <c r="S5" s="153"/>
      <c r="T5" s="153"/>
      <c r="U5" s="153"/>
      <c r="V5" s="1173"/>
      <c r="W5" s="153"/>
      <c r="X5" s="1173"/>
      <c r="Y5" s="153"/>
      <c r="Z5" s="153"/>
      <c r="AA5" s="153"/>
      <c r="AB5" s="153"/>
      <c r="AC5" s="140"/>
      <c r="AD5" s="153"/>
      <c r="AE5" s="153"/>
      <c r="AF5" s="153"/>
      <c r="AG5" s="153"/>
      <c r="AH5" s="153"/>
      <c r="AI5" s="153"/>
      <c r="AJ5" s="153"/>
      <c r="AK5" s="153"/>
      <c r="AL5" s="153"/>
      <c r="AM5" s="153"/>
      <c r="AN5" s="153"/>
      <c r="AO5" s="153"/>
      <c r="AP5" s="153"/>
      <c r="AQ5" s="153"/>
      <c r="AR5" s="920"/>
      <c r="AS5" s="920"/>
      <c r="AT5" s="920"/>
      <c r="AU5" s="920"/>
      <c r="AV5" s="920"/>
      <c r="AW5" s="920"/>
    </row>
    <row r="6" spans="1:49" ht="17.25" customHeight="1">
      <c r="A6" s="1460" t="str">
        <f>'Exh D-Governmental  '!A6</f>
        <v xml:space="preserve">FOR SIX MONTHS ENDED SEPTEMBER 30, 2021    </v>
      </c>
      <c r="B6" s="3936"/>
      <c r="C6" s="3937"/>
      <c r="D6" s="3938"/>
      <c r="E6" s="3937"/>
      <c r="F6" s="140"/>
      <c r="G6" s="140"/>
      <c r="H6" s="140"/>
      <c r="I6" s="140"/>
      <c r="J6" s="140"/>
      <c r="K6" s="140"/>
      <c r="L6" s="153"/>
      <c r="M6" s="153"/>
      <c r="N6" s="153"/>
      <c r="O6" s="153"/>
      <c r="P6" s="153"/>
      <c r="Q6" s="153"/>
      <c r="R6" s="153"/>
      <c r="S6" s="153"/>
      <c r="T6" s="153"/>
      <c r="U6" s="153"/>
      <c r="V6" s="1173"/>
      <c r="W6" s="153"/>
      <c r="X6" s="1173"/>
      <c r="Y6" s="153"/>
      <c r="Z6" s="153"/>
      <c r="AA6" s="153"/>
      <c r="AB6" s="153"/>
      <c r="AC6" s="140"/>
      <c r="AD6" s="153"/>
      <c r="AE6" s="153"/>
      <c r="AF6" s="153"/>
      <c r="AG6" s="153"/>
      <c r="AH6" s="153"/>
      <c r="AI6" s="153"/>
      <c r="AJ6" s="153"/>
      <c r="AK6" s="153"/>
      <c r="AL6" s="153"/>
      <c r="AM6" s="153"/>
      <c r="AN6" s="153"/>
      <c r="AO6" s="153"/>
      <c r="AP6" s="153"/>
      <c r="AQ6" s="153"/>
      <c r="AR6" s="920"/>
      <c r="AS6" s="920"/>
      <c r="AT6" s="920"/>
      <c r="AU6" s="920"/>
      <c r="AV6" s="920"/>
      <c r="AW6" s="920"/>
    </row>
    <row r="7" spans="1:49" ht="18">
      <c r="A7" s="188" t="s">
        <v>1278</v>
      </c>
      <c r="B7" s="145"/>
      <c r="C7" s="418"/>
      <c r="D7" s="140"/>
      <c r="E7" s="418"/>
      <c r="F7" s="140"/>
      <c r="G7" s="140"/>
      <c r="H7" s="140"/>
      <c r="I7" s="140"/>
      <c r="J7" s="140"/>
      <c r="K7" s="140"/>
      <c r="L7" s="153"/>
      <c r="M7" s="153"/>
      <c r="N7" s="153"/>
      <c r="O7" s="153"/>
      <c r="P7" s="153"/>
      <c r="Q7" s="153"/>
      <c r="R7" s="153"/>
      <c r="S7" s="153"/>
      <c r="T7" s="153"/>
      <c r="U7" s="153"/>
      <c r="V7" s="1173"/>
      <c r="W7" s="153"/>
      <c r="X7" s="1173"/>
      <c r="Y7" s="153"/>
      <c r="Z7" s="153"/>
      <c r="AA7" s="153"/>
      <c r="AB7" s="153"/>
      <c r="AC7" s="140"/>
      <c r="AD7" s="153"/>
      <c r="AE7" s="153"/>
      <c r="AF7" s="153"/>
      <c r="AG7" s="153"/>
      <c r="AH7" s="153"/>
      <c r="AI7" s="153"/>
      <c r="AJ7" s="153"/>
      <c r="AK7" s="153"/>
      <c r="AL7" s="153"/>
      <c r="AM7" s="153"/>
      <c r="AN7" s="153"/>
      <c r="AO7" s="153"/>
      <c r="AP7" s="153"/>
      <c r="AQ7" s="153"/>
      <c r="AR7" s="920"/>
      <c r="AS7" s="920"/>
      <c r="AT7" s="920"/>
      <c r="AU7" s="920"/>
      <c r="AV7" s="920"/>
      <c r="AW7" s="920"/>
    </row>
    <row r="8" spans="1:49" ht="15" customHeight="1">
      <c r="A8" s="190"/>
      <c r="B8" s="144"/>
      <c r="C8" s="418"/>
      <c r="D8" s="140"/>
      <c r="E8" s="418"/>
      <c r="F8" s="140"/>
      <c r="G8" s="140"/>
      <c r="H8" s="140"/>
      <c r="I8" s="140"/>
      <c r="J8" s="140"/>
      <c r="K8" s="140"/>
      <c r="L8" s="153"/>
      <c r="M8" s="153"/>
      <c r="N8" s="153"/>
      <c r="O8" s="153"/>
      <c r="P8" s="153"/>
      <c r="Q8" s="153"/>
      <c r="R8" s="153"/>
      <c r="S8" s="153"/>
      <c r="T8" s="153"/>
      <c r="U8" s="153"/>
      <c r="V8" s="1173"/>
      <c r="W8" s="153"/>
      <c r="X8" s="1173"/>
      <c r="Y8" s="153"/>
      <c r="Z8" s="153"/>
      <c r="AA8" s="153"/>
      <c r="AB8" s="153"/>
      <c r="AC8" s="140"/>
      <c r="AD8" s="153"/>
      <c r="AE8" s="153"/>
      <c r="AF8" s="153"/>
      <c r="AG8" s="153"/>
      <c r="AH8" s="153"/>
      <c r="AI8" s="153"/>
      <c r="AJ8" s="153"/>
      <c r="AK8" s="153"/>
      <c r="AL8" s="153"/>
      <c r="AM8" s="153"/>
      <c r="AN8" s="153"/>
      <c r="AO8" s="153"/>
      <c r="AP8" s="153"/>
      <c r="AQ8" s="153"/>
      <c r="AR8" s="920"/>
      <c r="AS8" s="920"/>
      <c r="AT8" s="920"/>
      <c r="AU8" s="920"/>
      <c r="AV8" s="920"/>
      <c r="AW8" s="920"/>
    </row>
    <row r="9" spans="1:49">
      <c r="A9" s="147"/>
      <c r="B9" s="153"/>
      <c r="C9" s="419"/>
      <c r="D9" s="140"/>
      <c r="E9" s="419"/>
      <c r="F9" s="140"/>
      <c r="G9" s="140"/>
      <c r="H9" s="140"/>
      <c r="I9" s="140"/>
      <c r="J9" s="140"/>
      <c r="K9" s="140"/>
      <c r="L9" s="153"/>
      <c r="M9" s="153"/>
      <c r="N9" s="153"/>
      <c r="O9" s="153"/>
      <c r="P9" s="153"/>
      <c r="Q9" s="153"/>
      <c r="R9" s="153"/>
      <c r="S9" s="153"/>
      <c r="T9" s="153"/>
      <c r="U9" s="153"/>
      <c r="V9" s="1173"/>
      <c r="W9" s="153"/>
      <c r="X9" s="1173"/>
      <c r="Y9" s="153"/>
      <c r="Z9" s="153"/>
      <c r="AA9" s="153"/>
      <c r="AB9" s="153"/>
      <c r="AC9" s="140"/>
      <c r="AD9" s="153"/>
      <c r="AE9" s="153"/>
      <c r="AF9" s="153"/>
      <c r="AG9" s="153"/>
      <c r="AH9" s="153"/>
      <c r="AI9" s="153"/>
      <c r="AJ9" s="153"/>
      <c r="AK9" s="153"/>
      <c r="AL9" s="153"/>
      <c r="AM9" s="153"/>
      <c r="AN9" s="153"/>
      <c r="AO9" s="153"/>
      <c r="AP9" s="153"/>
      <c r="AQ9" s="153"/>
      <c r="AR9" s="920"/>
      <c r="AS9" s="920"/>
      <c r="AT9" s="920"/>
      <c r="AU9" s="920"/>
      <c r="AV9" s="920"/>
      <c r="AW9" s="920"/>
    </row>
    <row r="10" spans="1:49">
      <c r="A10" s="147"/>
      <c r="B10" s="153"/>
      <c r="C10" s="419"/>
      <c r="D10" s="140"/>
      <c r="E10" s="419"/>
      <c r="F10" s="140"/>
      <c r="G10" s="140"/>
      <c r="H10" s="140"/>
      <c r="I10" s="140"/>
      <c r="J10" s="140"/>
      <c r="K10" s="140"/>
      <c r="L10" s="153"/>
      <c r="M10" s="153"/>
      <c r="N10" s="153"/>
      <c r="O10" s="153"/>
      <c r="P10" s="153"/>
      <c r="Q10" s="153"/>
      <c r="R10" s="153"/>
      <c r="S10" s="153"/>
      <c r="T10" s="153"/>
      <c r="U10" s="153"/>
      <c r="V10" s="953"/>
      <c r="W10" s="144"/>
      <c r="X10" s="953"/>
      <c r="Y10" s="144"/>
      <c r="Z10" s="144"/>
      <c r="AA10" s="144"/>
      <c r="AB10" s="144"/>
      <c r="AC10" s="140"/>
      <c r="AD10" s="153"/>
      <c r="AE10" s="153"/>
      <c r="AF10" s="153"/>
      <c r="AG10" s="153"/>
      <c r="AH10" s="153"/>
      <c r="AI10" s="153"/>
      <c r="AJ10" s="153"/>
      <c r="AK10" s="153"/>
      <c r="AL10" s="153"/>
      <c r="AM10" s="153"/>
      <c r="AN10" s="153"/>
      <c r="AO10" s="153"/>
      <c r="AP10" s="153"/>
      <c r="AQ10" s="153"/>
      <c r="AR10" s="920"/>
      <c r="AS10" s="920"/>
      <c r="AT10" s="920"/>
      <c r="AU10" s="920"/>
      <c r="AV10" s="920"/>
      <c r="AW10" s="920"/>
    </row>
    <row r="11" spans="1:49">
      <c r="A11" s="679"/>
      <c r="C11" s="3959" t="s">
        <v>1040</v>
      </c>
      <c r="D11" s="3959"/>
      <c r="E11" s="3959"/>
      <c r="F11" s="3959"/>
      <c r="G11" s="3959"/>
      <c r="H11" s="3959"/>
      <c r="I11" s="3959"/>
      <c r="J11" s="1167"/>
      <c r="K11" s="1167"/>
      <c r="L11" s="193"/>
      <c r="M11" s="191"/>
      <c r="N11" s="3959" t="s">
        <v>1041</v>
      </c>
      <c r="O11" s="3959"/>
      <c r="P11" s="3959"/>
      <c r="Q11" s="3959"/>
      <c r="R11" s="3959"/>
      <c r="S11" s="3959"/>
      <c r="T11" s="3959"/>
      <c r="U11" s="1176"/>
      <c r="V11" s="1403"/>
      <c r="W11" s="1423"/>
      <c r="X11" s="1423"/>
      <c r="Y11" s="1423"/>
      <c r="Z11" s="1423"/>
      <c r="AA11" s="1423"/>
      <c r="AB11" s="1423"/>
      <c r="AC11" s="148"/>
      <c r="AD11" s="191"/>
      <c r="AE11" s="191"/>
      <c r="AF11" s="191"/>
      <c r="AG11" s="191"/>
      <c r="AH11" s="191"/>
      <c r="AI11" s="191"/>
      <c r="AJ11" s="191"/>
      <c r="AK11" s="148"/>
      <c r="AL11" s="191"/>
      <c r="AM11" s="192"/>
      <c r="AN11" s="191"/>
      <c r="AO11" s="191"/>
      <c r="AP11" s="191"/>
      <c r="AQ11" s="191"/>
      <c r="AR11" s="920"/>
      <c r="AS11" s="920"/>
      <c r="AT11" s="920"/>
      <c r="AU11" s="920"/>
      <c r="AV11" s="920"/>
      <c r="AW11" s="920"/>
    </row>
    <row r="12" spans="1:49">
      <c r="A12" s="679"/>
      <c r="C12" s="420"/>
      <c r="D12" s="193"/>
      <c r="E12" s="420"/>
      <c r="F12" s="193"/>
      <c r="G12" s="194"/>
      <c r="H12" s="193"/>
      <c r="I12" s="193" t="s">
        <v>83</v>
      </c>
      <c r="J12" s="193"/>
      <c r="K12" s="193" t="s">
        <v>83</v>
      </c>
      <c r="L12" s="193"/>
      <c r="M12" s="1191"/>
      <c r="N12" s="420"/>
      <c r="O12" s="193"/>
      <c r="P12" s="420"/>
      <c r="Q12" s="193"/>
      <c r="R12" s="194"/>
      <c r="S12" s="193"/>
      <c r="T12" s="193" t="s">
        <v>83</v>
      </c>
      <c r="U12" s="191"/>
      <c r="V12" s="193" t="s">
        <v>83</v>
      </c>
      <c r="W12" s="193"/>
      <c r="X12" s="423"/>
      <c r="Y12" s="193"/>
      <c r="Z12" s="194"/>
      <c r="AA12" s="193"/>
      <c r="AB12" s="193"/>
      <c r="AC12" s="148"/>
      <c r="AD12" s="191"/>
      <c r="AE12" s="191"/>
      <c r="AF12" s="191"/>
      <c r="AG12" s="191"/>
      <c r="AH12" s="191"/>
      <c r="AI12" s="191"/>
      <c r="AJ12" s="191"/>
      <c r="AK12" s="148"/>
      <c r="AL12" s="191"/>
      <c r="AM12" s="192"/>
      <c r="AN12" s="191"/>
      <c r="AO12" s="191"/>
      <c r="AP12" s="191"/>
      <c r="AQ12" s="191"/>
      <c r="AR12" s="920"/>
      <c r="AS12" s="920"/>
      <c r="AT12" s="920"/>
      <c r="AU12" s="920"/>
      <c r="AV12" s="920"/>
      <c r="AW12" s="920"/>
    </row>
    <row r="13" spans="1:49">
      <c r="A13" s="679"/>
      <c r="B13" s="148"/>
      <c r="C13" s="421"/>
      <c r="D13" s="195"/>
      <c r="E13" s="421"/>
      <c r="F13" s="195"/>
      <c r="G13" s="195"/>
      <c r="H13" s="195"/>
      <c r="I13" s="196" t="s">
        <v>795</v>
      </c>
      <c r="J13" s="196"/>
      <c r="K13" s="196" t="s">
        <v>795</v>
      </c>
      <c r="L13" s="956"/>
      <c r="M13" s="1192"/>
      <c r="N13" s="421"/>
      <c r="O13" s="195"/>
      <c r="P13" s="421"/>
      <c r="Q13" s="195"/>
      <c r="R13" s="195"/>
      <c r="S13" s="195"/>
      <c r="T13" s="196" t="s">
        <v>795</v>
      </c>
      <c r="U13" s="198"/>
      <c r="V13" s="196" t="s">
        <v>795</v>
      </c>
      <c r="W13" s="955"/>
      <c r="X13" s="954"/>
      <c r="Y13" s="955"/>
      <c r="Z13" s="955"/>
      <c r="AA13" s="955"/>
      <c r="AB13" s="956"/>
      <c r="AC13" s="148"/>
      <c r="AD13" s="148"/>
      <c r="AE13" s="148"/>
      <c r="AF13" s="148"/>
      <c r="AG13" s="148"/>
      <c r="AH13" s="148"/>
      <c r="AI13" s="197"/>
      <c r="AJ13" s="198"/>
      <c r="AK13" s="148"/>
      <c r="AL13" s="148"/>
      <c r="AM13" s="148"/>
      <c r="AN13" s="148"/>
      <c r="AO13" s="148"/>
      <c r="AP13" s="148"/>
      <c r="AQ13" s="197"/>
      <c r="AR13" s="920"/>
      <c r="AS13" s="920"/>
      <c r="AT13" s="920"/>
      <c r="AU13" s="920"/>
      <c r="AV13" s="920"/>
      <c r="AW13" s="920"/>
    </row>
    <row r="14" spans="1:49">
      <c r="A14" s="679"/>
      <c r="B14" s="199"/>
      <c r="C14" s="151" t="s">
        <v>991</v>
      </c>
      <c r="D14" s="920"/>
      <c r="E14" s="150" t="s">
        <v>992</v>
      </c>
      <c r="F14" s="149"/>
      <c r="G14" s="149"/>
      <c r="H14" s="149"/>
      <c r="I14" s="150" t="s">
        <v>84</v>
      </c>
      <c r="J14" s="150"/>
      <c r="K14" s="150" t="s">
        <v>84</v>
      </c>
      <c r="L14" s="198"/>
      <c r="M14" s="1192"/>
      <c r="N14" s="151" t="s">
        <v>991</v>
      </c>
      <c r="O14" s="920"/>
      <c r="P14" s="150" t="s">
        <v>992</v>
      </c>
      <c r="Q14" s="149"/>
      <c r="R14" s="149"/>
      <c r="S14" s="149"/>
      <c r="T14" s="150" t="s">
        <v>84</v>
      </c>
      <c r="U14" s="198"/>
      <c r="V14" s="150" t="s">
        <v>84</v>
      </c>
      <c r="W14" s="680"/>
      <c r="X14" s="198"/>
      <c r="Y14" s="148"/>
      <c r="Z14" s="148"/>
      <c r="AA14" s="148"/>
      <c r="AB14" s="198"/>
      <c r="AC14" s="148"/>
      <c r="AD14" s="197"/>
      <c r="AE14" s="198"/>
      <c r="AF14" s="148"/>
      <c r="AG14" s="148"/>
      <c r="AH14" s="148"/>
      <c r="AI14" s="197"/>
      <c r="AJ14" s="198"/>
      <c r="AK14" s="148"/>
      <c r="AL14" s="197"/>
      <c r="AM14" s="198"/>
      <c r="AN14" s="148"/>
      <c r="AO14" s="148"/>
      <c r="AP14" s="148"/>
      <c r="AQ14" s="197"/>
      <c r="AR14" s="920"/>
      <c r="AS14" s="920"/>
      <c r="AT14" s="920"/>
      <c r="AU14" s="920"/>
      <c r="AV14" s="920"/>
      <c r="AW14" s="920"/>
    </row>
    <row r="15" spans="1:49">
      <c r="A15" s="679"/>
      <c r="B15" s="199"/>
      <c r="C15" s="150" t="s">
        <v>1028</v>
      </c>
      <c r="D15" s="149"/>
      <c r="E15" s="150" t="s">
        <v>1028</v>
      </c>
      <c r="F15" s="149"/>
      <c r="G15" s="149"/>
      <c r="H15" s="149"/>
      <c r="I15" s="150" t="s">
        <v>991</v>
      </c>
      <c r="J15" s="150"/>
      <c r="K15" s="150" t="s">
        <v>992</v>
      </c>
      <c r="L15" s="198"/>
      <c r="M15" s="1192"/>
      <c r="N15" s="150" t="s">
        <v>1028</v>
      </c>
      <c r="O15" s="149"/>
      <c r="P15" s="150" t="s">
        <v>1028</v>
      </c>
      <c r="Q15" s="149"/>
      <c r="R15" s="149"/>
      <c r="S15" s="149"/>
      <c r="T15" s="150" t="s">
        <v>991</v>
      </c>
      <c r="U15" s="198"/>
      <c r="V15" s="150" t="s">
        <v>992</v>
      </c>
      <c r="W15" s="148"/>
      <c r="X15" s="198"/>
      <c r="Y15" s="148"/>
      <c r="Z15" s="148"/>
      <c r="AA15" s="148"/>
      <c r="AB15" s="198"/>
      <c r="AC15" s="148"/>
      <c r="AD15" s="197"/>
      <c r="AE15" s="198"/>
      <c r="AF15" s="148"/>
      <c r="AG15" s="148"/>
      <c r="AH15" s="148"/>
      <c r="AI15" s="197"/>
      <c r="AJ15" s="198"/>
      <c r="AK15" s="148"/>
      <c r="AL15" s="197"/>
      <c r="AM15" s="198"/>
      <c r="AN15" s="148"/>
      <c r="AO15" s="148"/>
      <c r="AP15" s="148"/>
      <c r="AQ15" s="197"/>
      <c r="AR15" s="920"/>
      <c r="AS15" s="920"/>
      <c r="AT15" s="920"/>
      <c r="AU15" s="920"/>
      <c r="AV15" s="920"/>
      <c r="AW15" s="920"/>
    </row>
    <row r="16" spans="1:49">
      <c r="A16" s="679"/>
      <c r="B16" s="198"/>
      <c r="C16" s="150" t="s">
        <v>1029</v>
      </c>
      <c r="D16" s="149"/>
      <c r="E16" s="150" t="s">
        <v>1544</v>
      </c>
      <c r="F16" s="149"/>
      <c r="G16" s="151" t="s">
        <v>83</v>
      </c>
      <c r="H16" s="149"/>
      <c r="I16" s="150" t="s">
        <v>85</v>
      </c>
      <c r="J16" s="198"/>
      <c r="K16" s="150" t="s">
        <v>85</v>
      </c>
      <c r="L16" s="198"/>
      <c r="M16" s="1199"/>
      <c r="N16" s="1200" t="s">
        <v>1029</v>
      </c>
      <c r="O16" s="149"/>
      <c r="P16" s="150" t="s">
        <v>1544</v>
      </c>
      <c r="Q16" s="149"/>
      <c r="R16" s="151" t="s">
        <v>83</v>
      </c>
      <c r="S16" s="149"/>
      <c r="T16" s="150" t="s">
        <v>85</v>
      </c>
      <c r="U16" s="198"/>
      <c r="V16" s="150" t="s">
        <v>85</v>
      </c>
      <c r="W16" s="148"/>
      <c r="X16" s="198"/>
      <c r="Y16" s="148"/>
      <c r="Z16" s="197"/>
      <c r="AA16" s="148"/>
      <c r="AB16" s="198"/>
      <c r="AC16" s="148"/>
      <c r="AD16" s="198"/>
      <c r="AE16" s="198"/>
      <c r="AF16" s="148"/>
      <c r="AG16" s="197"/>
      <c r="AH16" s="148"/>
      <c r="AI16" s="197"/>
      <c r="AJ16" s="198"/>
      <c r="AK16" s="148"/>
      <c r="AL16" s="198"/>
      <c r="AM16" s="198"/>
      <c r="AN16" s="148"/>
      <c r="AO16" s="197"/>
      <c r="AP16" s="148"/>
      <c r="AQ16" s="197"/>
      <c r="AR16" s="920"/>
      <c r="AS16" s="920"/>
      <c r="AT16" s="920"/>
      <c r="AU16" s="920"/>
      <c r="AV16" s="920"/>
      <c r="AW16" s="920"/>
    </row>
    <row r="17" spans="1:49">
      <c r="A17" s="152"/>
      <c r="B17" s="153"/>
      <c r="C17" s="154"/>
      <c r="D17" s="140"/>
      <c r="E17" s="154"/>
      <c r="F17" s="140"/>
      <c r="G17" s="154"/>
      <c r="H17" s="140"/>
      <c r="I17" s="154"/>
      <c r="J17" s="153"/>
      <c r="K17" s="154"/>
      <c r="L17" s="153"/>
      <c r="M17" s="1193"/>
      <c r="N17" s="153"/>
      <c r="O17" s="140"/>
      <c r="P17" s="154"/>
      <c r="Q17" s="140"/>
      <c r="R17" s="154"/>
      <c r="S17" s="140"/>
      <c r="T17" s="154"/>
      <c r="U17" s="153"/>
      <c r="V17" s="154"/>
      <c r="W17" s="153"/>
      <c r="X17" s="153"/>
      <c r="Y17" s="153"/>
      <c r="Z17" s="153"/>
      <c r="AA17" s="153"/>
      <c r="AB17" s="153"/>
      <c r="AC17" s="153"/>
      <c r="AD17" s="153"/>
      <c r="AE17" s="153"/>
      <c r="AF17" s="153"/>
      <c r="AG17" s="153"/>
      <c r="AH17" s="153"/>
      <c r="AI17" s="153"/>
      <c r="AJ17" s="153"/>
      <c r="AK17" s="153"/>
      <c r="AL17" s="153"/>
      <c r="AM17" s="153"/>
      <c r="AN17" s="153"/>
      <c r="AO17" s="153"/>
      <c r="AP17" s="153"/>
      <c r="AQ17" s="153"/>
      <c r="AR17" s="920"/>
      <c r="AS17" s="920"/>
      <c r="AT17" s="920"/>
      <c r="AU17" s="920"/>
      <c r="AV17" s="920"/>
      <c r="AW17" s="920"/>
    </row>
    <row r="18" spans="1:49">
      <c r="A18" s="26" t="s">
        <v>13</v>
      </c>
      <c r="B18" s="913"/>
      <c r="C18" s="648"/>
      <c r="D18" s="648"/>
      <c r="E18" s="648"/>
      <c r="F18" s="648"/>
      <c r="G18" s="648"/>
      <c r="H18" s="648"/>
      <c r="I18" s="913"/>
      <c r="J18" s="648"/>
      <c r="K18" s="913"/>
      <c r="L18" s="913"/>
      <c r="M18" s="1194"/>
      <c r="N18" s="648"/>
      <c r="O18" s="648"/>
      <c r="P18" s="648"/>
      <c r="Q18" s="648"/>
      <c r="R18" s="648"/>
      <c r="S18" s="648"/>
      <c r="T18" s="648"/>
      <c r="U18" s="913"/>
      <c r="V18" s="913"/>
      <c r="W18" s="913"/>
      <c r="X18" s="913"/>
      <c r="Y18" s="913"/>
      <c r="Z18" s="913"/>
      <c r="AA18" s="913"/>
      <c r="AB18" s="913"/>
      <c r="AC18" s="913"/>
      <c r="AD18" s="913"/>
      <c r="AE18" s="913"/>
      <c r="AF18" s="913"/>
      <c r="AG18" s="913"/>
      <c r="AH18" s="913"/>
      <c r="AI18" s="913"/>
      <c r="AJ18" s="913"/>
      <c r="AK18" s="913"/>
      <c r="AL18" s="913"/>
      <c r="AM18" s="913"/>
      <c r="AN18" s="913"/>
      <c r="AO18" s="913"/>
      <c r="AP18" s="913"/>
      <c r="AQ18" s="913"/>
      <c r="AR18" s="920"/>
      <c r="AS18" s="920"/>
      <c r="AT18" s="920"/>
      <c r="AU18" s="920"/>
      <c r="AV18" s="920"/>
      <c r="AW18" s="920"/>
    </row>
    <row r="19" spans="1:49">
      <c r="A19" s="809" t="s">
        <v>86</v>
      </c>
      <c r="B19" s="914"/>
      <c r="C19" s="648"/>
      <c r="D19" s="914"/>
      <c r="E19" s="648"/>
      <c r="F19" s="914"/>
      <c r="G19" s="648"/>
      <c r="H19" s="914"/>
      <c r="I19" s="913"/>
      <c r="J19" s="648"/>
      <c r="K19" s="913"/>
      <c r="L19" s="913"/>
      <c r="M19" s="1194"/>
      <c r="N19" s="648"/>
      <c r="O19" s="914"/>
      <c r="P19" s="648"/>
      <c r="Q19" s="914"/>
      <c r="R19" s="648"/>
      <c r="S19" s="914"/>
      <c r="T19" s="648"/>
      <c r="U19" s="913"/>
      <c r="V19" s="913"/>
      <c r="W19" s="913"/>
      <c r="X19" s="913"/>
      <c r="Y19" s="913"/>
      <c r="Z19" s="913"/>
      <c r="AA19" s="934"/>
      <c r="AB19" s="913"/>
      <c r="AC19" s="913"/>
      <c r="AD19" s="913"/>
      <c r="AE19" s="913"/>
      <c r="AF19" s="913"/>
      <c r="AG19" s="913"/>
      <c r="AH19" s="913"/>
      <c r="AI19" s="913"/>
      <c r="AJ19" s="913"/>
      <c r="AK19" s="913"/>
      <c r="AL19" s="913"/>
      <c r="AM19" s="913"/>
      <c r="AN19" s="913"/>
      <c r="AO19" s="913"/>
      <c r="AP19" s="913"/>
      <c r="AQ19" s="913"/>
      <c r="AR19" s="920"/>
      <c r="AS19" s="920"/>
      <c r="AT19" s="920"/>
      <c r="AU19" s="920"/>
      <c r="AV19" s="920"/>
      <c r="AW19" s="920"/>
    </row>
    <row r="20" spans="1:49">
      <c r="A20" s="809" t="s">
        <v>87</v>
      </c>
      <c r="B20" s="914" t="s">
        <v>14</v>
      </c>
      <c r="C20" s="2039">
        <v>0</v>
      </c>
      <c r="D20" s="651"/>
      <c r="E20" s="2039">
        <v>0</v>
      </c>
      <c r="F20" s="651"/>
      <c r="G20" s="649">
        <f>'Exhibit G State'!AD17</f>
        <v>0</v>
      </c>
      <c r="H20" s="651"/>
      <c r="I20" s="960">
        <f>G20-C20</f>
        <v>0</v>
      </c>
      <c r="J20" s="649"/>
      <c r="K20" s="960">
        <f>G20-E20</f>
        <v>0</v>
      </c>
      <c r="L20" s="960"/>
      <c r="M20" s="1194"/>
      <c r="N20" s="2039">
        <v>0</v>
      </c>
      <c r="O20" s="882"/>
      <c r="P20" s="2039">
        <v>0</v>
      </c>
      <c r="Q20" s="651"/>
      <c r="R20" s="649">
        <v>0</v>
      </c>
      <c r="S20" s="651"/>
      <c r="T20" s="960">
        <f>R20-N20</f>
        <v>0</v>
      </c>
      <c r="U20" s="913"/>
      <c r="V20" s="960">
        <f>R20-P20</f>
        <v>0</v>
      </c>
      <c r="W20" s="958"/>
      <c r="X20" s="961"/>
      <c r="Y20" s="958"/>
      <c r="Z20" s="959"/>
      <c r="AA20" s="958"/>
      <c r="AB20" s="960"/>
      <c r="AC20" s="913"/>
      <c r="AD20" s="913"/>
      <c r="AE20" s="913"/>
      <c r="AF20" s="913"/>
      <c r="AG20" s="913"/>
      <c r="AH20" s="913"/>
      <c r="AI20" s="913"/>
      <c r="AJ20" s="913"/>
      <c r="AK20" s="913"/>
      <c r="AL20" s="913"/>
      <c r="AM20" s="913"/>
      <c r="AN20" s="913"/>
      <c r="AO20" s="913"/>
      <c r="AP20" s="913"/>
      <c r="AQ20" s="913"/>
      <c r="AR20" s="920"/>
      <c r="AS20" s="920"/>
      <c r="AT20" s="920"/>
      <c r="AU20" s="920"/>
      <c r="AV20" s="920"/>
      <c r="AW20" s="920"/>
    </row>
    <row r="21" spans="1:49">
      <c r="A21" s="809" t="s">
        <v>88</v>
      </c>
      <c r="B21" s="913" t="s">
        <v>14</v>
      </c>
      <c r="C21" s="1111">
        <v>950</v>
      </c>
      <c r="D21" s="1515"/>
      <c r="E21" s="1111">
        <v>1003</v>
      </c>
      <c r="F21" s="634"/>
      <c r="G21" s="634">
        <f>'Exhibit G State'!AD28</f>
        <v>1024.5999999999999</v>
      </c>
      <c r="H21" s="634"/>
      <c r="I21" s="1515">
        <f>ROUND(SUM(G21)-SUM(C21),1)</f>
        <v>74.599999999999994</v>
      </c>
      <c r="J21" s="634"/>
      <c r="K21" s="932">
        <f>G21-E21</f>
        <v>21.599999999999909</v>
      </c>
      <c r="L21" s="932"/>
      <c r="M21" s="1194"/>
      <c r="N21" s="1111">
        <v>0</v>
      </c>
      <c r="O21" s="884"/>
      <c r="P21" s="1111">
        <v>0</v>
      </c>
      <c r="Q21" s="634"/>
      <c r="R21" s="634">
        <v>0</v>
      </c>
      <c r="S21" s="634"/>
      <c r="T21" s="1515">
        <f>ROUND(SUM(R21)-SUM(N21),1)</f>
        <v>0</v>
      </c>
      <c r="U21" s="913"/>
      <c r="V21" s="932">
        <f>R21-P21</f>
        <v>0</v>
      </c>
      <c r="W21" s="932"/>
      <c r="X21" s="961"/>
      <c r="Y21" s="932"/>
      <c r="Z21" s="932"/>
      <c r="AA21" s="932"/>
      <c r="AB21" s="932"/>
      <c r="AC21" s="932"/>
      <c r="AD21" s="932"/>
      <c r="AE21" s="913"/>
      <c r="AF21" s="913"/>
      <c r="AG21" s="913"/>
      <c r="AH21" s="913"/>
      <c r="AI21" s="913"/>
      <c r="AJ21" s="913"/>
      <c r="AK21" s="913"/>
      <c r="AL21" s="913"/>
      <c r="AM21" s="913"/>
      <c r="AN21" s="913"/>
      <c r="AO21" s="913"/>
      <c r="AP21" s="913"/>
      <c r="AQ21" s="913"/>
      <c r="AR21" s="920"/>
      <c r="AS21" s="920"/>
      <c r="AT21" s="920"/>
      <c r="AU21" s="920"/>
      <c r="AV21" s="920"/>
      <c r="AW21" s="920"/>
    </row>
    <row r="22" spans="1:49">
      <c r="A22" s="809" t="s">
        <v>89</v>
      </c>
      <c r="B22" s="914" t="s">
        <v>14</v>
      </c>
      <c r="C22" s="1111">
        <v>976</v>
      </c>
      <c r="D22" s="671"/>
      <c r="E22" s="1111">
        <v>1038</v>
      </c>
      <c r="F22" s="671"/>
      <c r="G22" s="634">
        <f>'Exhibit G State'!AD35</f>
        <v>1163.3</v>
      </c>
      <c r="H22" s="671"/>
      <c r="I22" s="1515">
        <f>ROUND(SUM(G22)-SUM(C22),1)</f>
        <v>187.3</v>
      </c>
      <c r="J22" s="634"/>
      <c r="K22" s="932">
        <f t="shared" ref="K22:K25" si="0">G22-E22</f>
        <v>125.29999999999995</v>
      </c>
      <c r="L22" s="932"/>
      <c r="M22" s="1194"/>
      <c r="N22" s="1111">
        <v>0</v>
      </c>
      <c r="O22" s="673"/>
      <c r="P22" s="1111">
        <v>0</v>
      </c>
      <c r="Q22" s="671"/>
      <c r="R22" s="921">
        <v>0</v>
      </c>
      <c r="S22" s="671"/>
      <c r="T22" s="1515">
        <f t="shared" ref="T22" si="1">ROUND(SUM(R22)-SUM(N22),1)</f>
        <v>0</v>
      </c>
      <c r="U22" s="913"/>
      <c r="V22" s="932">
        <f t="shared" ref="V22:V25" si="2">R22-P22</f>
        <v>0</v>
      </c>
      <c r="W22" s="933"/>
      <c r="X22" s="961"/>
      <c r="Y22" s="933"/>
      <c r="Z22" s="932"/>
      <c r="AA22" s="933"/>
      <c r="AB22" s="932"/>
      <c r="AC22" s="933"/>
      <c r="AD22" s="932"/>
      <c r="AE22" s="913"/>
      <c r="AF22" s="934"/>
      <c r="AG22" s="913"/>
      <c r="AH22" s="934"/>
      <c r="AI22" s="913"/>
      <c r="AJ22" s="913"/>
      <c r="AK22" s="934"/>
      <c r="AL22" s="913"/>
      <c r="AM22" s="913"/>
      <c r="AN22" s="934"/>
      <c r="AO22" s="200"/>
      <c r="AP22" s="934"/>
      <c r="AQ22" s="913"/>
      <c r="AR22" s="920"/>
      <c r="AS22" s="920"/>
      <c r="AT22" s="920"/>
      <c r="AU22" s="920"/>
      <c r="AV22" s="920"/>
      <c r="AW22" s="920"/>
    </row>
    <row r="23" spans="1:49" ht="15" customHeight="1">
      <c r="A23" s="809" t="s">
        <v>19</v>
      </c>
      <c r="B23" s="913" t="s">
        <v>14</v>
      </c>
      <c r="C23" s="1111">
        <v>8107</v>
      </c>
      <c r="D23" s="931"/>
      <c r="E23" s="1111">
        <v>8877</v>
      </c>
      <c r="F23" s="931"/>
      <c r="G23" s="634">
        <f>'Exhibit G State'!AD80</f>
        <v>8925.4</v>
      </c>
      <c r="H23" s="634"/>
      <c r="I23" s="1515">
        <f>ROUND(SUM(G23)-SUM(C23),1)</f>
        <v>818.4</v>
      </c>
      <c r="J23" s="634"/>
      <c r="K23" s="932">
        <f t="shared" si="0"/>
        <v>48.399999999999636</v>
      </c>
      <c r="L23" s="932"/>
      <c r="M23" s="1194"/>
      <c r="N23" s="1111">
        <v>140</v>
      </c>
      <c r="O23" s="1958"/>
      <c r="P23" s="1111">
        <v>116</v>
      </c>
      <c r="Q23" s="931"/>
      <c r="R23" s="675">
        <f>'Exhibit G Federal'!AD52</f>
        <v>108</v>
      </c>
      <c r="S23" s="634"/>
      <c r="T23" s="1515">
        <f>ROUND(SUM(R23)-SUM(N23),1)</f>
        <v>-32</v>
      </c>
      <c r="U23" s="913"/>
      <c r="V23" s="932">
        <f t="shared" si="2"/>
        <v>-8</v>
      </c>
      <c r="W23" s="932"/>
      <c r="X23" s="961"/>
      <c r="Y23" s="932"/>
      <c r="Z23" s="932"/>
      <c r="AA23" s="932"/>
      <c r="AB23" s="932"/>
      <c r="AC23" s="932"/>
      <c r="AD23" s="932"/>
      <c r="AE23" s="913"/>
      <c r="AF23" s="913"/>
      <c r="AG23" s="913"/>
      <c r="AH23" s="913"/>
      <c r="AI23" s="913"/>
      <c r="AJ23" s="913"/>
      <c r="AK23" s="913"/>
      <c r="AL23" s="913"/>
      <c r="AM23" s="913"/>
      <c r="AN23" s="913"/>
      <c r="AO23" s="913"/>
      <c r="AP23" s="913"/>
      <c r="AQ23" s="913"/>
      <c r="AR23" s="920"/>
      <c r="AS23" s="920"/>
      <c r="AT23" s="920"/>
      <c r="AU23" s="920"/>
      <c r="AV23" s="920"/>
      <c r="AW23" s="920"/>
    </row>
    <row r="24" spans="1:49" ht="15" customHeight="1">
      <c r="A24" s="809" t="s">
        <v>20</v>
      </c>
      <c r="B24" s="913" t="s">
        <v>14</v>
      </c>
      <c r="C24" s="1111">
        <v>170</v>
      </c>
      <c r="D24" s="1515"/>
      <c r="E24" s="1111">
        <v>52</v>
      </c>
      <c r="F24" s="634"/>
      <c r="G24" s="675">
        <f>'Exhibit G State'!AD82</f>
        <v>0.1</v>
      </c>
      <c r="H24" s="634"/>
      <c r="I24" s="1515">
        <f>ROUND(SUM(G24)-SUM(C24),1)</f>
        <v>-169.9</v>
      </c>
      <c r="J24" s="634"/>
      <c r="K24" s="932">
        <f t="shared" si="0"/>
        <v>-51.9</v>
      </c>
      <c r="L24" s="932"/>
      <c r="M24" s="1194"/>
      <c r="N24" s="1111">
        <v>54448</v>
      </c>
      <c r="O24" s="884"/>
      <c r="P24" s="1111">
        <v>52677</v>
      </c>
      <c r="Q24" s="634"/>
      <c r="R24" s="675">
        <f>'Exhibit G Federal'!AD54</f>
        <v>51678.6</v>
      </c>
      <c r="S24" s="634"/>
      <c r="T24" s="1515">
        <f>ROUND(SUM(R24)-SUM(N24),1)</f>
        <v>-2769.4</v>
      </c>
      <c r="U24" s="913"/>
      <c r="V24" s="932">
        <f t="shared" si="2"/>
        <v>-998.40000000000146</v>
      </c>
      <c r="W24" s="932"/>
      <c r="X24" s="961"/>
      <c r="Y24" s="932"/>
      <c r="Z24" s="932"/>
      <c r="AA24" s="932"/>
      <c r="AB24" s="932"/>
      <c r="AC24" s="932"/>
      <c r="AD24" s="935"/>
      <c r="AE24" s="936"/>
      <c r="AF24" s="913"/>
      <c r="AG24" s="936"/>
      <c r="AH24" s="913"/>
      <c r="AI24" s="936"/>
      <c r="AJ24" s="937"/>
      <c r="AK24" s="913"/>
      <c r="AL24" s="913"/>
      <c r="AM24" s="913"/>
      <c r="AN24" s="913"/>
      <c r="AO24" s="913"/>
      <c r="AP24" s="913"/>
      <c r="AQ24" s="913"/>
      <c r="AR24" s="920"/>
      <c r="AS24" s="920"/>
      <c r="AT24" s="920"/>
      <c r="AU24" s="920"/>
      <c r="AV24" s="920"/>
      <c r="AW24" s="920"/>
    </row>
    <row r="25" spans="1:49">
      <c r="A25" s="809" t="s">
        <v>46</v>
      </c>
      <c r="B25" s="937" t="s">
        <v>14</v>
      </c>
      <c r="C25" s="1111">
        <v>1682</v>
      </c>
      <c r="D25" s="932"/>
      <c r="E25" s="1111">
        <v>2087</v>
      </c>
      <c r="F25" s="932"/>
      <c r="G25" s="1021">
        <f>'Exhibit G State'!AD111</f>
        <v>2208.4</v>
      </c>
      <c r="H25" s="634"/>
      <c r="I25" s="1515">
        <f>ROUND(SUM(G25)-SUM(C25),1)</f>
        <v>526.4</v>
      </c>
      <c r="J25" s="932"/>
      <c r="K25" s="932">
        <f t="shared" si="0"/>
        <v>121.40000000000009</v>
      </c>
      <c r="L25" s="932"/>
      <c r="M25" s="1195"/>
      <c r="N25" s="1111">
        <v>0</v>
      </c>
      <c r="O25" s="884"/>
      <c r="P25" s="1111">
        <v>0</v>
      </c>
      <c r="Q25" s="932"/>
      <c r="R25" s="1021">
        <f>+'Exhibit G Federal'!AD85</f>
        <v>0</v>
      </c>
      <c r="S25" s="634"/>
      <c r="T25" s="1515">
        <f>ROUND(SUM(R25)-SUM(N25),1)</f>
        <v>0</v>
      </c>
      <c r="U25" s="937"/>
      <c r="V25" s="932">
        <f t="shared" si="2"/>
        <v>0</v>
      </c>
      <c r="W25" s="932"/>
      <c r="X25" s="961"/>
      <c r="Y25" s="932"/>
      <c r="Z25" s="933"/>
      <c r="AA25" s="932"/>
      <c r="AB25" s="932"/>
      <c r="AC25" s="932"/>
      <c r="AD25" s="935"/>
      <c r="AE25" s="936"/>
      <c r="AF25" s="913"/>
      <c r="AG25" s="936"/>
      <c r="AH25" s="913"/>
      <c r="AI25" s="936"/>
      <c r="AJ25" s="937"/>
      <c r="AK25" s="913"/>
      <c r="AL25" s="913"/>
      <c r="AM25" s="913"/>
      <c r="AN25" s="913"/>
      <c r="AO25" s="913"/>
      <c r="AP25" s="913"/>
      <c r="AQ25" s="913"/>
      <c r="AR25" s="920"/>
      <c r="AS25" s="920"/>
      <c r="AT25" s="920"/>
      <c r="AU25" s="920"/>
      <c r="AV25" s="920"/>
      <c r="AW25" s="920"/>
    </row>
    <row r="26" spans="1:49" ht="18" customHeight="1">
      <c r="A26" s="170" t="s">
        <v>107</v>
      </c>
      <c r="B26" s="148" t="s">
        <v>14</v>
      </c>
      <c r="C26" s="212">
        <f>ROUND(SUM(C20:C25),1)</f>
        <v>11885</v>
      </c>
      <c r="D26" s="911"/>
      <c r="E26" s="212">
        <f>ROUND(SUM(E20:E25),1)</f>
        <v>13057</v>
      </c>
      <c r="F26" s="911"/>
      <c r="G26" s="212">
        <f>ROUND(SUM(G20:G25),1)</f>
        <v>13321.8</v>
      </c>
      <c r="H26" s="911"/>
      <c r="I26" s="1526">
        <f>ROUND(SUM(I20:I25),1)</f>
        <v>1436.8</v>
      </c>
      <c r="J26" s="73"/>
      <c r="K26" s="1526">
        <f>ROUND(SUM(K20:K25),1)</f>
        <v>264.8</v>
      </c>
      <c r="L26" s="73"/>
      <c r="M26" s="1194"/>
      <c r="N26" s="212">
        <f>ROUND(SUM(N20:N25),1)</f>
        <v>54588</v>
      </c>
      <c r="O26" s="911"/>
      <c r="P26" s="212">
        <f>ROUND(SUM(P20:P25),1)</f>
        <v>52793</v>
      </c>
      <c r="Q26" s="911"/>
      <c r="R26" s="291">
        <f>ROUND(SUM(R20:R25),1)</f>
        <v>51786.6</v>
      </c>
      <c r="S26" s="911"/>
      <c r="T26" s="291">
        <f>ROUND(SUM(T20:T25),1)</f>
        <v>-2801.4</v>
      </c>
      <c r="U26" s="148"/>
      <c r="V26" s="1526">
        <f>ROUND(SUM(V20:V25),1)</f>
        <v>-1006.4</v>
      </c>
      <c r="W26" s="73"/>
      <c r="X26" s="73"/>
      <c r="Y26" s="73"/>
      <c r="Z26" s="73"/>
      <c r="AA26" s="73"/>
      <c r="AB26" s="73"/>
      <c r="AC26" s="73"/>
      <c r="AD26" s="73"/>
      <c r="AE26" s="148"/>
      <c r="AF26" s="148"/>
      <c r="AG26" s="148"/>
      <c r="AH26" s="148"/>
      <c r="AI26" s="148"/>
      <c r="AJ26" s="148"/>
      <c r="AK26" s="148"/>
      <c r="AL26" s="148"/>
      <c r="AM26" s="148"/>
      <c r="AN26" s="148"/>
      <c r="AO26" s="148"/>
      <c r="AP26" s="148"/>
      <c r="AQ26" s="148"/>
      <c r="AR26" s="920"/>
      <c r="AS26" s="920"/>
      <c r="AT26" s="920"/>
      <c r="AU26" s="920"/>
      <c r="AV26" s="920"/>
      <c r="AW26" s="920"/>
    </row>
    <row r="27" spans="1:49">
      <c r="A27" s="679"/>
      <c r="B27" s="913"/>
      <c r="C27" s="677"/>
      <c r="D27" s="634"/>
      <c r="E27" s="677"/>
      <c r="F27" s="634"/>
      <c r="G27" s="677"/>
      <c r="H27" s="634"/>
      <c r="I27" s="932"/>
      <c r="J27" s="932"/>
      <c r="K27" s="932"/>
      <c r="L27" s="932"/>
      <c r="M27" s="1194"/>
      <c r="N27" s="677"/>
      <c r="O27" s="1515"/>
      <c r="P27" s="677"/>
      <c r="Q27" s="634"/>
      <c r="R27" s="677"/>
      <c r="S27" s="634"/>
      <c r="T27" s="932"/>
      <c r="U27" s="913"/>
      <c r="V27" s="932"/>
      <c r="W27" s="932"/>
      <c r="X27" s="932"/>
      <c r="Y27" s="932"/>
      <c r="Z27" s="932"/>
      <c r="AA27" s="932"/>
      <c r="AB27" s="932"/>
      <c r="AC27" s="932"/>
      <c r="AD27" s="932"/>
      <c r="AE27" s="913"/>
      <c r="AF27" s="913"/>
      <c r="AG27" s="913"/>
      <c r="AH27" s="913"/>
      <c r="AI27" s="913"/>
      <c r="AJ27" s="913"/>
      <c r="AK27" s="913"/>
      <c r="AL27" s="913"/>
      <c r="AM27" s="913"/>
      <c r="AN27" s="913"/>
      <c r="AO27" s="913"/>
      <c r="AP27" s="913"/>
      <c r="AQ27" s="913"/>
      <c r="AR27" s="920"/>
      <c r="AS27" s="920"/>
      <c r="AT27" s="920"/>
      <c r="AU27" s="920"/>
      <c r="AV27" s="920"/>
      <c r="AW27" s="920"/>
    </row>
    <row r="28" spans="1:49">
      <c r="A28" s="26" t="s">
        <v>22</v>
      </c>
      <c r="B28" s="913"/>
      <c r="C28" s="634"/>
      <c r="D28" s="634"/>
      <c r="E28" s="1515"/>
      <c r="F28" s="634"/>
      <c r="G28" s="634"/>
      <c r="H28" s="634"/>
      <c r="I28" s="932"/>
      <c r="J28" s="932"/>
      <c r="K28" s="932"/>
      <c r="L28" s="932"/>
      <c r="M28" s="1194"/>
      <c r="N28" s="1515"/>
      <c r="O28" s="1515"/>
      <c r="P28" s="1515"/>
      <c r="Q28" s="634"/>
      <c r="R28" s="634"/>
      <c r="S28" s="634"/>
      <c r="T28" s="634"/>
      <c r="U28" s="913"/>
      <c r="V28" s="932"/>
      <c r="W28" s="932"/>
      <c r="X28" s="932"/>
      <c r="Y28" s="932"/>
      <c r="Z28" s="932"/>
      <c r="AA28" s="932"/>
      <c r="AB28" s="932"/>
      <c r="AC28" s="932"/>
      <c r="AD28" s="932"/>
      <c r="AE28" s="913"/>
      <c r="AF28" s="913"/>
      <c r="AG28" s="913"/>
      <c r="AH28" s="913"/>
      <c r="AI28" s="913"/>
      <c r="AJ28" s="913"/>
      <c r="AK28" s="913"/>
      <c r="AL28" s="913"/>
      <c r="AM28" s="913"/>
      <c r="AN28" s="913"/>
      <c r="AO28" s="913"/>
      <c r="AP28" s="913"/>
      <c r="AQ28" s="913"/>
      <c r="AR28" s="920"/>
      <c r="AS28" s="920"/>
      <c r="AT28" s="920"/>
      <c r="AU28" s="920"/>
      <c r="AV28" s="920"/>
      <c r="AW28" s="920"/>
    </row>
    <row r="29" spans="1:49">
      <c r="A29" s="809" t="s">
        <v>92</v>
      </c>
      <c r="B29" s="934" t="s">
        <v>14</v>
      </c>
      <c r="C29" s="1111">
        <v>8253</v>
      </c>
      <c r="D29" s="1515"/>
      <c r="E29" s="1111">
        <v>8131</v>
      </c>
      <c r="F29" s="634"/>
      <c r="G29" s="671">
        <f>'Exhibit G State'!AD98</f>
        <v>8009.8</v>
      </c>
      <c r="H29" s="634"/>
      <c r="I29" s="1515">
        <f t="shared" ref="I29:I34" si="3">ROUND(SUM(G29)-SUM(C29),1)</f>
        <v>-243.2</v>
      </c>
      <c r="J29" s="932"/>
      <c r="K29" s="932">
        <f t="shared" ref="K29:K34" si="4">G29-E29</f>
        <v>-121.19999999999982</v>
      </c>
      <c r="L29" s="932"/>
      <c r="M29" s="1194"/>
      <c r="N29" s="1111">
        <v>36166</v>
      </c>
      <c r="O29" s="1515"/>
      <c r="P29" s="1111">
        <v>34781</v>
      </c>
      <c r="Q29" s="634"/>
      <c r="R29" s="671">
        <f>'Exhibit G Federal'!AD70</f>
        <v>34090</v>
      </c>
      <c r="S29" s="634"/>
      <c r="T29" s="1515">
        <f t="shared" ref="T29:T34" si="5">ROUND(SUM(R29)-SUM(N29),1)</f>
        <v>-2076</v>
      </c>
      <c r="U29" s="913"/>
      <c r="V29" s="932">
        <f t="shared" ref="V29:V34" si="6">R29-P29</f>
        <v>-691</v>
      </c>
      <c r="W29" s="932"/>
      <c r="X29" s="961"/>
      <c r="Y29" s="932"/>
      <c r="Z29" s="932"/>
      <c r="AA29" s="932"/>
      <c r="AB29" s="932"/>
      <c r="AC29" s="932"/>
      <c r="AD29" s="935"/>
      <c r="AE29" s="936"/>
      <c r="AF29" s="913"/>
      <c r="AG29" s="936"/>
      <c r="AH29" s="913"/>
      <c r="AI29" s="936"/>
      <c r="AJ29" s="937"/>
      <c r="AK29" s="913"/>
      <c r="AL29" s="913"/>
      <c r="AM29" s="913"/>
      <c r="AN29" s="913"/>
      <c r="AO29" s="913"/>
      <c r="AP29" s="913"/>
      <c r="AQ29" s="913"/>
      <c r="AR29" s="920"/>
      <c r="AS29" s="920"/>
      <c r="AT29" s="920"/>
      <c r="AU29" s="920"/>
      <c r="AV29" s="920"/>
      <c r="AW29" s="920"/>
    </row>
    <row r="30" spans="1:49">
      <c r="A30" s="809" t="s">
        <v>93</v>
      </c>
      <c r="B30" s="934" t="s">
        <v>14</v>
      </c>
      <c r="C30" s="1111">
        <v>3820</v>
      </c>
      <c r="D30" s="1515"/>
      <c r="E30" s="1111">
        <v>3887</v>
      </c>
      <c r="F30" s="634"/>
      <c r="G30" s="671">
        <f>'Exhibit G State'!AD100+'Exhibit G State'!AD101</f>
        <v>3931.9</v>
      </c>
      <c r="H30" s="634"/>
      <c r="I30" s="1515">
        <f t="shared" si="3"/>
        <v>111.9</v>
      </c>
      <c r="J30" s="932"/>
      <c r="K30" s="932">
        <f t="shared" si="4"/>
        <v>44.900000000000091</v>
      </c>
      <c r="L30" s="932"/>
      <c r="M30" s="1194"/>
      <c r="N30" s="1111">
        <v>2349</v>
      </c>
      <c r="O30" s="1515"/>
      <c r="P30" s="1111">
        <v>2079</v>
      </c>
      <c r="Q30" s="634"/>
      <c r="R30" s="671">
        <f>'Exhibit G Federal'!AD72+'Exhibit G Federal'!AD73</f>
        <v>2045.8000000000002</v>
      </c>
      <c r="S30" s="634"/>
      <c r="T30" s="1515">
        <f t="shared" si="5"/>
        <v>-303.2</v>
      </c>
      <c r="U30" s="913"/>
      <c r="V30" s="932">
        <f t="shared" si="6"/>
        <v>-33.199999999999818</v>
      </c>
      <c r="W30" s="932"/>
      <c r="X30" s="961"/>
      <c r="Y30" s="932"/>
      <c r="Z30" s="932"/>
      <c r="AA30" s="932"/>
      <c r="AB30" s="932"/>
      <c r="AC30" s="932"/>
      <c r="AD30" s="933"/>
      <c r="AE30" s="934"/>
      <c r="AF30" s="913"/>
      <c r="AG30" s="934"/>
      <c r="AH30" s="913"/>
      <c r="AI30" s="936"/>
      <c r="AJ30" s="913"/>
      <c r="AK30" s="913"/>
      <c r="AL30" s="936"/>
      <c r="AM30" s="936"/>
      <c r="AN30" s="913"/>
      <c r="AO30" s="936"/>
      <c r="AP30" s="913"/>
      <c r="AQ30" s="936"/>
      <c r="AR30" s="920"/>
      <c r="AS30" s="920"/>
      <c r="AT30" s="920"/>
      <c r="AU30" s="920"/>
      <c r="AV30" s="920"/>
      <c r="AW30" s="920"/>
    </row>
    <row r="31" spans="1:49">
      <c r="A31" s="809" t="s">
        <v>68</v>
      </c>
      <c r="B31" s="934" t="s">
        <v>14</v>
      </c>
      <c r="C31" s="1111">
        <v>458</v>
      </c>
      <c r="D31" s="1515"/>
      <c r="E31" s="1111">
        <v>486</v>
      </c>
      <c r="F31" s="634"/>
      <c r="G31" s="671">
        <f>'Exhibit G State'!AD102</f>
        <v>472.7</v>
      </c>
      <c r="H31" s="634"/>
      <c r="I31" s="1515">
        <f t="shared" si="3"/>
        <v>14.7</v>
      </c>
      <c r="J31" s="932"/>
      <c r="K31" s="932">
        <f t="shared" si="4"/>
        <v>-13.300000000000011</v>
      </c>
      <c r="L31" s="932"/>
      <c r="M31" s="1194"/>
      <c r="N31" s="1111">
        <v>256</v>
      </c>
      <c r="O31" s="1515"/>
      <c r="P31" s="1111">
        <v>395</v>
      </c>
      <c r="Q31" s="634"/>
      <c r="R31" s="671">
        <f>'Exhibit G Federal'!AD74</f>
        <v>388.6</v>
      </c>
      <c r="S31" s="634"/>
      <c r="T31" s="1515">
        <f t="shared" si="5"/>
        <v>132.6</v>
      </c>
      <c r="U31" s="913"/>
      <c r="V31" s="932">
        <f t="shared" si="6"/>
        <v>-6.3999999999999773</v>
      </c>
      <c r="W31" s="932"/>
      <c r="X31" s="961"/>
      <c r="Y31" s="932"/>
      <c r="Z31" s="932"/>
      <c r="AA31" s="932"/>
      <c r="AB31" s="932"/>
      <c r="AC31" s="932"/>
      <c r="AD31" s="935"/>
      <c r="AE31" s="936"/>
      <c r="AF31" s="913"/>
      <c r="AG31" s="936"/>
      <c r="AH31" s="913"/>
      <c r="AI31" s="936"/>
      <c r="AJ31" s="937"/>
      <c r="AK31" s="913"/>
      <c r="AL31" s="936"/>
      <c r="AM31" s="936"/>
      <c r="AN31" s="913"/>
      <c r="AO31" s="936"/>
      <c r="AP31" s="913"/>
      <c r="AQ31" s="936"/>
      <c r="AR31" s="920"/>
      <c r="AS31" s="920"/>
      <c r="AT31" s="920"/>
      <c r="AU31" s="920"/>
      <c r="AV31" s="920"/>
      <c r="AW31" s="920"/>
    </row>
    <row r="32" spans="1:49">
      <c r="A32" s="809" t="s">
        <v>94</v>
      </c>
      <c r="B32" s="934"/>
      <c r="C32" s="1111">
        <v>0</v>
      </c>
      <c r="D32" s="1515"/>
      <c r="E32" s="1111">
        <v>0</v>
      </c>
      <c r="F32" s="1515"/>
      <c r="G32" s="671">
        <v>0</v>
      </c>
      <c r="H32" s="1515"/>
      <c r="I32" s="1515">
        <f t="shared" si="3"/>
        <v>0</v>
      </c>
      <c r="J32" s="932"/>
      <c r="K32" s="932">
        <f t="shared" si="4"/>
        <v>0</v>
      </c>
      <c r="L32" s="932"/>
      <c r="M32" s="1194"/>
      <c r="N32" s="1111">
        <v>42</v>
      </c>
      <c r="O32" s="1515"/>
      <c r="P32" s="1111">
        <v>42</v>
      </c>
      <c r="Q32" s="1515"/>
      <c r="R32" s="671">
        <f>'Exhibit G Federal'!AD76</f>
        <v>42.3</v>
      </c>
      <c r="S32" s="1515"/>
      <c r="T32" s="1515">
        <f t="shared" si="5"/>
        <v>0.3</v>
      </c>
      <c r="U32" s="913"/>
      <c r="V32" s="932">
        <f t="shared" si="6"/>
        <v>0.29999999999999716</v>
      </c>
      <c r="W32" s="932"/>
      <c r="X32" s="961"/>
      <c r="Y32" s="932"/>
      <c r="Z32" s="932"/>
      <c r="AA32" s="932"/>
      <c r="AB32" s="932"/>
      <c r="AC32" s="932"/>
      <c r="AD32" s="935"/>
      <c r="AE32" s="936"/>
      <c r="AF32" s="913"/>
      <c r="AG32" s="936"/>
      <c r="AH32" s="913"/>
      <c r="AI32" s="936"/>
      <c r="AJ32" s="937"/>
      <c r="AK32" s="913"/>
      <c r="AL32" s="936"/>
      <c r="AM32" s="936"/>
      <c r="AN32" s="913"/>
      <c r="AO32" s="936"/>
      <c r="AP32" s="913"/>
      <c r="AQ32" s="936"/>
      <c r="AR32" s="920"/>
      <c r="AS32" s="920"/>
      <c r="AT32" s="920"/>
      <c r="AU32" s="920"/>
      <c r="AV32" s="920"/>
      <c r="AW32" s="920"/>
    </row>
    <row r="33" spans="1:49">
      <c r="A33" s="809" t="s">
        <v>41</v>
      </c>
      <c r="B33" s="937" t="s">
        <v>14</v>
      </c>
      <c r="C33" s="1111">
        <v>0</v>
      </c>
      <c r="D33" s="1515"/>
      <c r="E33" s="1111">
        <v>0</v>
      </c>
      <c r="F33" s="634"/>
      <c r="G33" s="650">
        <f>'Exhibit G State'!AD103</f>
        <v>0</v>
      </c>
      <c r="H33" s="634"/>
      <c r="I33" s="1515">
        <f t="shared" si="3"/>
        <v>0</v>
      </c>
      <c r="J33" s="932"/>
      <c r="K33" s="932">
        <f t="shared" si="4"/>
        <v>0</v>
      </c>
      <c r="L33" s="932"/>
      <c r="M33" s="1195"/>
      <c r="N33" s="1111">
        <v>0</v>
      </c>
      <c r="O33" s="1515"/>
      <c r="P33" s="1111">
        <v>0</v>
      </c>
      <c r="Q33" s="634"/>
      <c r="R33" s="671">
        <f>'Exhibit G Federal'!AD77</f>
        <v>0</v>
      </c>
      <c r="S33" s="634"/>
      <c r="T33" s="1515">
        <f t="shared" si="5"/>
        <v>0</v>
      </c>
      <c r="U33" s="937"/>
      <c r="V33" s="932">
        <f t="shared" si="6"/>
        <v>0</v>
      </c>
      <c r="W33" s="932"/>
      <c r="X33" s="961"/>
      <c r="Y33" s="932"/>
      <c r="Z33" s="932"/>
      <c r="AA33" s="932"/>
      <c r="AB33" s="932"/>
      <c r="AC33" s="932"/>
      <c r="AD33" s="935"/>
      <c r="AE33" s="936"/>
      <c r="AF33" s="913"/>
      <c r="AG33" s="936"/>
      <c r="AH33" s="913"/>
      <c r="AI33" s="936"/>
      <c r="AJ33" s="937"/>
      <c r="AK33" s="913"/>
      <c r="AL33" s="913"/>
      <c r="AM33" s="913"/>
      <c r="AN33" s="913"/>
      <c r="AO33" s="913"/>
      <c r="AP33" s="913"/>
      <c r="AQ33" s="913"/>
      <c r="AR33" s="920"/>
      <c r="AS33" s="920"/>
      <c r="AT33" s="920"/>
      <c r="AU33" s="920"/>
      <c r="AV33" s="920"/>
      <c r="AW33" s="920"/>
    </row>
    <row r="34" spans="1:49">
      <c r="A34" s="809" t="s">
        <v>97</v>
      </c>
      <c r="B34" s="937" t="s">
        <v>14</v>
      </c>
      <c r="C34" s="1111">
        <v>169</v>
      </c>
      <c r="D34" s="1515"/>
      <c r="E34" s="1111">
        <v>166</v>
      </c>
      <c r="F34" s="634"/>
      <c r="G34" s="675">
        <f>-'Exhibit G State'!AD112</f>
        <v>117.6</v>
      </c>
      <c r="H34" s="634"/>
      <c r="I34" s="1515">
        <f t="shared" si="3"/>
        <v>-51.4</v>
      </c>
      <c r="J34" s="932"/>
      <c r="K34" s="932">
        <f t="shared" si="4"/>
        <v>-48.400000000000006</v>
      </c>
      <c r="L34" s="932"/>
      <c r="M34" s="1195"/>
      <c r="N34" s="1111">
        <v>1001</v>
      </c>
      <c r="O34" s="1515"/>
      <c r="P34" s="1111">
        <v>1085</v>
      </c>
      <c r="Q34" s="634"/>
      <c r="R34" s="675">
        <f>-'Exhibit G Federal'!AD86</f>
        <v>1056.4000000000001</v>
      </c>
      <c r="S34" s="634"/>
      <c r="T34" s="1515">
        <f t="shared" si="5"/>
        <v>55.4</v>
      </c>
      <c r="U34" s="937"/>
      <c r="V34" s="932">
        <f t="shared" si="6"/>
        <v>-28.599999999999909</v>
      </c>
      <c r="W34" s="932"/>
      <c r="X34" s="961"/>
      <c r="Y34" s="932"/>
      <c r="Z34" s="933"/>
      <c r="AA34" s="932"/>
      <c r="AB34" s="932"/>
      <c r="AC34" s="932"/>
      <c r="AD34" s="935"/>
      <c r="AE34" s="936"/>
      <c r="AF34" s="913"/>
      <c r="AG34" s="936"/>
      <c r="AH34" s="913"/>
      <c r="AI34" s="936"/>
      <c r="AJ34" s="937"/>
      <c r="AK34" s="913"/>
      <c r="AL34" s="913"/>
      <c r="AM34" s="913"/>
      <c r="AN34" s="913"/>
      <c r="AO34" s="913"/>
      <c r="AP34" s="913"/>
      <c r="AQ34" s="913"/>
      <c r="AR34" s="920"/>
      <c r="AS34" s="920"/>
      <c r="AT34" s="920"/>
      <c r="AU34" s="920"/>
      <c r="AV34" s="920"/>
      <c r="AW34" s="920"/>
    </row>
    <row r="35" spans="1:49" ht="18" customHeight="1">
      <c r="A35" s="170" t="s">
        <v>116</v>
      </c>
      <c r="B35" s="148" t="s">
        <v>14</v>
      </c>
      <c r="C35" s="291">
        <f>ROUND(SUM(C29:C34),1)</f>
        <v>12700</v>
      </c>
      <c r="D35" s="911"/>
      <c r="E35" s="291">
        <f>ROUND(SUM(E29:E34),1)</f>
        <v>12670</v>
      </c>
      <c r="F35" s="911"/>
      <c r="G35" s="291">
        <f>ROUND(SUM(G29:G34),1)</f>
        <v>12532</v>
      </c>
      <c r="H35" s="911"/>
      <c r="I35" s="291">
        <f>ROUND(SUM(I29:I34),1)</f>
        <v>-168</v>
      </c>
      <c r="J35" s="73"/>
      <c r="K35" s="291">
        <f>ROUND(SUM(K29:K34),1)</f>
        <v>-138</v>
      </c>
      <c r="L35" s="73"/>
      <c r="M35" s="1198"/>
      <c r="N35" s="291">
        <f>ROUND(SUM(N29:N34),1)</f>
        <v>39814</v>
      </c>
      <c r="O35" s="911"/>
      <c r="P35" s="291">
        <f>ROUND(SUM(P29:P34),1)</f>
        <v>38382</v>
      </c>
      <c r="Q35" s="911"/>
      <c r="R35" s="291">
        <f>ROUND(SUM(R29:R34),1)</f>
        <v>37623.1</v>
      </c>
      <c r="S35" s="911"/>
      <c r="T35" s="291">
        <f>ROUND(SUM(T29:T34),1)</f>
        <v>-2190.9</v>
      </c>
      <c r="U35" s="148"/>
      <c r="V35" s="291">
        <f>ROUND(SUM(V29:V34),1)</f>
        <v>-758.9</v>
      </c>
      <c r="W35" s="73"/>
      <c r="X35" s="73"/>
      <c r="Y35" s="73"/>
      <c r="Z35" s="73"/>
      <c r="AA35" s="73"/>
      <c r="AB35" s="73"/>
      <c r="AC35" s="73"/>
      <c r="AD35" s="73"/>
      <c r="AE35" s="148"/>
      <c r="AF35" s="148"/>
      <c r="AG35" s="148"/>
      <c r="AH35" s="148"/>
      <c r="AI35" s="148"/>
      <c r="AJ35" s="148"/>
      <c r="AK35" s="148"/>
      <c r="AL35" s="148"/>
      <c r="AM35" s="148"/>
      <c r="AN35" s="148"/>
      <c r="AO35" s="148"/>
      <c r="AP35" s="148"/>
      <c r="AQ35" s="148"/>
      <c r="AR35" s="920"/>
      <c r="AS35" s="920"/>
      <c r="AT35" s="920"/>
      <c r="AU35" s="920"/>
      <c r="AV35" s="920"/>
      <c r="AW35" s="920"/>
    </row>
    <row r="36" spans="1:49">
      <c r="A36" s="679"/>
      <c r="B36" s="913"/>
      <c r="C36" s="677"/>
      <c r="D36" s="634"/>
      <c r="E36" s="677"/>
      <c r="F36" s="634"/>
      <c r="G36" s="677"/>
      <c r="H36" s="634"/>
      <c r="I36" s="932"/>
      <c r="J36" s="932"/>
      <c r="K36" s="932"/>
      <c r="L36" s="932"/>
      <c r="M36" s="1194"/>
      <c r="N36" s="677"/>
      <c r="O36" s="1515"/>
      <c r="P36" s="677"/>
      <c r="Q36" s="634"/>
      <c r="R36" s="677"/>
      <c r="S36" s="634"/>
      <c r="T36" s="932"/>
      <c r="U36" s="913"/>
      <c r="V36" s="932"/>
      <c r="W36" s="932"/>
      <c r="X36" s="932"/>
      <c r="Y36" s="932"/>
      <c r="Z36" s="932"/>
      <c r="AA36" s="932"/>
      <c r="AB36" s="932"/>
      <c r="AC36" s="932"/>
      <c r="AD36" s="932"/>
      <c r="AE36" s="913"/>
      <c r="AF36" s="913"/>
      <c r="AG36" s="913"/>
      <c r="AH36" s="913"/>
      <c r="AI36" s="913"/>
      <c r="AJ36" s="913"/>
      <c r="AK36" s="913"/>
      <c r="AL36" s="913"/>
      <c r="AM36" s="913"/>
      <c r="AN36" s="913"/>
      <c r="AO36" s="913"/>
      <c r="AP36" s="913"/>
      <c r="AQ36" s="913"/>
      <c r="AR36" s="920"/>
      <c r="AS36" s="920"/>
      <c r="AT36" s="920"/>
      <c r="AU36" s="920"/>
      <c r="AV36" s="920"/>
      <c r="AW36" s="920"/>
    </row>
    <row r="37" spans="1:49">
      <c r="A37" s="26" t="s">
        <v>117</v>
      </c>
      <c r="B37" s="913"/>
      <c r="C37" s="634"/>
      <c r="D37" s="634"/>
      <c r="E37" s="1515"/>
      <c r="F37" s="634"/>
      <c r="G37" s="634"/>
      <c r="H37" s="634"/>
      <c r="I37" s="932"/>
      <c r="J37" s="932"/>
      <c r="K37" s="932"/>
      <c r="L37" s="932"/>
      <c r="M37" s="1194"/>
      <c r="N37" s="1515"/>
      <c r="O37" s="1515"/>
      <c r="P37" s="1515"/>
      <c r="Q37" s="634"/>
      <c r="R37" s="634"/>
      <c r="S37" s="634"/>
      <c r="T37" s="634"/>
      <c r="U37" s="913"/>
      <c r="V37" s="932"/>
      <c r="W37" s="932"/>
      <c r="X37" s="932"/>
      <c r="Y37" s="932"/>
      <c r="Z37" s="932"/>
      <c r="AA37" s="932"/>
      <c r="AB37" s="932"/>
      <c r="AC37" s="932"/>
      <c r="AD37" s="932"/>
      <c r="AE37" s="913"/>
      <c r="AF37" s="913"/>
      <c r="AG37" s="913"/>
      <c r="AH37" s="913"/>
      <c r="AI37" s="913"/>
      <c r="AJ37" s="913"/>
      <c r="AK37" s="913"/>
      <c r="AL37" s="913"/>
      <c r="AM37" s="913"/>
      <c r="AN37" s="913"/>
      <c r="AO37" s="913"/>
      <c r="AP37" s="913"/>
      <c r="AQ37" s="913"/>
      <c r="AR37" s="920"/>
      <c r="AS37" s="920"/>
      <c r="AT37" s="920"/>
      <c r="AU37" s="920"/>
      <c r="AV37" s="920"/>
      <c r="AW37" s="920"/>
    </row>
    <row r="38" spans="1:49">
      <c r="A38" s="26" t="s">
        <v>118</v>
      </c>
      <c r="B38" s="913"/>
      <c r="C38" s="634"/>
      <c r="D38" s="634"/>
      <c r="E38" s="1515"/>
      <c r="F38" s="634"/>
      <c r="G38" s="634"/>
      <c r="H38" s="634"/>
      <c r="I38" s="932"/>
      <c r="J38" s="932"/>
      <c r="K38" s="932"/>
      <c r="L38" s="932"/>
      <c r="M38" s="1194"/>
      <c r="N38" s="1515"/>
      <c r="O38" s="1515"/>
      <c r="P38" s="1515"/>
      <c r="Q38" s="634"/>
      <c r="R38" s="634"/>
      <c r="S38" s="634"/>
      <c r="T38" s="634"/>
      <c r="U38" s="913"/>
      <c r="V38" s="932"/>
      <c r="W38" s="932"/>
      <c r="X38" s="932"/>
      <c r="Y38" s="932"/>
      <c r="Z38" s="932"/>
      <c r="AA38" s="932"/>
      <c r="AB38" s="932"/>
      <c r="AC38" s="932"/>
      <c r="AD38" s="932"/>
      <c r="AE38" s="913"/>
      <c r="AF38" s="913"/>
      <c r="AG38" s="913"/>
      <c r="AH38" s="913"/>
      <c r="AI38" s="913"/>
      <c r="AJ38" s="913"/>
      <c r="AK38" s="913"/>
      <c r="AL38" s="913"/>
      <c r="AM38" s="913"/>
      <c r="AN38" s="913"/>
      <c r="AO38" s="913"/>
      <c r="AP38" s="913"/>
      <c r="AQ38" s="913"/>
      <c r="AR38" s="920"/>
      <c r="AS38" s="920"/>
      <c r="AT38" s="920"/>
      <c r="AU38" s="920"/>
      <c r="AV38" s="920"/>
      <c r="AW38" s="920"/>
    </row>
    <row r="39" spans="1:49">
      <c r="A39" s="170" t="s">
        <v>101</v>
      </c>
      <c r="B39" s="910" t="s">
        <v>14</v>
      </c>
      <c r="C39" s="73">
        <f>ROUND(SUM(C26)-SUM(C35),1)</f>
        <v>-815</v>
      </c>
      <c r="D39" s="81"/>
      <c r="E39" s="1516">
        <f>ROUND(SUM(E26)-SUM(E35),1)</f>
        <v>387</v>
      </c>
      <c r="F39" s="81"/>
      <c r="G39" s="73">
        <f>ROUND(SUM(G26)-SUM(G35),1)</f>
        <v>789.8</v>
      </c>
      <c r="H39" s="81"/>
      <c r="I39" s="73">
        <f>ROUND(SUM(I26)-SUM(I35),1)</f>
        <v>1604.8</v>
      </c>
      <c r="J39" s="73"/>
      <c r="K39" s="1516">
        <f t="shared" ref="K39:K41" si="7">G39-E39</f>
        <v>402.79999999999995</v>
      </c>
      <c r="L39" s="73"/>
      <c r="M39" s="1196"/>
      <c r="N39" s="1516">
        <f>ROUND(SUM(N26)-SUM(N35),1)</f>
        <v>14774</v>
      </c>
      <c r="O39" s="81"/>
      <c r="P39" s="1516">
        <f>ROUND(SUM(P26)-SUM(P35),1)</f>
        <v>14411</v>
      </c>
      <c r="Q39" s="81"/>
      <c r="R39" s="73">
        <f>ROUND(SUM(R26)-SUM(R35),1)</f>
        <v>14163.5</v>
      </c>
      <c r="S39" s="81"/>
      <c r="T39" s="73">
        <f>ROUND(SUM(T26)-SUM(T35),1)</f>
        <v>-610.5</v>
      </c>
      <c r="U39" s="148"/>
      <c r="V39" s="1516">
        <f t="shared" ref="V39:V41" si="8">R39-P39</f>
        <v>-247.5</v>
      </c>
      <c r="W39" s="389"/>
      <c r="X39" s="73"/>
      <c r="Y39" s="389"/>
      <c r="Z39" s="73"/>
      <c r="AA39" s="389"/>
      <c r="AB39" s="73"/>
      <c r="AC39" s="389"/>
      <c r="AD39" s="73"/>
      <c r="AE39" s="148"/>
      <c r="AF39" s="171"/>
      <c r="AG39" s="148"/>
      <c r="AH39" s="171"/>
      <c r="AI39" s="148"/>
      <c r="AJ39" s="148"/>
      <c r="AK39" s="171"/>
      <c r="AL39" s="148"/>
      <c r="AM39" s="148"/>
      <c r="AN39" s="171"/>
      <c r="AO39" s="148"/>
      <c r="AP39" s="171"/>
      <c r="AQ39" s="148"/>
      <c r="AR39" s="920"/>
      <c r="AS39" s="920"/>
      <c r="AT39" s="920"/>
      <c r="AU39" s="920"/>
      <c r="AV39" s="920"/>
      <c r="AW39" s="920"/>
    </row>
    <row r="40" spans="1:49" ht="15" customHeight="1">
      <c r="C40" s="660"/>
      <c r="D40" s="921"/>
      <c r="E40" s="660"/>
      <c r="F40" s="921"/>
      <c r="G40" s="660"/>
      <c r="H40" s="921"/>
      <c r="I40" s="73"/>
      <c r="J40" s="73"/>
      <c r="K40" s="932"/>
      <c r="L40" s="73"/>
      <c r="M40" s="1196"/>
      <c r="N40" s="660"/>
      <c r="O40" s="921"/>
      <c r="P40" s="660"/>
      <c r="Q40" s="921"/>
      <c r="R40" s="660"/>
      <c r="S40" s="921"/>
      <c r="T40" s="73"/>
      <c r="U40" s="148"/>
      <c r="V40" s="932"/>
      <c r="W40" s="660"/>
      <c r="X40" s="660"/>
      <c r="Y40" s="660"/>
      <c r="Z40" s="660"/>
      <c r="AA40" s="660"/>
      <c r="AB40" s="660"/>
      <c r="AC40" s="660"/>
      <c r="AD40" s="660"/>
      <c r="AR40" s="920"/>
      <c r="AS40" s="920"/>
      <c r="AT40" s="920"/>
      <c r="AU40" s="920"/>
      <c r="AV40" s="920"/>
      <c r="AW40" s="920"/>
    </row>
    <row r="41" spans="1:49">
      <c r="A41" s="170" t="str">
        <f>+'Exh D-Governmental  '!A49</f>
        <v>Fund Balances (Deficits) at April 1</v>
      </c>
      <c r="B41" s="613" t="s">
        <v>14</v>
      </c>
      <c r="C41" s="112">
        <v>5708</v>
      </c>
      <c r="D41" s="1635"/>
      <c r="E41" s="112">
        <v>5708</v>
      </c>
      <c r="F41" s="921"/>
      <c r="G41" s="112">
        <f>'Exhibit G State'!D13</f>
        <v>5708.6</v>
      </c>
      <c r="H41" s="1635"/>
      <c r="I41" s="911">
        <f>ROUND(SUM(G41)-SUM(C41),1)</f>
        <v>0.6</v>
      </c>
      <c r="J41" s="78"/>
      <c r="K41" s="1516">
        <f t="shared" si="7"/>
        <v>0.6000000000003638</v>
      </c>
      <c r="L41" s="78"/>
      <c r="M41" s="1196"/>
      <c r="N41" s="112">
        <v>4961</v>
      </c>
      <c r="O41" s="1635"/>
      <c r="P41" s="112">
        <v>4961</v>
      </c>
      <c r="Q41" s="921"/>
      <c r="R41" s="112">
        <f>'Exhibit G Federal'!D13</f>
        <v>4960.7</v>
      </c>
      <c r="S41" s="1635"/>
      <c r="T41" s="911">
        <f>ROUND(SUM(R41)-SUM(N41),1)</f>
        <v>-0.3</v>
      </c>
      <c r="U41" s="148"/>
      <c r="V41" s="1516">
        <f t="shared" si="8"/>
        <v>-0.3000000000001819</v>
      </c>
      <c r="W41" s="660"/>
      <c r="X41" s="73"/>
      <c r="Y41" s="660"/>
      <c r="Z41" s="73"/>
      <c r="AA41" s="660"/>
      <c r="AB41" s="78"/>
      <c r="AC41" s="660"/>
      <c r="AD41" s="660"/>
      <c r="AR41" s="920"/>
      <c r="AS41" s="920"/>
      <c r="AT41" s="920"/>
      <c r="AU41" s="920"/>
      <c r="AV41" s="920"/>
      <c r="AW41" s="920"/>
    </row>
    <row r="42" spans="1:49" ht="18" customHeight="1" thickBot="1">
      <c r="A42" s="1338" t="str">
        <f>+'Exh D-Governmental  '!A50</f>
        <v>Fund Balances (Deficits) at September 30, 2021</v>
      </c>
      <c r="B42" s="177" t="s">
        <v>14</v>
      </c>
      <c r="C42" s="95">
        <f>ROUND(SUM(C39:C41),1)</f>
        <v>4893</v>
      </c>
      <c r="D42" s="178"/>
      <c r="E42" s="95">
        <f>ROUND(SUM(E39:E41),1)</f>
        <v>6095</v>
      </c>
      <c r="F42" s="178"/>
      <c r="G42" s="95">
        <f>ROUND(SUM(G39:G41),1)</f>
        <v>6498.4</v>
      </c>
      <c r="H42" s="178"/>
      <c r="I42" s="95">
        <f>ROUND(SUM(I39:I41),1)</f>
        <v>1605.4</v>
      </c>
      <c r="J42" s="216"/>
      <c r="K42" s="95">
        <f>ROUND(SUM(K39:K41),1)</f>
        <v>403.4</v>
      </c>
      <c r="L42" s="216"/>
      <c r="M42" s="1197"/>
      <c r="N42" s="95">
        <f>ROUND(SUM(N39:N41),1)</f>
        <v>19735</v>
      </c>
      <c r="O42" s="178"/>
      <c r="P42" s="95">
        <f>ROUND(SUM(P39:P41),1)</f>
        <v>19372</v>
      </c>
      <c r="Q42" s="178"/>
      <c r="R42" s="95">
        <f>ROUND(SUM(R39:R41),1)</f>
        <v>19124.2</v>
      </c>
      <c r="S42" s="178"/>
      <c r="T42" s="95">
        <f>ROUND(SUM(T39:T41),1)</f>
        <v>-610.79999999999995</v>
      </c>
      <c r="U42" s="148"/>
      <c r="V42" s="95">
        <f>ROUND(SUM(V39:V41),1)</f>
        <v>-247.8</v>
      </c>
      <c r="W42" s="964"/>
      <c r="X42" s="216"/>
      <c r="Y42" s="964"/>
      <c r="Z42" s="216"/>
      <c r="AA42" s="964"/>
      <c r="AB42" s="216"/>
      <c r="AR42" s="920"/>
      <c r="AS42" s="920"/>
      <c r="AT42" s="920"/>
      <c r="AU42" s="920"/>
      <c r="AV42" s="920"/>
      <c r="AW42" s="920"/>
    </row>
    <row r="43" spans="1:49" ht="15" customHeight="1" thickTop="1">
      <c r="A43" s="152"/>
      <c r="G43" s="613"/>
      <c r="J43" s="613"/>
      <c r="V43" s="613"/>
      <c r="W43" s="965"/>
      <c r="X43" s="678"/>
      <c r="Y43" s="965"/>
      <c r="Z43" s="965"/>
      <c r="AA43" s="965"/>
      <c r="AB43" s="965"/>
      <c r="AR43" s="920"/>
      <c r="AS43" s="920"/>
      <c r="AT43" s="920"/>
      <c r="AU43" s="920"/>
      <c r="AV43" s="920"/>
      <c r="AW43" s="920"/>
    </row>
    <row r="44" spans="1:49">
      <c r="A44" s="925" t="str">
        <f>'Exh D-Governmental  '!A52</f>
        <v>(*)    Source: 2021-22 Enacted Financial Plan dated May 25, 2021.</v>
      </c>
      <c r="AR44" s="920"/>
      <c r="AS44" s="920"/>
      <c r="AT44" s="920"/>
      <c r="AU44" s="920"/>
      <c r="AV44" s="920"/>
      <c r="AW44" s="920"/>
    </row>
    <row r="45" spans="1:49">
      <c r="A45" s="925" t="str">
        <f>'Exh D-Governmental  '!A53</f>
        <v>(**)   Source: 2021-22 First Quarter Update dated September 15, 2021.</v>
      </c>
      <c r="B45" s="920"/>
      <c r="C45" s="938"/>
      <c r="D45" s="920"/>
      <c r="E45" s="920"/>
      <c r="F45" s="920"/>
      <c r="G45" s="920"/>
      <c r="H45" s="920"/>
      <c r="I45" s="920"/>
      <c r="J45" s="920"/>
      <c r="K45" s="920"/>
      <c r="L45" s="680"/>
      <c r="M45" s="680"/>
      <c r="N45" s="920"/>
      <c r="O45" s="920"/>
      <c r="P45" s="920"/>
      <c r="Q45" s="920"/>
      <c r="R45" s="920"/>
      <c r="S45" s="920"/>
      <c r="T45" s="920"/>
      <c r="U45" s="920"/>
      <c r="V45" s="680"/>
      <c r="W45" s="680"/>
      <c r="X45" s="680"/>
      <c r="Y45" s="680"/>
      <c r="Z45" s="680"/>
      <c r="AA45" s="680"/>
      <c r="AB45" s="680"/>
      <c r="AC45" s="920"/>
      <c r="AD45" s="920"/>
      <c r="AE45" s="920"/>
      <c r="AF45" s="920"/>
      <c r="AG45" s="920"/>
      <c r="AH45" s="920"/>
      <c r="AI45" s="920"/>
      <c r="AJ45" s="920"/>
      <c r="AK45" s="920"/>
      <c r="AL45" s="920"/>
      <c r="AM45" s="920"/>
      <c r="AN45" s="920"/>
      <c r="AO45" s="920"/>
      <c r="AP45" s="920"/>
      <c r="AQ45" s="920"/>
      <c r="AR45" s="920"/>
      <c r="AS45" s="920"/>
      <c r="AT45" s="920"/>
      <c r="AU45" s="920"/>
      <c r="AV45" s="920"/>
      <c r="AW45" s="920"/>
    </row>
    <row r="46" spans="1:49">
      <c r="A46" s="896"/>
    </row>
    <row r="47" spans="1:49">
      <c r="A47" s="201"/>
      <c r="B47" s="920"/>
      <c r="C47" s="920"/>
      <c r="D47" s="920"/>
      <c r="E47" s="920"/>
      <c r="F47" s="920"/>
      <c r="G47" s="920"/>
      <c r="H47" s="920"/>
      <c r="I47" s="920"/>
      <c r="J47" s="920"/>
      <c r="K47" s="920"/>
      <c r="L47" s="680"/>
      <c r="M47" s="680"/>
      <c r="N47" s="920"/>
      <c r="O47" s="920"/>
      <c r="P47" s="920"/>
      <c r="Q47" s="920"/>
      <c r="R47" s="920"/>
      <c r="S47" s="920"/>
      <c r="T47" s="920"/>
      <c r="U47" s="920"/>
      <c r="V47" s="680"/>
      <c r="W47" s="680"/>
      <c r="X47" s="680"/>
      <c r="Y47" s="680"/>
      <c r="Z47" s="680"/>
      <c r="AA47" s="680"/>
      <c r="AB47" s="680"/>
      <c r="AC47" s="920"/>
      <c r="AD47" s="920"/>
      <c r="AE47" s="920"/>
      <c r="AF47" s="920"/>
      <c r="AG47" s="920"/>
      <c r="AH47" s="920"/>
      <c r="AI47" s="920"/>
      <c r="AJ47" s="920"/>
      <c r="AK47" s="920"/>
      <c r="AL47" s="920"/>
      <c r="AM47" s="920"/>
      <c r="AN47" s="920"/>
      <c r="AO47" s="920"/>
      <c r="AP47" s="920"/>
      <c r="AQ47" s="920"/>
      <c r="AR47" s="920"/>
      <c r="AS47" s="920"/>
      <c r="AT47" s="920"/>
      <c r="AU47" s="920"/>
      <c r="AV47" s="920"/>
      <c r="AW47" s="920"/>
    </row>
    <row r="48" spans="1:49">
      <c r="A48" s="201"/>
      <c r="B48" s="920"/>
      <c r="C48" s="938"/>
      <c r="D48" s="920"/>
      <c r="E48" s="938"/>
      <c r="F48" s="920"/>
      <c r="G48" s="920"/>
      <c r="H48" s="920"/>
      <c r="I48" s="920"/>
      <c r="J48" s="920"/>
      <c r="K48" s="920"/>
      <c r="L48" s="680"/>
      <c r="M48" s="680"/>
      <c r="N48" s="920"/>
      <c r="O48" s="920"/>
      <c r="P48" s="920"/>
      <c r="Q48" s="920"/>
      <c r="R48" s="920"/>
      <c r="S48" s="920"/>
      <c r="T48" s="920"/>
      <c r="U48" s="920"/>
      <c r="V48" s="680"/>
      <c r="W48" s="680"/>
      <c r="X48" s="680"/>
      <c r="Y48" s="680"/>
      <c r="Z48" s="680"/>
      <c r="AA48" s="680"/>
      <c r="AB48" s="680"/>
      <c r="AC48" s="920"/>
      <c r="AD48" s="920"/>
      <c r="AE48" s="920"/>
      <c r="AF48" s="920"/>
      <c r="AG48" s="920"/>
      <c r="AH48" s="920"/>
      <c r="AI48" s="920"/>
      <c r="AJ48" s="920"/>
      <c r="AK48" s="920"/>
      <c r="AL48" s="920"/>
      <c r="AM48" s="920"/>
      <c r="AN48" s="920"/>
      <c r="AO48" s="920"/>
      <c r="AP48" s="920"/>
      <c r="AQ48" s="920"/>
      <c r="AR48" s="920"/>
      <c r="AS48" s="920"/>
      <c r="AT48" s="920"/>
      <c r="AU48" s="920"/>
      <c r="AV48" s="920"/>
      <c r="AW48" s="920"/>
    </row>
    <row r="49" spans="3:5">
      <c r="C49" s="965"/>
      <c r="E49" s="965"/>
    </row>
    <row r="50" spans="3:5">
      <c r="C50" s="965"/>
      <c r="E50" s="965"/>
    </row>
    <row r="51" spans="3:5">
      <c r="C51" s="965"/>
      <c r="E51" s="965"/>
    </row>
    <row r="52" spans="3:5">
      <c r="C52" s="965"/>
      <c r="E52" s="965"/>
    </row>
    <row r="53" spans="3:5">
      <c r="C53" s="965"/>
      <c r="E53" s="965"/>
    </row>
    <row r="54" spans="3:5">
      <c r="C54" s="965"/>
      <c r="E54" s="965"/>
    </row>
    <row r="55" spans="3:5">
      <c r="C55" s="965"/>
      <c r="E55" s="965"/>
    </row>
    <row r="56" spans="3:5">
      <c r="C56" s="965"/>
      <c r="E56" s="965"/>
    </row>
    <row r="57" spans="3:5">
      <c r="C57" s="965"/>
      <c r="E57" s="965"/>
    </row>
    <row r="58" spans="3:5">
      <c r="C58" s="965"/>
      <c r="E58" s="965"/>
    </row>
    <row r="59" spans="3:5">
      <c r="C59" s="965"/>
      <c r="E59" s="965"/>
    </row>
    <row r="60" spans="3:5">
      <c r="C60" s="965"/>
      <c r="E60" s="965"/>
    </row>
    <row r="61" spans="3:5">
      <c r="C61" s="965"/>
      <c r="E61" s="965"/>
    </row>
    <row r="62" spans="3:5">
      <c r="C62" s="965"/>
      <c r="E62" s="965"/>
    </row>
    <row r="63" spans="3:5">
      <c r="C63" s="965"/>
      <c r="E63" s="965"/>
    </row>
    <row r="64" spans="3:5">
      <c r="C64" s="965"/>
      <c r="E64" s="965"/>
    </row>
    <row r="65" spans="3:5">
      <c r="C65" s="965"/>
      <c r="E65" s="965"/>
    </row>
    <row r="66" spans="3:5">
      <c r="C66" s="965"/>
      <c r="E66" s="965"/>
    </row>
    <row r="67" spans="3:5">
      <c r="C67" s="965"/>
      <c r="E67" s="965"/>
    </row>
    <row r="68" spans="3:5">
      <c r="C68" s="965"/>
      <c r="E68" s="965"/>
    </row>
    <row r="69" spans="3:5">
      <c r="C69" s="965"/>
      <c r="E69" s="965"/>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AD47"/>
  <sheetViews>
    <sheetView showGridLines="0" zoomScaleNormal="90" workbookViewId="0"/>
  </sheetViews>
  <sheetFormatPr defaultColWidth="8.84375" defaultRowHeight="15.5"/>
  <cols>
    <col min="1" max="1" width="47.07421875" style="920" customWidth="1"/>
    <col min="2" max="2" width="2" style="613" customWidth="1"/>
    <col min="3" max="3" width="15.07421875" style="422" customWidth="1"/>
    <col min="4" max="4" width="1.84375" style="924" customWidth="1"/>
    <col min="5" max="5" width="15.07421875" style="422" customWidth="1"/>
    <col min="6" max="6" width="2.84375" style="924" customWidth="1"/>
    <col min="7" max="7" width="15.07421875" style="924" customWidth="1"/>
    <col min="8" max="8" width="2" style="924" customWidth="1"/>
    <col min="9" max="9" width="15.07421875" style="924" customWidth="1"/>
    <col min="10" max="10" width="2.07421875" style="613" customWidth="1"/>
    <col min="11" max="11" width="15.07421875" style="613" customWidth="1"/>
    <col min="12" max="12" width="11.4609375" style="613" customWidth="1"/>
    <col min="13" max="13" width="1.84375" style="613" customWidth="1"/>
    <col min="14" max="14" width="11.84375" style="613" customWidth="1"/>
    <col min="15" max="15" width="2.07421875" style="613" customWidth="1"/>
    <col min="16" max="16" width="11.4609375" style="613" customWidth="1"/>
    <col min="17" max="17" width="0.53515625" style="613" customWidth="1"/>
    <col min="18" max="18" width="2.07421875" style="613" customWidth="1"/>
    <col min="19" max="19" width="10.53515625" style="613" customWidth="1"/>
    <col min="20" max="20" width="11.07421875" style="613" customWidth="1"/>
    <col min="21" max="21" width="2.07421875" style="613" customWidth="1"/>
    <col min="22" max="22" width="11.07421875" style="613" customWidth="1"/>
    <col min="23" max="23" width="2.07421875" style="613" customWidth="1"/>
    <col min="24" max="24" width="12.4609375" style="613" customWidth="1"/>
    <col min="25" max="29" width="8.84375" style="613"/>
    <col min="30" max="30" width="8.84375" style="924"/>
    <col min="31" max="16384" width="8.84375" style="920"/>
  </cols>
  <sheetData>
    <row r="1" spans="1:24">
      <c r="A1" s="926" t="s">
        <v>882</v>
      </c>
      <c r="B1" s="183"/>
      <c r="C1" s="416"/>
      <c r="D1" s="184"/>
      <c r="E1" s="416"/>
      <c r="F1" s="184"/>
      <c r="G1" s="184"/>
      <c r="H1" s="184"/>
      <c r="I1" s="184"/>
      <c r="J1" s="184"/>
      <c r="K1" s="183"/>
      <c r="L1" s="183"/>
      <c r="M1" s="183"/>
      <c r="N1" s="183"/>
      <c r="O1" s="183"/>
      <c r="P1" s="183"/>
      <c r="Q1" s="183"/>
      <c r="R1" s="183"/>
      <c r="S1" s="183"/>
      <c r="T1" s="183"/>
      <c r="U1" s="183"/>
      <c r="V1" s="183"/>
      <c r="W1" s="183"/>
      <c r="X1" s="183"/>
    </row>
    <row r="2" spans="1:24" ht="17.149999999999999" customHeight="1">
      <c r="A2" s="185"/>
      <c r="B2" s="186"/>
      <c r="C2" s="416"/>
      <c r="D2" s="184"/>
      <c r="E2" s="416"/>
      <c r="F2" s="184"/>
      <c r="G2" s="187"/>
      <c r="H2" s="184"/>
      <c r="I2" s="184"/>
      <c r="J2" s="184"/>
      <c r="K2" s="183"/>
      <c r="L2" s="183"/>
      <c r="M2" s="183"/>
      <c r="N2" s="183"/>
      <c r="O2" s="183"/>
      <c r="P2" s="183"/>
      <c r="Q2" s="183"/>
      <c r="R2" s="183"/>
      <c r="S2" s="183"/>
      <c r="T2" s="183"/>
      <c r="U2" s="183"/>
      <c r="V2" s="183"/>
      <c r="W2" s="183"/>
      <c r="X2" s="183"/>
    </row>
    <row r="3" spans="1:24" ht="17.25" customHeight="1">
      <c r="A3" s="188" t="s">
        <v>0</v>
      </c>
      <c r="B3" s="145"/>
      <c r="C3" s="419"/>
      <c r="D3" s="140"/>
      <c r="E3" s="419"/>
      <c r="F3" s="140"/>
      <c r="G3" s="140"/>
      <c r="H3" s="140"/>
      <c r="I3" s="811"/>
      <c r="J3" s="140"/>
      <c r="K3" s="811" t="s">
        <v>82</v>
      </c>
      <c r="L3" s="153"/>
      <c r="M3" s="153"/>
      <c r="N3" s="153"/>
      <c r="O3" s="153"/>
      <c r="P3" s="153"/>
      <c r="Q3" s="153"/>
      <c r="R3" s="153"/>
      <c r="S3" s="153"/>
      <c r="T3" s="153"/>
      <c r="U3" s="153"/>
      <c r="V3" s="153"/>
      <c r="W3" s="153"/>
      <c r="X3" s="189"/>
    </row>
    <row r="4" spans="1:24" ht="17.25" customHeight="1">
      <c r="A4" s="188" t="s">
        <v>81</v>
      </c>
      <c r="B4" s="145"/>
      <c r="C4" s="419"/>
      <c r="D4" s="140"/>
      <c r="E4" s="419"/>
      <c r="F4" s="140"/>
      <c r="G4" s="140"/>
      <c r="H4" s="140"/>
      <c r="I4" s="812"/>
      <c r="J4" s="140"/>
      <c r="K4" s="812"/>
      <c r="L4" s="153"/>
      <c r="M4" s="153"/>
      <c r="N4" s="153"/>
      <c r="O4" s="153"/>
      <c r="P4" s="153"/>
      <c r="Q4" s="153"/>
      <c r="R4" s="153"/>
      <c r="S4" s="153"/>
      <c r="T4" s="153"/>
      <c r="U4" s="153"/>
      <c r="V4" s="153"/>
      <c r="W4" s="153"/>
      <c r="X4" s="153"/>
    </row>
    <row r="5" spans="1:24" ht="17.25" customHeight="1">
      <c r="A5" s="3957" t="str">
        <f>'Exh D-Governmental  '!A5:E5</f>
        <v>FISCAL YEAR 2021-2022</v>
      </c>
      <c r="B5" s="3958"/>
      <c r="C5" s="3958"/>
      <c r="D5" s="3958"/>
      <c r="E5" s="3958"/>
      <c r="F5" s="140"/>
      <c r="G5" s="140"/>
      <c r="H5" s="140"/>
      <c r="I5" s="140"/>
      <c r="J5" s="140"/>
      <c r="K5" s="153"/>
      <c r="L5" s="153"/>
      <c r="M5" s="153"/>
      <c r="N5" s="153"/>
      <c r="O5" s="153"/>
      <c r="P5" s="153"/>
      <c r="Q5" s="153"/>
      <c r="R5" s="153"/>
      <c r="S5" s="153"/>
      <c r="T5" s="153"/>
      <c r="U5" s="153"/>
      <c r="V5" s="153"/>
      <c r="W5" s="153"/>
      <c r="X5" s="153"/>
    </row>
    <row r="6" spans="1:24" ht="17.25" customHeight="1">
      <c r="A6" s="1459" t="str">
        <f>'Exh D-Governmental  '!A6</f>
        <v xml:space="preserve">FOR SIX MONTHS ENDED SEPTEMBER 30, 2021    </v>
      </c>
      <c r="B6" s="144"/>
      <c r="C6" s="419"/>
      <c r="D6" s="140"/>
      <c r="E6" s="419"/>
      <c r="F6" s="140"/>
      <c r="G6" s="140"/>
      <c r="H6" s="140"/>
      <c r="I6" s="140"/>
      <c r="J6" s="140"/>
      <c r="K6" s="153"/>
      <c r="L6" s="153"/>
      <c r="M6" s="153"/>
      <c r="N6" s="153"/>
      <c r="O6" s="153"/>
      <c r="P6" s="153"/>
      <c r="Q6" s="153"/>
      <c r="R6" s="153"/>
      <c r="S6" s="153"/>
      <c r="T6" s="153"/>
      <c r="U6" s="153"/>
      <c r="V6" s="153"/>
      <c r="W6" s="153"/>
      <c r="X6" s="153"/>
    </row>
    <row r="7" spans="1:24" ht="18">
      <c r="A7" s="188" t="s">
        <v>1278</v>
      </c>
      <c r="B7" s="145"/>
      <c r="C7" s="419"/>
      <c r="D7" s="140"/>
      <c r="E7" s="419"/>
      <c r="F7" s="140"/>
      <c r="G7" s="140"/>
      <c r="H7" s="140"/>
      <c r="I7" s="140"/>
      <c r="J7" s="140"/>
      <c r="K7" s="153"/>
      <c r="L7" s="153"/>
      <c r="M7" s="153"/>
      <c r="N7" s="153"/>
      <c r="O7" s="153"/>
      <c r="P7" s="153"/>
      <c r="Q7" s="153"/>
      <c r="R7" s="153"/>
      <c r="S7" s="153"/>
      <c r="T7" s="153"/>
      <c r="U7" s="153"/>
      <c r="V7" s="153"/>
      <c r="W7" s="153"/>
      <c r="X7" s="153"/>
    </row>
    <row r="8" spans="1:24" ht="15" customHeight="1">
      <c r="A8" s="190"/>
      <c r="B8" s="144"/>
      <c r="C8" s="419"/>
      <c r="D8" s="140"/>
      <c r="E8" s="419"/>
      <c r="F8" s="140"/>
      <c r="G8" s="140"/>
      <c r="H8" s="140"/>
      <c r="I8" s="140"/>
      <c r="J8" s="140"/>
      <c r="K8" s="153"/>
      <c r="L8" s="153"/>
      <c r="M8" s="153"/>
      <c r="N8" s="153"/>
      <c r="O8" s="153"/>
      <c r="P8" s="153"/>
      <c r="Q8" s="153"/>
      <c r="R8" s="153"/>
      <c r="S8" s="153"/>
      <c r="T8" s="153"/>
      <c r="U8" s="153"/>
      <c r="V8" s="153"/>
      <c r="W8" s="153"/>
      <c r="X8" s="153"/>
    </row>
    <row r="9" spans="1:24">
      <c r="A9" s="147"/>
      <c r="B9" s="153"/>
      <c r="C9" s="419"/>
      <c r="D9" s="140"/>
      <c r="E9" s="419"/>
      <c r="F9" s="140"/>
      <c r="G9" s="140"/>
      <c r="H9" s="140"/>
      <c r="I9" s="140"/>
      <c r="J9" s="140"/>
      <c r="K9" s="153"/>
      <c r="L9" s="153"/>
      <c r="M9" s="153"/>
      <c r="N9" s="153"/>
      <c r="O9" s="153"/>
      <c r="P9" s="153"/>
      <c r="Q9" s="153"/>
      <c r="R9" s="153"/>
      <c r="S9" s="153"/>
      <c r="T9" s="153"/>
      <c r="U9" s="153"/>
      <c r="V9" s="153"/>
      <c r="W9" s="153"/>
      <c r="X9" s="153"/>
    </row>
    <row r="10" spans="1:24">
      <c r="A10" s="147"/>
      <c r="B10" s="153"/>
      <c r="C10" s="418"/>
      <c r="D10" s="145"/>
      <c r="E10" s="418"/>
      <c r="F10" s="145"/>
      <c r="G10" s="145"/>
      <c r="H10" s="145"/>
      <c r="I10" s="145"/>
      <c r="J10" s="140"/>
      <c r="K10" s="153"/>
      <c r="L10" s="153"/>
      <c r="M10" s="153"/>
      <c r="N10" s="153"/>
      <c r="O10" s="153"/>
      <c r="P10" s="153"/>
      <c r="Q10" s="153"/>
      <c r="R10" s="153"/>
      <c r="S10" s="153"/>
      <c r="T10" s="153"/>
      <c r="U10" s="153"/>
      <c r="V10" s="153"/>
      <c r="W10" s="153"/>
      <c r="X10" s="153"/>
    </row>
    <row r="11" spans="1:24">
      <c r="A11" s="679"/>
      <c r="C11" s="3959" t="s">
        <v>1045</v>
      </c>
      <c r="D11" s="3959"/>
      <c r="E11" s="3959"/>
      <c r="F11" s="3959"/>
      <c r="G11" s="3959"/>
      <c r="H11" s="3959"/>
      <c r="I11" s="3959"/>
      <c r="J11" s="1183"/>
      <c r="K11" s="1184"/>
      <c r="L11" s="191"/>
      <c r="M11" s="191"/>
      <c r="N11" s="191"/>
      <c r="O11" s="191"/>
      <c r="P11" s="191"/>
      <c r="Q11" s="191"/>
      <c r="R11" s="148"/>
      <c r="S11" s="191"/>
      <c r="T11" s="192"/>
      <c r="U11" s="191"/>
      <c r="V11" s="191"/>
      <c r="W11" s="191"/>
      <c r="X11" s="191"/>
    </row>
    <row r="12" spans="1:24">
      <c r="A12" s="679"/>
      <c r="C12" s="423"/>
      <c r="D12" s="193"/>
      <c r="E12" s="423"/>
      <c r="F12" s="193"/>
      <c r="G12" s="194"/>
      <c r="H12" s="193"/>
      <c r="I12" s="193" t="s">
        <v>83</v>
      </c>
      <c r="J12" s="148"/>
      <c r="K12" s="193" t="s">
        <v>83</v>
      </c>
      <c r="L12" s="191"/>
      <c r="M12" s="191"/>
      <c r="N12" s="191"/>
      <c r="O12" s="191"/>
      <c r="P12" s="191"/>
      <c r="Q12" s="191"/>
      <c r="R12" s="148"/>
      <c r="S12" s="191"/>
      <c r="T12" s="192"/>
      <c r="U12" s="191"/>
      <c r="V12" s="191"/>
      <c r="W12" s="191"/>
      <c r="X12" s="191"/>
    </row>
    <row r="13" spans="1:24">
      <c r="A13" s="679"/>
      <c r="B13" s="148"/>
      <c r="C13" s="421"/>
      <c r="D13" s="195"/>
      <c r="E13" s="421"/>
      <c r="F13" s="195"/>
      <c r="G13" s="195"/>
      <c r="H13" s="195"/>
      <c r="I13" s="196" t="s">
        <v>795</v>
      </c>
      <c r="J13" s="148"/>
      <c r="K13" s="196" t="s">
        <v>795</v>
      </c>
      <c r="L13" s="148"/>
      <c r="M13" s="148"/>
      <c r="N13" s="148"/>
      <c r="O13" s="148"/>
      <c r="P13" s="197"/>
      <c r="Q13" s="198"/>
      <c r="R13" s="148"/>
      <c r="S13" s="148"/>
      <c r="T13" s="148"/>
      <c r="U13" s="148"/>
      <c r="V13" s="148"/>
      <c r="W13" s="148"/>
      <c r="X13" s="197"/>
    </row>
    <row r="14" spans="1:24">
      <c r="A14" s="679"/>
      <c r="B14" s="199"/>
      <c r="C14" s="151" t="s">
        <v>991</v>
      </c>
      <c r="D14" s="149"/>
      <c r="E14" s="150" t="s">
        <v>992</v>
      </c>
      <c r="F14" s="149"/>
      <c r="G14" s="149"/>
      <c r="H14" s="149"/>
      <c r="I14" s="150" t="s">
        <v>84</v>
      </c>
      <c r="J14" s="148"/>
      <c r="K14" s="150" t="s">
        <v>84</v>
      </c>
      <c r="L14" s="198"/>
      <c r="M14" s="148"/>
      <c r="N14" s="148"/>
      <c r="O14" s="148"/>
      <c r="P14" s="197"/>
      <c r="Q14" s="198"/>
      <c r="R14" s="148"/>
      <c r="S14" s="197"/>
      <c r="T14" s="198"/>
      <c r="U14" s="148"/>
      <c r="V14" s="148"/>
      <c r="W14" s="148"/>
      <c r="X14" s="197"/>
    </row>
    <row r="15" spans="1:24">
      <c r="A15" s="679"/>
      <c r="B15" s="199"/>
      <c r="C15" s="150" t="s">
        <v>1028</v>
      </c>
      <c r="D15" s="149"/>
      <c r="E15" s="150" t="s">
        <v>1028</v>
      </c>
      <c r="F15" s="149"/>
      <c r="G15" s="149"/>
      <c r="H15" s="149"/>
      <c r="I15" s="150" t="s">
        <v>991</v>
      </c>
      <c r="J15" s="148"/>
      <c r="K15" s="150" t="s">
        <v>992</v>
      </c>
      <c r="L15" s="198"/>
      <c r="M15" s="148"/>
      <c r="N15" s="148"/>
      <c r="O15" s="148"/>
      <c r="P15" s="197"/>
      <c r="Q15" s="198"/>
      <c r="R15" s="148"/>
      <c r="S15" s="197"/>
      <c r="T15" s="198"/>
      <c r="U15" s="148"/>
      <c r="V15" s="148"/>
      <c r="W15" s="148"/>
      <c r="X15" s="197"/>
    </row>
    <row r="16" spans="1:24">
      <c r="A16" s="679"/>
      <c r="B16" s="198"/>
      <c r="C16" s="150" t="s">
        <v>1029</v>
      </c>
      <c r="D16" s="149"/>
      <c r="E16" s="150" t="s">
        <v>1544</v>
      </c>
      <c r="F16" s="149"/>
      <c r="G16" s="151" t="s">
        <v>83</v>
      </c>
      <c r="H16" s="149"/>
      <c r="I16" s="150" t="s">
        <v>85</v>
      </c>
      <c r="J16" s="148"/>
      <c r="K16" s="150" t="s">
        <v>85</v>
      </c>
      <c r="L16" s="198"/>
      <c r="M16" s="148"/>
      <c r="N16" s="197"/>
      <c r="O16" s="148"/>
      <c r="P16" s="197"/>
      <c r="Q16" s="198"/>
      <c r="R16" s="148"/>
      <c r="S16" s="198"/>
      <c r="T16" s="198"/>
      <c r="U16" s="148"/>
      <c r="V16" s="197"/>
      <c r="W16" s="148"/>
      <c r="X16" s="197"/>
    </row>
    <row r="17" spans="1:24">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row>
    <row r="18" spans="1:24">
      <c r="A18" s="26" t="s">
        <v>13</v>
      </c>
      <c r="B18" s="913"/>
      <c r="C18" s="648"/>
      <c r="D18" s="648"/>
      <c r="E18" s="648"/>
      <c r="F18" s="648"/>
      <c r="G18" s="648"/>
      <c r="H18" s="648"/>
      <c r="I18" s="648"/>
      <c r="J18" s="913"/>
      <c r="K18" s="648"/>
      <c r="L18" s="913"/>
      <c r="M18" s="913"/>
      <c r="N18" s="913"/>
      <c r="O18" s="913"/>
      <c r="P18" s="913"/>
      <c r="Q18" s="913"/>
      <c r="R18" s="913"/>
      <c r="S18" s="913"/>
      <c r="T18" s="913"/>
      <c r="U18" s="913"/>
      <c r="V18" s="913"/>
      <c r="W18" s="913"/>
      <c r="X18" s="913"/>
    </row>
    <row r="19" spans="1:24">
      <c r="A19" s="809" t="s">
        <v>86</v>
      </c>
      <c r="B19" s="914"/>
      <c r="C19" s="648"/>
      <c r="D19" s="648"/>
      <c r="E19" s="648"/>
      <c r="F19" s="648"/>
      <c r="G19" s="648"/>
      <c r="H19" s="914"/>
      <c r="I19" s="648"/>
      <c r="J19" s="913"/>
      <c r="K19" s="648"/>
      <c r="L19" s="913"/>
      <c r="M19" s="913"/>
      <c r="N19" s="913"/>
      <c r="O19" s="913"/>
      <c r="P19" s="913"/>
      <c r="Q19" s="913"/>
      <c r="R19" s="913"/>
      <c r="S19" s="913"/>
      <c r="T19" s="913"/>
      <c r="U19" s="913"/>
      <c r="V19" s="913"/>
      <c r="W19" s="913"/>
      <c r="X19" s="913"/>
    </row>
    <row r="20" spans="1:24">
      <c r="A20" s="809" t="s">
        <v>87</v>
      </c>
      <c r="B20" s="914" t="s">
        <v>14</v>
      </c>
      <c r="C20" s="2039">
        <v>15503</v>
      </c>
      <c r="D20" s="651"/>
      <c r="E20" s="2039">
        <v>17606</v>
      </c>
      <c r="F20" s="651"/>
      <c r="G20" s="1001">
        <f>+'Exhibit H'!AA16</f>
        <v>17897.599999999999</v>
      </c>
      <c r="H20" s="651"/>
      <c r="I20" s="649">
        <f>G20-C20</f>
        <v>2394.5999999999985</v>
      </c>
      <c r="J20" s="913"/>
      <c r="K20" s="649">
        <f t="shared" ref="K20:K25" si="0">G20-E20</f>
        <v>291.59999999999854</v>
      </c>
      <c r="L20" s="960"/>
      <c r="M20" s="913"/>
      <c r="N20" s="913"/>
      <c r="O20" s="913"/>
      <c r="P20" s="913"/>
      <c r="Q20" s="913"/>
      <c r="R20" s="913"/>
      <c r="S20" s="913"/>
      <c r="T20" s="913"/>
      <c r="U20" s="913"/>
      <c r="V20" s="913"/>
      <c r="W20" s="913"/>
      <c r="X20" s="913"/>
    </row>
    <row r="21" spans="1:24">
      <c r="A21" s="809" t="s">
        <v>88</v>
      </c>
      <c r="B21" s="913" t="s">
        <v>14</v>
      </c>
      <c r="C21" s="1111">
        <v>5547</v>
      </c>
      <c r="D21" s="1515"/>
      <c r="E21" s="1111">
        <v>5943</v>
      </c>
      <c r="F21" s="634"/>
      <c r="G21" s="884">
        <f>+'Exhibit H'!AA20</f>
        <v>6120.1</v>
      </c>
      <c r="H21" s="634"/>
      <c r="I21" s="634">
        <f>ROUND(SUM(G21)-SUM(C21),1)</f>
        <v>573.1</v>
      </c>
      <c r="J21" s="932"/>
      <c r="K21" s="1515">
        <f t="shared" si="0"/>
        <v>177.10000000000036</v>
      </c>
      <c r="L21" s="960"/>
      <c r="M21" s="913"/>
      <c r="N21" s="913"/>
      <c r="O21" s="913"/>
      <c r="P21" s="913"/>
      <c r="Q21" s="913"/>
      <c r="R21" s="913"/>
      <c r="S21" s="913"/>
      <c r="T21" s="913"/>
      <c r="U21" s="913"/>
      <c r="V21" s="913"/>
      <c r="W21" s="913"/>
      <c r="X21" s="913"/>
    </row>
    <row r="22" spans="1:24">
      <c r="A22" s="809" t="s">
        <v>90</v>
      </c>
      <c r="B22" s="913" t="s">
        <v>14</v>
      </c>
      <c r="C22" s="1111">
        <v>518</v>
      </c>
      <c r="D22" s="1515"/>
      <c r="E22" s="1111">
        <v>652</v>
      </c>
      <c r="F22" s="634"/>
      <c r="G22" s="884">
        <f>+'Exhibit H'!AA24</f>
        <v>728.59999999999991</v>
      </c>
      <c r="H22" s="634"/>
      <c r="I22" s="634">
        <f>ROUND(SUM(G22)-SUM(C22),1)</f>
        <v>210.6</v>
      </c>
      <c r="J22" s="932"/>
      <c r="K22" s="1515">
        <f t="shared" si="0"/>
        <v>76.599999999999909</v>
      </c>
      <c r="L22" s="960"/>
      <c r="M22" s="913"/>
      <c r="N22" s="913"/>
      <c r="O22" s="913"/>
      <c r="P22" s="913"/>
      <c r="Q22" s="913"/>
      <c r="R22" s="913"/>
      <c r="S22" s="913"/>
      <c r="T22" s="913"/>
      <c r="U22" s="913"/>
      <c r="V22" s="913"/>
      <c r="W22" s="913"/>
      <c r="X22" s="913"/>
    </row>
    <row r="23" spans="1:24" ht="15" customHeight="1">
      <c r="A23" s="809" t="s">
        <v>19</v>
      </c>
      <c r="B23" s="913" t="s">
        <v>14</v>
      </c>
      <c r="C23" s="1111">
        <v>231</v>
      </c>
      <c r="D23" s="1515"/>
      <c r="E23" s="1111">
        <v>205</v>
      </c>
      <c r="F23" s="634"/>
      <c r="G23" s="884">
        <f>+'Exhibit H'!AA47</f>
        <v>222.1</v>
      </c>
      <c r="H23" s="634"/>
      <c r="I23" s="634">
        <f>ROUND(SUM(G23)-SUM(C23),1)</f>
        <v>-8.9</v>
      </c>
      <c r="J23" s="932"/>
      <c r="K23" s="1515">
        <f t="shared" si="0"/>
        <v>17.099999999999994</v>
      </c>
      <c r="L23" s="960"/>
      <c r="M23" s="913"/>
      <c r="N23" s="913"/>
      <c r="O23" s="913"/>
      <c r="P23" s="913"/>
      <c r="Q23" s="913"/>
      <c r="R23" s="913"/>
      <c r="S23" s="913"/>
      <c r="T23" s="913"/>
      <c r="U23" s="913"/>
      <c r="V23" s="913"/>
      <c r="W23" s="913"/>
      <c r="X23" s="913"/>
    </row>
    <row r="24" spans="1:24" ht="15" customHeight="1">
      <c r="A24" s="809" t="s">
        <v>20</v>
      </c>
      <c r="B24" s="913" t="s">
        <v>14</v>
      </c>
      <c r="C24" s="1111">
        <v>36</v>
      </c>
      <c r="D24" s="1515"/>
      <c r="E24" s="1111">
        <v>36</v>
      </c>
      <c r="F24" s="634"/>
      <c r="G24" s="884">
        <f>+'Exhibit H'!AA49</f>
        <v>30.2</v>
      </c>
      <c r="H24" s="634"/>
      <c r="I24" s="634">
        <f>ROUND(SUM(G24)-SUM(C24),1)</f>
        <v>-5.8</v>
      </c>
      <c r="J24" s="932"/>
      <c r="K24" s="1515">
        <f t="shared" si="0"/>
        <v>-5.8000000000000007</v>
      </c>
      <c r="L24" s="960"/>
      <c r="M24" s="913"/>
      <c r="N24" s="936"/>
      <c r="O24" s="913"/>
      <c r="P24" s="936"/>
      <c r="Q24" s="937"/>
      <c r="R24" s="913"/>
      <c r="S24" s="913"/>
      <c r="T24" s="913"/>
      <c r="U24" s="913"/>
      <c r="V24" s="913"/>
      <c r="W24" s="913"/>
      <c r="X24" s="913"/>
    </row>
    <row r="25" spans="1:24">
      <c r="A25" s="809" t="s">
        <v>46</v>
      </c>
      <c r="B25" s="937" t="s">
        <v>14</v>
      </c>
      <c r="C25" s="1111">
        <v>944</v>
      </c>
      <c r="D25" s="1515"/>
      <c r="E25" s="1111">
        <v>795</v>
      </c>
      <c r="F25" s="634"/>
      <c r="G25" s="1469">
        <f>+'Exhibit H'!AA66</f>
        <v>767.4</v>
      </c>
      <c r="H25" s="634"/>
      <c r="I25" s="634">
        <f>ROUND(SUM(G25)-SUM(C25),1)</f>
        <v>-176.6</v>
      </c>
      <c r="J25" s="932"/>
      <c r="K25" s="1515">
        <f t="shared" si="0"/>
        <v>-27.600000000000023</v>
      </c>
      <c r="L25" s="960"/>
      <c r="M25" s="913"/>
      <c r="N25" s="936"/>
      <c r="O25" s="913"/>
      <c r="P25" s="936"/>
      <c r="Q25" s="937"/>
      <c r="R25" s="913"/>
      <c r="S25" s="913"/>
      <c r="T25" s="913"/>
      <c r="U25" s="913"/>
      <c r="V25" s="913"/>
      <c r="W25" s="913"/>
      <c r="X25" s="913"/>
    </row>
    <row r="26" spans="1:24" ht="18" customHeight="1">
      <c r="A26" s="952" t="s">
        <v>107</v>
      </c>
      <c r="B26" s="148" t="s">
        <v>14</v>
      </c>
      <c r="C26" s="212">
        <f>ROUND(SUM(C20:C25),1)</f>
        <v>22779</v>
      </c>
      <c r="D26" s="109"/>
      <c r="E26" s="212">
        <f>ROUND(SUM(E20:E25),1)</f>
        <v>25237</v>
      </c>
      <c r="F26" s="911"/>
      <c r="G26" s="1470">
        <f>ROUND(SUM(G20:G25),1)</f>
        <v>25766</v>
      </c>
      <c r="H26" s="911"/>
      <c r="I26" s="212">
        <f>ROUND(SUM(I20:I25),1)</f>
        <v>2987</v>
      </c>
      <c r="J26" s="73"/>
      <c r="K26" s="212">
        <f>ROUND(SUM(K20:K25),1)</f>
        <v>529</v>
      </c>
      <c r="L26" s="960"/>
      <c r="M26" s="148"/>
      <c r="N26" s="148"/>
      <c r="O26" s="148"/>
      <c r="P26" s="148"/>
      <c r="Q26" s="148"/>
      <c r="R26" s="148"/>
      <c r="S26" s="148"/>
      <c r="T26" s="148"/>
      <c r="U26" s="148"/>
      <c r="V26" s="148"/>
      <c r="W26" s="148"/>
      <c r="X26" s="148"/>
    </row>
    <row r="27" spans="1:24">
      <c r="A27" s="679"/>
      <c r="B27" s="913"/>
      <c r="C27" s="677"/>
      <c r="D27" s="884"/>
      <c r="E27" s="677"/>
      <c r="F27" s="634"/>
      <c r="G27" s="1031"/>
      <c r="H27" s="634"/>
      <c r="I27" s="677"/>
      <c r="J27" s="932"/>
      <c r="K27" s="677"/>
      <c r="L27" s="960"/>
      <c r="M27" s="913"/>
      <c r="N27" s="913"/>
      <c r="O27" s="913"/>
      <c r="P27" s="913"/>
      <c r="Q27" s="913"/>
      <c r="R27" s="913"/>
      <c r="S27" s="913"/>
      <c r="T27" s="913"/>
      <c r="U27" s="913"/>
      <c r="V27" s="913"/>
      <c r="W27" s="913"/>
      <c r="X27" s="913"/>
    </row>
    <row r="28" spans="1:24">
      <c r="A28" s="26" t="s">
        <v>22</v>
      </c>
      <c r="B28" s="913"/>
      <c r="C28" s="634"/>
      <c r="D28" s="884"/>
      <c r="E28" s="1515"/>
      <c r="F28" s="634"/>
      <c r="G28" s="884"/>
      <c r="H28" s="634"/>
      <c r="I28" s="634"/>
      <c r="J28" s="932"/>
      <c r="K28" s="634"/>
      <c r="L28" s="960"/>
      <c r="M28" s="913"/>
      <c r="N28" s="913"/>
      <c r="O28" s="913"/>
      <c r="P28" s="913"/>
      <c r="Q28" s="913"/>
      <c r="R28" s="913"/>
      <c r="S28" s="913"/>
      <c r="T28" s="913"/>
      <c r="U28" s="913"/>
      <c r="V28" s="913"/>
      <c r="W28" s="913"/>
      <c r="X28" s="913"/>
    </row>
    <row r="29" spans="1:24">
      <c r="A29" s="809" t="s">
        <v>93</v>
      </c>
      <c r="B29" s="934" t="s">
        <v>14</v>
      </c>
      <c r="C29" s="1111">
        <v>8</v>
      </c>
      <c r="D29" s="1515"/>
      <c r="E29" s="1111">
        <v>0</v>
      </c>
      <c r="F29" s="634"/>
      <c r="G29" s="673">
        <f>+'Exhibit H'!AA55</f>
        <v>0.8</v>
      </c>
      <c r="H29" s="634"/>
      <c r="I29" s="1515">
        <f>ROUND(SUM(G29)-SUM(C29),1)</f>
        <v>-7.2</v>
      </c>
      <c r="J29" s="932"/>
      <c r="K29" s="1515">
        <f>G29-E29</f>
        <v>0.8</v>
      </c>
      <c r="L29" s="960"/>
      <c r="M29" s="913"/>
      <c r="N29" s="934"/>
      <c r="O29" s="913"/>
      <c r="P29" s="936"/>
      <c r="Q29" s="913"/>
      <c r="R29" s="913"/>
      <c r="S29" s="936"/>
      <c r="T29" s="936"/>
      <c r="U29" s="913"/>
      <c r="V29" s="936"/>
      <c r="W29" s="913"/>
      <c r="X29" s="936"/>
    </row>
    <row r="30" spans="1:24" ht="14.25" customHeight="1">
      <c r="A30" s="809" t="s">
        <v>94</v>
      </c>
      <c r="B30" s="937" t="s">
        <v>14</v>
      </c>
      <c r="C30" s="1111">
        <v>1268</v>
      </c>
      <c r="D30" s="1515"/>
      <c r="E30" s="1111">
        <v>1215</v>
      </c>
      <c r="F30" s="634"/>
      <c r="G30" s="1111">
        <f>+'Exhibit H'!AA57</f>
        <v>1198.2</v>
      </c>
      <c r="H30" s="634"/>
      <c r="I30" s="1515">
        <f>ROUND(SUM(G30)-SUM(C30),1)</f>
        <v>-69.8</v>
      </c>
      <c r="J30" s="932"/>
      <c r="K30" s="1515">
        <f>G30-E30</f>
        <v>-16.799999999999955</v>
      </c>
      <c r="L30" s="960"/>
      <c r="M30" s="913"/>
      <c r="N30" s="934"/>
      <c r="O30" s="913"/>
      <c r="P30" s="913"/>
      <c r="Q30" s="913"/>
      <c r="R30" s="913"/>
      <c r="S30" s="936"/>
      <c r="T30" s="936"/>
      <c r="U30" s="913"/>
      <c r="V30" s="936"/>
      <c r="W30" s="913"/>
      <c r="X30" s="936"/>
    </row>
    <row r="31" spans="1:24">
      <c r="A31" s="809" t="s">
        <v>97</v>
      </c>
      <c r="B31" s="937" t="s">
        <v>14</v>
      </c>
      <c r="C31" s="1111">
        <v>21314</v>
      </c>
      <c r="D31" s="1515"/>
      <c r="E31" s="1111">
        <v>23941</v>
      </c>
      <c r="F31" s="634"/>
      <c r="G31" s="673">
        <f>-'Exhibit H'!AA67</f>
        <v>24447.8</v>
      </c>
      <c r="H31" s="634"/>
      <c r="I31" s="1515">
        <f>ROUND(SUM(G31)-SUM(C31),1)</f>
        <v>3133.8</v>
      </c>
      <c r="J31" s="932"/>
      <c r="K31" s="1515">
        <f>G31-E31</f>
        <v>506.79999999999927</v>
      </c>
      <c r="L31" s="960"/>
      <c r="M31" s="913"/>
      <c r="N31" s="936"/>
      <c r="O31" s="913"/>
      <c r="P31" s="936"/>
      <c r="Q31" s="937"/>
      <c r="R31" s="913"/>
      <c r="S31" s="913"/>
      <c r="T31" s="913"/>
      <c r="U31" s="913"/>
      <c r="V31" s="913"/>
      <c r="W31" s="913"/>
      <c r="X31" s="913"/>
    </row>
    <row r="32" spans="1:24" ht="18" customHeight="1">
      <c r="A32" s="952" t="s">
        <v>116</v>
      </c>
      <c r="B32" s="148" t="s">
        <v>14</v>
      </c>
      <c r="C32" s="212">
        <f>ROUND(SUM(C29:C31),1)</f>
        <v>22590</v>
      </c>
      <c r="D32" s="109"/>
      <c r="E32" s="212">
        <f>ROUND(SUM(E29:E31),1)</f>
        <v>25156</v>
      </c>
      <c r="F32" s="911"/>
      <c r="G32" s="1470">
        <f>ROUND(SUM(G29:G31),1)</f>
        <v>25646.799999999999</v>
      </c>
      <c r="H32" s="911"/>
      <c r="I32" s="212">
        <f>ROUND(SUM(I29:I31),1)</f>
        <v>3056.8</v>
      </c>
      <c r="J32" s="73"/>
      <c r="K32" s="212">
        <f>ROUND(SUM(K29:K31),1)</f>
        <v>490.8</v>
      </c>
      <c r="L32" s="960"/>
      <c r="M32" s="148"/>
      <c r="N32" s="148"/>
      <c r="O32" s="148"/>
      <c r="P32" s="148"/>
      <c r="Q32" s="148"/>
      <c r="R32" s="148"/>
      <c r="S32" s="148"/>
      <c r="T32" s="148"/>
      <c r="U32" s="148"/>
      <c r="V32" s="148"/>
      <c r="W32" s="148"/>
      <c r="X32" s="148"/>
    </row>
    <row r="33" spans="1:24">
      <c r="A33" s="679"/>
      <c r="B33" s="913"/>
      <c r="C33" s="677"/>
      <c r="D33" s="884"/>
      <c r="E33" s="677"/>
      <c r="F33" s="634"/>
      <c r="G33" s="1031"/>
      <c r="H33" s="634"/>
      <c r="I33" s="677"/>
      <c r="J33" s="932"/>
      <c r="K33" s="677"/>
      <c r="L33" s="960"/>
      <c r="M33" s="913"/>
      <c r="N33" s="913"/>
      <c r="O33" s="913"/>
      <c r="P33" s="913"/>
      <c r="Q33" s="913"/>
      <c r="R33" s="913"/>
      <c r="S33" s="913"/>
      <c r="T33" s="913"/>
      <c r="U33" s="913"/>
      <c r="V33" s="913"/>
      <c r="W33" s="913"/>
      <c r="X33" s="913"/>
    </row>
    <row r="34" spans="1:24">
      <c r="A34" s="26" t="s">
        <v>117</v>
      </c>
      <c r="B34" s="913"/>
      <c r="C34" s="634"/>
      <c r="D34" s="884"/>
      <c r="E34" s="1515"/>
      <c r="F34" s="634"/>
      <c r="G34" s="884"/>
      <c r="H34" s="634"/>
      <c r="I34" s="634"/>
      <c r="J34" s="932"/>
      <c r="K34" s="634"/>
      <c r="L34" s="960"/>
      <c r="M34" s="913"/>
      <c r="N34" s="913"/>
      <c r="O34" s="913"/>
      <c r="P34" s="913"/>
      <c r="Q34" s="913"/>
      <c r="R34" s="913"/>
      <c r="S34" s="913"/>
      <c r="T34" s="913"/>
      <c r="U34" s="913"/>
      <c r="V34" s="913"/>
      <c r="W34" s="913"/>
      <c r="X34" s="913"/>
    </row>
    <row r="35" spans="1:24">
      <c r="A35" s="26" t="s">
        <v>118</v>
      </c>
      <c r="B35" s="913"/>
      <c r="C35" s="634"/>
      <c r="D35" s="884"/>
      <c r="E35" s="1515"/>
      <c r="F35" s="634"/>
      <c r="G35" s="884"/>
      <c r="H35" s="634"/>
      <c r="I35" s="634"/>
      <c r="J35" s="932"/>
      <c r="K35" s="634"/>
      <c r="L35" s="960"/>
      <c r="M35" s="913"/>
      <c r="N35" s="913"/>
      <c r="O35" s="913"/>
      <c r="P35" s="913"/>
      <c r="Q35" s="913"/>
      <c r="R35" s="913"/>
      <c r="S35" s="913"/>
      <c r="T35" s="913"/>
      <c r="U35" s="913"/>
      <c r="V35" s="913"/>
      <c r="W35" s="913"/>
      <c r="X35" s="913"/>
    </row>
    <row r="36" spans="1:24">
      <c r="A36" s="952" t="s">
        <v>101</v>
      </c>
      <c r="B36" s="951" t="s">
        <v>14</v>
      </c>
      <c r="C36" s="73">
        <f>C26-C32</f>
        <v>189</v>
      </c>
      <c r="D36" s="1094"/>
      <c r="E36" s="1516">
        <f>E26-E32</f>
        <v>81</v>
      </c>
      <c r="F36" s="81"/>
      <c r="G36" s="112">
        <f>ROUND(SUM(G26)-SUM(G32),1)</f>
        <v>119.2</v>
      </c>
      <c r="H36" s="81"/>
      <c r="I36" s="73">
        <f>ROUND(SUM(I26)-SUM(I32),1)</f>
        <v>-69.8</v>
      </c>
      <c r="J36" s="389"/>
      <c r="K36" s="73">
        <f>ROUND(SUM(K26)-SUM(K32),1)</f>
        <v>38.200000000000003</v>
      </c>
      <c r="L36" s="960"/>
      <c r="M36" s="171"/>
      <c r="N36" s="148"/>
      <c r="O36" s="171"/>
      <c r="P36" s="148"/>
      <c r="Q36" s="148"/>
      <c r="R36" s="171"/>
      <c r="S36" s="148"/>
      <c r="T36" s="148"/>
      <c r="U36" s="171"/>
      <c r="V36" s="148"/>
      <c r="W36" s="171"/>
      <c r="X36" s="148"/>
    </row>
    <row r="37" spans="1:24" ht="15" customHeight="1">
      <c r="C37" s="660"/>
      <c r="D37" s="1635"/>
      <c r="E37" s="660"/>
      <c r="F37" s="921"/>
      <c r="G37" s="1471"/>
      <c r="H37" s="921"/>
      <c r="I37" s="660"/>
      <c r="J37" s="660"/>
      <c r="K37" s="660"/>
      <c r="L37" s="960"/>
    </row>
    <row r="38" spans="1:24">
      <c r="A38" s="967" t="str">
        <f>'Exh D-Governmental  '!A49</f>
        <v>Fund Balances (Deficits) at April 1</v>
      </c>
      <c r="B38" s="613" t="s">
        <v>14</v>
      </c>
      <c r="C38" s="112">
        <v>65</v>
      </c>
      <c r="D38" s="1635"/>
      <c r="E38" s="112">
        <v>65</v>
      </c>
      <c r="F38" s="921"/>
      <c r="G38" s="112">
        <f>'Exhibit H'!AA12</f>
        <v>65</v>
      </c>
      <c r="H38" s="921"/>
      <c r="I38" s="1383">
        <f>ROUND(SUM(G38)-SUM(C38),1)</f>
        <v>0</v>
      </c>
      <c r="J38" s="660"/>
      <c r="K38" s="911">
        <f>G38-E38</f>
        <v>0</v>
      </c>
      <c r="L38" s="960"/>
    </row>
    <row r="39" spans="1:24" ht="18" customHeight="1" thickBot="1">
      <c r="A39" s="1368" t="str">
        <f>+'Exh D-Governmental  '!A50</f>
        <v>Fund Balances (Deficits) at September 30, 2021</v>
      </c>
      <c r="B39" s="177" t="s">
        <v>14</v>
      </c>
      <c r="C39" s="95">
        <f>ROUND(SUM(C36:C38),1)</f>
        <v>254</v>
      </c>
      <c r="D39" s="178"/>
      <c r="E39" s="95">
        <f>ROUND(SUM(E36:E38),1)</f>
        <v>146</v>
      </c>
      <c r="F39" s="178"/>
      <c r="G39" s="1472">
        <f>ROUND(SUM(G36:G38),1)</f>
        <v>184.2</v>
      </c>
      <c r="H39" s="178"/>
      <c r="I39" s="95">
        <f>ROUND(SUM(I36:I38),1)</f>
        <v>-69.8</v>
      </c>
      <c r="K39" s="95">
        <f>ROUND(SUM(K36:K38),1)</f>
        <v>38.200000000000003</v>
      </c>
      <c r="L39" s="960"/>
    </row>
    <row r="40" spans="1:24" ht="15" customHeight="1" thickTop="1">
      <c r="A40" s="152"/>
      <c r="C40" s="678"/>
      <c r="D40" s="938"/>
      <c r="E40" s="678"/>
      <c r="F40" s="938"/>
      <c r="G40" s="938"/>
      <c r="H40" s="938"/>
      <c r="I40" s="938"/>
      <c r="K40" s="938"/>
    </row>
    <row r="41" spans="1:24">
      <c r="A41" s="925" t="str">
        <f>'Exh D-Governmental  '!A52</f>
        <v>(*)    Source: 2021-22 Enacted Financial Plan dated May 25, 2021.</v>
      </c>
    </row>
    <row r="42" spans="1:24">
      <c r="A42" s="3918" t="str">
        <f>'Exh D-Governmental  '!A53</f>
        <v>(**)   Source: 2021-22 First Quarter Update dated September 15, 2021.</v>
      </c>
    </row>
    <row r="43" spans="1:24">
      <c r="A43" s="939"/>
    </row>
    <row r="44" spans="1:24">
      <c r="A44" s="939"/>
    </row>
    <row r="46" spans="1:24">
      <c r="A46" s="201"/>
    </row>
    <row r="47" spans="1:24">
      <c r="A47" s="201"/>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AH49"/>
  <sheetViews>
    <sheetView showGridLines="0" zoomScale="90" zoomScaleNormal="80" workbookViewId="0"/>
  </sheetViews>
  <sheetFormatPr defaultColWidth="8.84375" defaultRowHeight="15.5"/>
  <cols>
    <col min="1" max="1" width="54" style="920" customWidth="1"/>
    <col min="2" max="2" width="2.07421875" style="924" customWidth="1"/>
    <col min="3" max="3" width="18.07421875" style="422" bestFit="1" customWidth="1"/>
    <col min="4" max="4" width="0.84375" style="924" customWidth="1"/>
    <col min="5" max="5" width="15.4609375" style="422" customWidth="1"/>
    <col min="6" max="6" width="0.84375" style="924" customWidth="1"/>
    <col min="7" max="7" width="14" style="924" customWidth="1"/>
    <col min="8" max="8" width="1.4609375" style="924" customWidth="1"/>
    <col min="9" max="9" width="15" style="924" customWidth="1"/>
    <col min="10" max="10" width="1.53515625" style="924" customWidth="1"/>
    <col min="11" max="11" width="15" style="924" customWidth="1"/>
    <col min="12" max="12" width="1" style="924" customWidth="1"/>
    <col min="13" max="13" width="15.07421875" style="940" customWidth="1"/>
    <col min="14" max="14" width="1" style="924" customWidth="1"/>
    <col min="15" max="15" width="14" style="924" customWidth="1"/>
    <col min="16" max="19" width="8.84375" style="924"/>
    <col min="20" max="16384" width="8.84375" style="920"/>
  </cols>
  <sheetData>
    <row r="1" spans="1:34">
      <c r="A1" s="635" t="s">
        <v>882</v>
      </c>
    </row>
    <row r="2" spans="1:34" ht="16.5">
      <c r="A2" s="182"/>
      <c r="B2" s="184"/>
      <c r="C2" s="416"/>
      <c r="D2" s="184"/>
      <c r="E2" s="416"/>
      <c r="F2" s="184"/>
      <c r="G2" s="184"/>
      <c r="H2" s="184"/>
      <c r="I2" s="184"/>
      <c r="J2" s="184"/>
      <c r="K2" s="184"/>
      <c r="L2" s="184"/>
      <c r="M2" s="1624"/>
    </row>
    <row r="3" spans="1:34" ht="17.25" customHeight="1">
      <c r="A3" s="188" t="s">
        <v>0</v>
      </c>
      <c r="B3" s="145"/>
      <c r="C3" s="418"/>
      <c r="D3" s="140"/>
      <c r="E3" s="419"/>
      <c r="F3" s="140"/>
      <c r="G3" s="140"/>
      <c r="H3" s="140"/>
      <c r="I3" s="140"/>
      <c r="J3" s="140"/>
      <c r="K3" s="140"/>
      <c r="L3" s="140"/>
      <c r="M3" s="811"/>
      <c r="O3" s="811" t="s">
        <v>82</v>
      </c>
    </row>
    <row r="4" spans="1:34" ht="17.25" customHeight="1">
      <c r="A4" s="188" t="s">
        <v>81</v>
      </c>
      <c r="B4" s="145"/>
      <c r="C4" s="418"/>
      <c r="D4" s="140"/>
      <c r="E4" s="419"/>
      <c r="F4" s="140"/>
      <c r="G4" s="140"/>
      <c r="H4" s="140"/>
      <c r="I4" s="140"/>
      <c r="J4" s="140"/>
      <c r="K4" s="140"/>
      <c r="L4" s="140"/>
      <c r="M4" s="812"/>
      <c r="O4" s="812"/>
    </row>
    <row r="5" spans="1:34" ht="17.25" customHeight="1">
      <c r="A5" s="3957" t="str">
        <f>'Exh D-Governmental  '!A5:E5</f>
        <v>FISCAL YEAR 2021-2022</v>
      </c>
      <c r="B5" s="3958"/>
      <c r="C5" s="3958"/>
      <c r="D5" s="3958"/>
      <c r="E5" s="3958"/>
      <c r="F5" s="140"/>
      <c r="G5" s="140"/>
      <c r="H5" s="140"/>
      <c r="I5" s="140"/>
      <c r="J5" s="140"/>
      <c r="K5" s="140"/>
      <c r="L5" s="140"/>
      <c r="M5" s="145"/>
    </row>
    <row r="6" spans="1:34" ht="17.25" customHeight="1">
      <c r="A6" s="1460" t="str">
        <f>+'Exh D-Governmental  '!A6</f>
        <v xml:space="preserve">FOR SIX MONTHS ENDED SEPTEMBER 30, 2021    </v>
      </c>
      <c r="B6" s="144"/>
      <c r="C6" s="418"/>
      <c r="D6" s="140"/>
      <c r="E6" s="419"/>
      <c r="F6" s="140"/>
      <c r="G6" s="140"/>
      <c r="H6" s="140"/>
      <c r="I6" s="140"/>
      <c r="J6" s="140"/>
      <c r="K6" s="140"/>
      <c r="L6" s="140"/>
      <c r="M6" s="145"/>
      <c r="N6" s="140"/>
      <c r="O6" s="153"/>
      <c r="P6" s="153"/>
      <c r="Q6" s="153"/>
      <c r="R6" s="153"/>
      <c r="S6" s="153"/>
      <c r="T6" s="153"/>
      <c r="U6" s="153"/>
      <c r="V6" s="153"/>
      <c r="W6" s="153"/>
      <c r="X6" s="153"/>
      <c r="Y6" s="153"/>
      <c r="Z6" s="153"/>
      <c r="AA6" s="153"/>
      <c r="AB6" s="153"/>
      <c r="AC6" s="613"/>
      <c r="AD6" s="613"/>
      <c r="AE6" s="613"/>
      <c r="AF6" s="613"/>
      <c r="AG6" s="613"/>
      <c r="AH6" s="924"/>
    </row>
    <row r="7" spans="1:34" ht="18">
      <c r="A7" s="188" t="s">
        <v>1278</v>
      </c>
      <c r="B7" s="145"/>
      <c r="C7" s="418"/>
      <c r="D7" s="140"/>
      <c r="E7" s="419"/>
      <c r="F7" s="140"/>
      <c r="G7" s="140"/>
      <c r="H7" s="140"/>
      <c r="I7" s="140"/>
      <c r="J7" s="140"/>
      <c r="K7" s="140"/>
      <c r="L7" s="140"/>
      <c r="M7" s="145"/>
    </row>
    <row r="8" spans="1:34" ht="17.5">
      <c r="A8" s="190"/>
      <c r="B8" s="145"/>
      <c r="C8" s="953"/>
      <c r="D8" s="153"/>
      <c r="E8" s="419"/>
      <c r="F8" s="140"/>
      <c r="G8" s="140"/>
      <c r="H8" s="140"/>
      <c r="I8" s="140"/>
      <c r="J8" s="140"/>
      <c r="K8" s="140"/>
      <c r="L8" s="140"/>
      <c r="M8" s="145"/>
    </row>
    <row r="9" spans="1:34">
      <c r="A9" s="147"/>
      <c r="B9" s="140"/>
      <c r="C9" s="1173"/>
      <c r="D9" s="153"/>
      <c r="E9" s="419"/>
      <c r="F9" s="140"/>
      <c r="G9" s="140"/>
      <c r="H9" s="140"/>
      <c r="I9" s="140"/>
      <c r="J9" s="140"/>
      <c r="K9" s="140"/>
      <c r="L9" s="140"/>
      <c r="M9" s="145"/>
    </row>
    <row r="10" spans="1:34">
      <c r="A10" s="147"/>
      <c r="B10" s="140"/>
      <c r="C10" s="953"/>
      <c r="D10" s="144"/>
      <c r="E10" s="418"/>
      <c r="F10" s="145"/>
      <c r="G10" s="145"/>
      <c r="H10" s="145"/>
      <c r="I10" s="145"/>
      <c r="J10" s="145"/>
      <c r="K10" s="145"/>
      <c r="L10" s="145"/>
      <c r="M10" s="145"/>
      <c r="N10" s="940"/>
    </row>
    <row r="11" spans="1:34">
      <c r="A11" s="679"/>
      <c r="B11" s="148"/>
      <c r="C11" s="1168"/>
      <c r="D11" s="1179"/>
      <c r="E11" s="1168"/>
      <c r="F11" s="1177"/>
      <c r="G11" s="1187"/>
      <c r="H11" s="1177"/>
      <c r="I11" s="1404" t="s">
        <v>1046</v>
      </c>
      <c r="J11" s="1622"/>
      <c r="K11" s="1622"/>
      <c r="L11" s="1622"/>
      <c r="M11" s="1177"/>
      <c r="N11" s="1180"/>
      <c r="O11" s="1165"/>
    </row>
    <row r="12" spans="1:34">
      <c r="A12" s="679"/>
      <c r="B12" s="148"/>
      <c r="C12" s="149"/>
      <c r="D12" s="149"/>
      <c r="E12" s="149"/>
      <c r="F12" s="149"/>
      <c r="G12" s="149"/>
      <c r="H12" s="149"/>
      <c r="I12" s="149"/>
      <c r="J12" s="149"/>
      <c r="K12" s="149"/>
      <c r="L12" s="149"/>
      <c r="M12" s="196" t="s">
        <v>83</v>
      </c>
      <c r="N12" s="150"/>
      <c r="O12" s="150" t="s">
        <v>83</v>
      </c>
    </row>
    <row r="13" spans="1:34">
      <c r="A13" s="679"/>
      <c r="B13" s="148"/>
      <c r="C13" s="149"/>
      <c r="D13" s="149"/>
      <c r="E13" s="149"/>
      <c r="F13" s="149"/>
      <c r="G13" s="149"/>
      <c r="H13" s="149"/>
      <c r="I13" s="149"/>
      <c r="J13" s="149"/>
      <c r="K13" s="149"/>
      <c r="L13" s="149"/>
      <c r="M13" s="196" t="s">
        <v>795</v>
      </c>
      <c r="N13" s="150"/>
      <c r="O13" s="150" t="s">
        <v>795</v>
      </c>
    </row>
    <row r="14" spans="1:34">
      <c r="A14" s="679"/>
      <c r="B14" s="148"/>
      <c r="C14" s="151" t="s">
        <v>991</v>
      </c>
      <c r="D14" s="149"/>
      <c r="E14" s="150" t="s">
        <v>992</v>
      </c>
      <c r="F14" s="149"/>
      <c r="G14" s="149"/>
      <c r="H14" s="149"/>
      <c r="I14" s="149"/>
      <c r="J14" s="149"/>
      <c r="K14" s="149"/>
      <c r="L14" s="149"/>
      <c r="M14" s="196" t="s">
        <v>84</v>
      </c>
      <c r="N14" s="150"/>
      <c r="O14" s="150" t="s">
        <v>84</v>
      </c>
    </row>
    <row r="15" spans="1:34" ht="15.75" customHeight="1">
      <c r="A15" s="679"/>
      <c r="B15" s="148"/>
      <c r="C15" s="150" t="s">
        <v>1028</v>
      </c>
      <c r="D15" s="149"/>
      <c r="E15" s="150" t="s">
        <v>1028</v>
      </c>
      <c r="F15" s="149"/>
      <c r="G15" s="149"/>
      <c r="H15" s="149"/>
      <c r="I15" s="149"/>
      <c r="J15" s="149"/>
      <c r="K15" s="149"/>
      <c r="L15" s="149"/>
      <c r="M15" s="196" t="s">
        <v>991</v>
      </c>
      <c r="N15" s="150"/>
      <c r="O15" s="150" t="s">
        <v>992</v>
      </c>
    </row>
    <row r="16" spans="1:34">
      <c r="A16" s="679"/>
      <c r="B16" s="148"/>
      <c r="C16" s="150" t="s">
        <v>1029</v>
      </c>
      <c r="D16" s="149"/>
      <c r="E16" s="150" t="s">
        <v>1544</v>
      </c>
      <c r="F16" s="149"/>
      <c r="G16" s="151" t="s">
        <v>83</v>
      </c>
      <c r="H16" s="149"/>
      <c r="I16" s="1200" t="s">
        <v>1165</v>
      </c>
      <c r="J16" s="149"/>
      <c r="K16" s="1200" t="s">
        <v>721</v>
      </c>
      <c r="L16" s="149"/>
      <c r="M16" s="196" t="s">
        <v>85</v>
      </c>
      <c r="N16" s="150"/>
      <c r="O16" s="150" t="s">
        <v>85</v>
      </c>
    </row>
    <row r="17" spans="1:34">
      <c r="A17" s="152"/>
      <c r="B17" s="153"/>
      <c r="C17" s="154"/>
      <c r="D17" s="153"/>
      <c r="E17" s="154"/>
      <c r="F17" s="140"/>
      <c r="G17" s="154"/>
      <c r="H17" s="140"/>
      <c r="I17" s="140"/>
      <c r="J17" s="140"/>
      <c r="K17" s="140"/>
      <c r="L17" s="140"/>
      <c r="M17" s="1625"/>
      <c r="O17" s="154"/>
    </row>
    <row r="18" spans="1:34">
      <c r="A18" s="26" t="s">
        <v>13</v>
      </c>
      <c r="B18" s="913"/>
      <c r="C18" s="648"/>
      <c r="D18" s="913"/>
      <c r="E18" s="648"/>
      <c r="F18" s="648"/>
      <c r="G18" s="648" t="s">
        <v>14</v>
      </c>
      <c r="H18" s="648"/>
      <c r="I18" s="648"/>
      <c r="J18" s="648"/>
      <c r="K18" s="648"/>
      <c r="L18" s="648"/>
      <c r="M18" s="1626"/>
      <c r="O18" s="648"/>
    </row>
    <row r="19" spans="1:34">
      <c r="A19" s="809" t="s">
        <v>86</v>
      </c>
      <c r="B19" s="914" t="s">
        <v>14</v>
      </c>
      <c r="C19" s="649"/>
      <c r="D19" s="960"/>
      <c r="E19" s="649"/>
      <c r="F19" s="649"/>
      <c r="G19" s="942"/>
      <c r="H19" s="651"/>
      <c r="I19" s="651"/>
      <c r="J19" s="651"/>
      <c r="K19" s="651"/>
      <c r="L19" s="651"/>
      <c r="M19" s="883"/>
      <c r="N19" s="913"/>
      <c r="O19" s="649"/>
      <c r="P19" s="913"/>
      <c r="Q19" s="913"/>
      <c r="R19" s="913"/>
      <c r="S19" s="913"/>
      <c r="T19" s="913"/>
      <c r="U19" s="913"/>
      <c r="V19" s="913"/>
      <c r="W19" s="913"/>
      <c r="X19" s="913"/>
      <c r="Y19" s="913"/>
      <c r="Z19" s="913"/>
      <c r="AA19" s="913"/>
      <c r="AB19" s="913"/>
      <c r="AC19" s="613"/>
      <c r="AD19" s="613"/>
      <c r="AE19" s="613"/>
      <c r="AF19" s="613"/>
      <c r="AG19" s="613"/>
      <c r="AH19" s="924"/>
    </row>
    <row r="20" spans="1:34">
      <c r="A20" s="809" t="s">
        <v>88</v>
      </c>
      <c r="B20" s="913" t="s">
        <v>14</v>
      </c>
      <c r="C20" s="930">
        <f>'Exh D Captl Projects State Fed'!C20+'Exh D Captl Projects State Fed'!M20</f>
        <v>306</v>
      </c>
      <c r="D20" s="932"/>
      <c r="E20" s="930">
        <f>'Exh D Captl Projects State Fed'!E20+'Exh D Captl Projects State Fed'!O20</f>
        <v>315</v>
      </c>
      <c r="F20" s="650"/>
      <c r="G20" s="930">
        <f>+'Exh D Captl Projects State Fed'!G20</f>
        <v>322.8</v>
      </c>
      <c r="H20" s="650"/>
      <c r="I20" s="930">
        <v>0</v>
      </c>
      <c r="J20" s="650"/>
      <c r="K20" s="1630">
        <f>+G20+I20</f>
        <v>322.8</v>
      </c>
      <c r="L20" s="650"/>
      <c r="M20" s="883">
        <f>K20-C20</f>
        <v>16.800000000000011</v>
      </c>
      <c r="N20" s="913"/>
      <c r="O20" s="883">
        <f>K20-E20</f>
        <v>7.8000000000000114</v>
      </c>
      <c r="P20" s="913"/>
      <c r="Q20" s="913"/>
      <c r="R20" s="913"/>
      <c r="S20" s="913"/>
      <c r="T20" s="913"/>
      <c r="U20" s="913"/>
      <c r="V20" s="913"/>
      <c r="W20" s="913"/>
      <c r="X20" s="913"/>
      <c r="Y20" s="913"/>
      <c r="Z20" s="913"/>
      <c r="AA20" s="913"/>
      <c r="AB20" s="913"/>
      <c r="AC20" s="613"/>
      <c r="AD20" s="613"/>
      <c r="AE20" s="613"/>
      <c r="AF20" s="613"/>
      <c r="AG20" s="613"/>
      <c r="AH20" s="924"/>
    </row>
    <row r="21" spans="1:34">
      <c r="A21" s="809" t="s">
        <v>89</v>
      </c>
      <c r="B21" s="914" t="s">
        <v>14</v>
      </c>
      <c r="C21" s="675">
        <f>'Exh D Captl Projects State Fed'!C21+'Exh D Captl Projects State Fed'!M21</f>
        <v>303</v>
      </c>
      <c r="D21" s="932"/>
      <c r="E21" s="675">
        <f>'Exh D Captl Projects State Fed'!E21+'Exh D Captl Projects State Fed'!O21</f>
        <v>313</v>
      </c>
      <c r="F21" s="650"/>
      <c r="G21" s="675">
        <f>+'Exh D Captl Projects State Fed'!G21</f>
        <v>297.3</v>
      </c>
      <c r="H21" s="650"/>
      <c r="I21" s="650">
        <v>0</v>
      </c>
      <c r="J21" s="650"/>
      <c r="K21" s="3068">
        <f t="shared" ref="K21:K26" si="0">+G21+I21</f>
        <v>297.3</v>
      </c>
      <c r="L21" s="650"/>
      <c r="M21" s="884">
        <f t="shared" ref="M21:M26" si="1">ROUND(SUM(K21)-SUM(C21),1)</f>
        <v>-5.7</v>
      </c>
      <c r="N21" s="934"/>
      <c r="O21" s="884">
        <f t="shared" ref="O21:O26" si="2">K21-E21</f>
        <v>-15.699999999999989</v>
      </c>
      <c r="P21" s="913"/>
      <c r="Q21" s="934"/>
      <c r="R21" s="913"/>
      <c r="S21" s="934"/>
      <c r="T21" s="913"/>
      <c r="U21" s="913"/>
      <c r="V21" s="934"/>
      <c r="W21" s="913"/>
      <c r="X21" s="913"/>
      <c r="Y21" s="934"/>
      <c r="Z21" s="200"/>
      <c r="AA21" s="934"/>
      <c r="AB21" s="913"/>
      <c r="AC21" s="613"/>
      <c r="AD21" s="613"/>
      <c r="AE21" s="613"/>
      <c r="AF21" s="613"/>
      <c r="AG21" s="613"/>
      <c r="AH21" s="924"/>
    </row>
    <row r="22" spans="1:34">
      <c r="A22" s="809" t="s">
        <v>90</v>
      </c>
      <c r="B22" s="913" t="s">
        <v>14</v>
      </c>
      <c r="C22" s="675">
        <f>'Exh D Captl Projects State Fed'!C22+'Exh D Captl Projects State Fed'!M22</f>
        <v>48</v>
      </c>
      <c r="D22" s="932"/>
      <c r="E22" s="675">
        <f>'Exh D Captl Projects State Fed'!E22+'Exh D Captl Projects State Fed'!O22</f>
        <v>48</v>
      </c>
      <c r="F22" s="650"/>
      <c r="G22" s="675">
        <f>+'Exh D Captl Projects State Fed'!G22</f>
        <v>47.7</v>
      </c>
      <c r="H22" s="650"/>
      <c r="I22" s="650">
        <v>0</v>
      </c>
      <c r="J22" s="650"/>
      <c r="K22" s="1631">
        <f>+G22+I22</f>
        <v>47.7</v>
      </c>
      <c r="L22" s="650"/>
      <c r="M22" s="884">
        <f t="shared" si="1"/>
        <v>-0.3</v>
      </c>
      <c r="N22" s="913"/>
      <c r="O22" s="884">
        <f t="shared" si="2"/>
        <v>-0.29999999999999716</v>
      </c>
      <c r="P22" s="913"/>
      <c r="Q22" s="913"/>
      <c r="R22" s="913"/>
      <c r="S22" s="913"/>
      <c r="T22" s="913"/>
      <c r="U22" s="913"/>
      <c r="V22" s="913"/>
      <c r="W22" s="913"/>
      <c r="X22" s="913"/>
      <c r="Y22" s="913"/>
      <c r="Z22" s="913"/>
      <c r="AA22" s="913"/>
      <c r="AB22" s="913"/>
      <c r="AC22" s="613"/>
      <c r="AD22" s="613"/>
      <c r="AE22" s="613"/>
      <c r="AF22" s="613"/>
      <c r="AG22" s="613"/>
      <c r="AH22" s="924"/>
    </row>
    <row r="23" spans="1:34">
      <c r="A23" s="809" t="s">
        <v>19</v>
      </c>
      <c r="B23" s="913" t="s">
        <v>14</v>
      </c>
      <c r="C23" s="675">
        <f>'Exh D Captl Projects State Fed'!C23+'Exh D Captl Projects State Fed'!M23</f>
        <v>1620</v>
      </c>
      <c r="D23" s="932"/>
      <c r="E23" s="675">
        <f>'Exh D Captl Projects State Fed'!E23+'Exh D Captl Projects State Fed'!O23</f>
        <v>1645</v>
      </c>
      <c r="F23" s="634"/>
      <c r="G23" s="634">
        <f>+'Exh D Captl Projects State Fed'!G23+'Exh D Captl Projects State Fed'!Q23</f>
        <v>1262.6000000000001</v>
      </c>
      <c r="H23" s="634"/>
      <c r="I23" s="1515">
        <v>0</v>
      </c>
      <c r="J23" s="1515"/>
      <c r="K23" s="1631">
        <f t="shared" si="0"/>
        <v>1262.6000000000001</v>
      </c>
      <c r="L23" s="1515"/>
      <c r="M23" s="884">
        <f t="shared" si="1"/>
        <v>-357.4</v>
      </c>
      <c r="O23" s="884">
        <f t="shared" si="2"/>
        <v>-382.39999999999986</v>
      </c>
    </row>
    <row r="24" spans="1:34">
      <c r="A24" s="809" t="s">
        <v>20</v>
      </c>
      <c r="B24" s="913" t="s">
        <v>14</v>
      </c>
      <c r="C24" s="675">
        <f>'Exh D Captl Projects State Fed'!C24+'Exh D Captl Projects State Fed'!M24</f>
        <v>1025</v>
      </c>
      <c r="D24" s="932"/>
      <c r="E24" s="675">
        <f>'Exh D Captl Projects State Fed'!E24+'Exh D Captl Projects State Fed'!O24</f>
        <v>705</v>
      </c>
      <c r="F24" s="634"/>
      <c r="G24" s="634">
        <f>+'Exh D Captl Projects State Fed'!G24+'Exh D Captl Projects State Fed'!Q24</f>
        <v>591.49999999999989</v>
      </c>
      <c r="H24" s="634"/>
      <c r="I24" s="1515">
        <v>0</v>
      </c>
      <c r="J24" s="1515"/>
      <c r="K24" s="1631">
        <f t="shared" si="0"/>
        <v>591.49999999999989</v>
      </c>
      <c r="L24" s="1515"/>
      <c r="M24" s="884">
        <f t="shared" si="1"/>
        <v>-433.5</v>
      </c>
      <c r="O24" s="884">
        <f t="shared" si="2"/>
        <v>-113.50000000000011</v>
      </c>
    </row>
    <row r="25" spans="1:34">
      <c r="A25" s="809" t="s">
        <v>96</v>
      </c>
      <c r="B25" s="913" t="s">
        <v>14</v>
      </c>
      <c r="C25" s="675">
        <f>'Exh D Captl Projects State Fed'!C25+'Exh D Captl Projects State Fed'!M25</f>
        <v>0</v>
      </c>
      <c r="D25" s="1178"/>
      <c r="E25" s="675">
        <f>'Exh D Captl Projects State Fed'!E25+'Exh D Captl Projects State Fed'!O25</f>
        <v>0</v>
      </c>
      <c r="F25" s="634"/>
      <c r="G25" s="650">
        <f>+'Exh D Captl Projects State Fed'!G25+'Exh D Captl Projects State Fed'!Q25</f>
        <v>0</v>
      </c>
      <c r="H25" s="634"/>
      <c r="I25" s="1515">
        <v>0</v>
      </c>
      <c r="J25" s="1515"/>
      <c r="K25" s="650">
        <f t="shared" si="0"/>
        <v>0</v>
      </c>
      <c r="L25" s="1515"/>
      <c r="M25" s="884">
        <f t="shared" si="1"/>
        <v>0</v>
      </c>
      <c r="O25" s="884">
        <f t="shared" si="2"/>
        <v>0</v>
      </c>
    </row>
    <row r="26" spans="1:34">
      <c r="A26" s="809" t="s">
        <v>46</v>
      </c>
      <c r="B26" s="913" t="s">
        <v>14</v>
      </c>
      <c r="C26" s="675">
        <f>'Exh D Captl Projects State Fed'!C26+'Exh D Captl Projects State Fed'!M26</f>
        <v>2281</v>
      </c>
      <c r="D26" s="932"/>
      <c r="E26" s="675">
        <f>'Exh D Captl Projects State Fed'!E26+'Exh D Captl Projects State Fed'!O26</f>
        <v>2704</v>
      </c>
      <c r="F26" s="634"/>
      <c r="G26" s="671">
        <f>+'Exh D Captl Projects State Fed'!G26+'Exh D Captl Projects State Fed'!Q26</f>
        <v>2983.7</v>
      </c>
      <c r="H26" s="634"/>
      <c r="I26" s="884">
        <f>'Exhibit I'!AC93</f>
        <v>0</v>
      </c>
      <c r="J26" s="1515"/>
      <c r="K26" s="1631">
        <f t="shared" si="0"/>
        <v>2983.7</v>
      </c>
      <c r="L26" s="1515"/>
      <c r="M26" s="884">
        <f t="shared" si="1"/>
        <v>702.7</v>
      </c>
      <c r="O26" s="884">
        <f t="shared" si="2"/>
        <v>279.69999999999982</v>
      </c>
    </row>
    <row r="27" spans="1:34" ht="18" customHeight="1">
      <c r="A27" s="1110" t="s">
        <v>107</v>
      </c>
      <c r="B27" s="148" t="s">
        <v>14</v>
      </c>
      <c r="C27" s="1858">
        <f>ROUND(SUM(C20:C26),1)</f>
        <v>5583</v>
      </c>
      <c r="D27" s="1516"/>
      <c r="E27" s="1858">
        <f>ROUND(SUM(E20:E26),1)</f>
        <v>5730</v>
      </c>
      <c r="F27" s="911"/>
      <c r="G27" s="212">
        <f>ROUND(SUM(G20:G26),1)</f>
        <v>5505.6</v>
      </c>
      <c r="H27" s="911"/>
      <c r="I27" s="1526">
        <f>ROUND(SUM(I20:I26),1)</f>
        <v>0</v>
      </c>
      <c r="J27" s="911"/>
      <c r="K27" s="1526">
        <f>ROUND(SUM(K20:K26),1)</f>
        <v>5505.6</v>
      </c>
      <c r="L27" s="911"/>
      <c r="M27" s="1470">
        <f>ROUND(SUM(M20:M26),1)</f>
        <v>-77.400000000000006</v>
      </c>
      <c r="O27" s="212">
        <f>ROUND(SUM(O20:O26),1)</f>
        <v>-224.4</v>
      </c>
    </row>
    <row r="28" spans="1:34">
      <c r="A28" s="679"/>
      <c r="B28" s="913" t="s">
        <v>14</v>
      </c>
      <c r="C28" s="1856"/>
      <c r="D28" s="932"/>
      <c r="E28" s="1856"/>
      <c r="F28" s="634"/>
      <c r="G28" s="677"/>
      <c r="H28" s="634"/>
      <c r="I28" s="1515"/>
      <c r="J28" s="1515"/>
      <c r="K28" s="1515"/>
      <c r="L28" s="1515"/>
      <c r="M28" s="1031" t="s">
        <v>14</v>
      </c>
      <c r="O28" s="677" t="s">
        <v>14</v>
      </c>
    </row>
    <row r="29" spans="1:34">
      <c r="A29" s="26" t="s">
        <v>22</v>
      </c>
      <c r="B29" s="913" t="s">
        <v>14</v>
      </c>
      <c r="C29" s="1515"/>
      <c r="D29" s="932"/>
      <c r="E29" s="1515"/>
      <c r="F29" s="634"/>
      <c r="G29" s="634"/>
      <c r="H29" s="634"/>
      <c r="I29" s="1515"/>
      <c r="J29" s="1515"/>
      <c r="K29" s="1515"/>
      <c r="L29" s="1515"/>
      <c r="M29" s="884"/>
      <c r="O29" s="634"/>
    </row>
    <row r="30" spans="1:34">
      <c r="A30" s="809" t="s">
        <v>92</v>
      </c>
      <c r="B30" s="913" t="s">
        <v>14</v>
      </c>
      <c r="C30" s="675">
        <f>'Exh D Captl Projects State Fed'!C30+'Exh D Captl Projects State Fed'!M30</f>
        <v>2326</v>
      </c>
      <c r="D30" s="932"/>
      <c r="E30" s="675">
        <f>'Exh D Captl Projects State Fed'!E30+'Exh D Captl Projects State Fed'!O30</f>
        <v>2609</v>
      </c>
      <c r="F30" s="634"/>
      <c r="G30" s="634">
        <f>+'Exh D Captl Projects State Fed'!G30+'Exh D Captl Projects State Fed'!Q30</f>
        <v>2774.4</v>
      </c>
      <c r="H30" s="634"/>
      <c r="I30" s="1515">
        <v>0</v>
      </c>
      <c r="J30" s="1515"/>
      <c r="K30" s="1631">
        <f>+G30+I30</f>
        <v>2774.4</v>
      </c>
      <c r="L30" s="1515"/>
      <c r="M30" s="884">
        <f>ROUND(SUM(K30)-SUM(C30),1)</f>
        <v>448.4</v>
      </c>
      <c r="O30" s="884">
        <f>K30-E30</f>
        <v>165.40000000000009</v>
      </c>
    </row>
    <row r="31" spans="1:34">
      <c r="A31" s="809" t="s">
        <v>41</v>
      </c>
      <c r="B31" s="913" t="s">
        <v>14</v>
      </c>
      <c r="C31" s="675">
        <f>'Exh D Captl Projects State Fed'!C31+'Exh D Captl Projects State Fed'!M31</f>
        <v>4148</v>
      </c>
      <c r="D31" s="1178"/>
      <c r="E31" s="675">
        <f>'Exh D Captl Projects State Fed'!E31+'Exh D Captl Projects State Fed'!O31</f>
        <v>3796</v>
      </c>
      <c r="F31" s="634"/>
      <c r="G31" s="634">
        <f>+'Exh D Captl Projects State Fed'!G31+'Exh D Captl Projects State Fed'!Q31</f>
        <v>3507.6</v>
      </c>
      <c r="H31" s="634"/>
      <c r="I31" s="1515">
        <v>0</v>
      </c>
      <c r="J31" s="1515"/>
      <c r="K31" s="1631">
        <f>+G31+I31</f>
        <v>3507.6</v>
      </c>
      <c r="L31" s="1515"/>
      <c r="M31" s="884">
        <f>ROUND(SUM(K31)-SUM(C31),1)</f>
        <v>-640.4</v>
      </c>
      <c r="O31" s="884">
        <f t="shared" ref="O31:O32" si="3">K31-E31</f>
        <v>-288.40000000000009</v>
      </c>
    </row>
    <row r="32" spans="1:34">
      <c r="A32" s="809" t="s">
        <v>97</v>
      </c>
      <c r="B32" s="913" t="s">
        <v>14</v>
      </c>
      <c r="C32" s="675">
        <f>'Exh D Captl Projects State Fed'!C32+'Exh D Captl Projects State Fed'!M32</f>
        <v>277</v>
      </c>
      <c r="D32" s="932"/>
      <c r="E32" s="675">
        <f>'Exh D Captl Projects State Fed'!E32+'Exh D Captl Projects State Fed'!O32</f>
        <v>270</v>
      </c>
      <c r="F32" s="634"/>
      <c r="G32" s="634">
        <f>+'Exh D Captl Projects State Fed'!G32+'Exh D Captl Projects State Fed'!Q32</f>
        <v>269.3</v>
      </c>
      <c r="H32" s="634"/>
      <c r="I32" s="884">
        <f>-'Exhibit I'!AC94</f>
        <v>0</v>
      </c>
      <c r="J32" s="1515"/>
      <c r="K32" s="1631">
        <f>+G32+I32</f>
        <v>269.3</v>
      </c>
      <c r="L32" s="1515"/>
      <c r="M32" s="884">
        <f>ROUND(SUM(K32)-SUM(C32),1)</f>
        <v>-7.7</v>
      </c>
      <c r="O32" s="884">
        <f t="shared" si="3"/>
        <v>-0.69999999999998863</v>
      </c>
    </row>
    <row r="33" spans="1:34" ht="18" customHeight="1">
      <c r="A33" s="1110" t="s">
        <v>116</v>
      </c>
      <c r="B33" s="148" t="s">
        <v>14</v>
      </c>
      <c r="C33" s="1858">
        <f>ROUND(SUM(C30:C32),1)</f>
        <v>6751</v>
      </c>
      <c r="D33" s="1516"/>
      <c r="E33" s="1858">
        <f>ROUND(SUM(E30:E32),1)</f>
        <v>6675</v>
      </c>
      <c r="F33" s="911"/>
      <c r="G33" s="212">
        <f>ROUND(SUM(G30:G32),1)</f>
        <v>6551.3</v>
      </c>
      <c r="H33" s="911"/>
      <c r="I33" s="1526">
        <f>ROUND(SUM(I30:I32),1)</f>
        <v>0</v>
      </c>
      <c r="J33" s="911"/>
      <c r="K33" s="1526">
        <f>ROUND(SUM(K30:K32),1)</f>
        <v>6551.3</v>
      </c>
      <c r="L33" s="911"/>
      <c r="M33" s="1470">
        <f>ROUND(SUM(M30:M32),1)</f>
        <v>-199.7</v>
      </c>
      <c r="O33" s="212">
        <f>ROUND(SUM(O30:O32),1)</f>
        <v>-123.7</v>
      </c>
    </row>
    <row r="34" spans="1:34">
      <c r="A34" s="679"/>
      <c r="B34" s="913" t="s">
        <v>14</v>
      </c>
      <c r="C34" s="1856"/>
      <c r="D34" s="932"/>
      <c r="E34" s="1856"/>
      <c r="F34" s="634"/>
      <c r="G34" s="677"/>
      <c r="H34" s="634"/>
      <c r="I34" s="1515"/>
      <c r="J34" s="1515"/>
      <c r="K34" s="1515"/>
      <c r="L34" s="1515"/>
      <c r="M34" s="1031"/>
      <c r="O34" s="677"/>
    </row>
    <row r="35" spans="1:34">
      <c r="A35" s="26" t="s">
        <v>99</v>
      </c>
      <c r="B35" s="913"/>
      <c r="C35" s="1515"/>
      <c r="D35" s="932"/>
      <c r="E35" s="1515"/>
      <c r="F35" s="634"/>
      <c r="G35" s="634"/>
      <c r="H35" s="634"/>
      <c r="I35" s="1515"/>
      <c r="J35" s="1515"/>
      <c r="K35" s="1515"/>
      <c r="L35" s="1515"/>
      <c r="M35" s="884"/>
      <c r="O35" s="634"/>
    </row>
    <row r="36" spans="1:34">
      <c r="A36" s="26" t="s">
        <v>100</v>
      </c>
      <c r="B36" s="913"/>
      <c r="C36" s="1515"/>
      <c r="D36" s="932"/>
      <c r="E36" s="1515"/>
      <c r="F36" s="634"/>
      <c r="G36" s="634"/>
      <c r="H36" s="634"/>
      <c r="I36" s="1515"/>
      <c r="J36" s="1515"/>
      <c r="K36" s="1515"/>
      <c r="L36" s="1515"/>
      <c r="M36" s="884"/>
      <c r="O36" s="634"/>
    </row>
    <row r="37" spans="1:34">
      <c r="A37" s="1110" t="s">
        <v>101</v>
      </c>
      <c r="B37" s="171" t="s">
        <v>14</v>
      </c>
      <c r="C37" s="1516">
        <f>ROUND(SUM(C27)-SUM(C33),1)</f>
        <v>-1168</v>
      </c>
      <c r="D37" s="1516"/>
      <c r="E37" s="1516">
        <f>ROUND(SUM(E27)-SUM(E33),1)</f>
        <v>-945</v>
      </c>
      <c r="F37" s="81"/>
      <c r="G37" s="73">
        <f>ROUND(SUM(G27)-SUM(G33),1)</f>
        <v>-1045.7</v>
      </c>
      <c r="H37" s="81"/>
      <c r="I37" s="81">
        <v>0</v>
      </c>
      <c r="J37" s="81"/>
      <c r="K37" s="1516">
        <f>ROUND(SUM(K27)-SUM(K33),1)</f>
        <v>-1045.7</v>
      </c>
      <c r="L37" s="81"/>
      <c r="M37" s="112">
        <f>ROUND(SUM(M27)-SUM(M33),1)</f>
        <v>122.3</v>
      </c>
      <c r="N37" s="613"/>
      <c r="O37" s="73">
        <f>ROUND(SUM(O27)-SUM(O33),1)</f>
        <v>-100.7</v>
      </c>
    </row>
    <row r="38" spans="1:34">
      <c r="B38" s="613"/>
      <c r="C38" s="660"/>
      <c r="D38" s="1516"/>
      <c r="E38" s="660"/>
      <c r="F38" s="921"/>
      <c r="G38" s="660"/>
      <c r="H38" s="921"/>
      <c r="I38" s="921"/>
      <c r="J38" s="921"/>
      <c r="K38" s="660"/>
      <c r="L38" s="921"/>
      <c r="M38" s="1471"/>
      <c r="O38" s="660"/>
    </row>
    <row r="39" spans="1:34">
      <c r="A39" s="1110" t="str">
        <f>+'Exh D-Governmental  '!A49</f>
        <v>Fund Balances (Deficits) at April 1</v>
      </c>
      <c r="B39" s="923" t="s">
        <v>14</v>
      </c>
      <c r="C39" s="1862">
        <f>'Exh D Captl Projects State Fed'!C39+'Exh D Captl Projects State Fed'!M39</f>
        <v>-1144</v>
      </c>
      <c r="D39" s="1516"/>
      <c r="E39" s="1862">
        <v>-1144</v>
      </c>
      <c r="F39" s="921"/>
      <c r="G39" s="73">
        <f>'Exhibit I'!E15</f>
        <v>-1144</v>
      </c>
      <c r="H39" s="921"/>
      <c r="I39" s="3034">
        <v>0</v>
      </c>
      <c r="J39" s="921"/>
      <c r="K39" s="1864">
        <f>+G39+I39</f>
        <v>-1144</v>
      </c>
      <c r="L39" s="921"/>
      <c r="M39" s="3867">
        <f>ROUND(SUM(M29)-SUM(M35),1)</f>
        <v>0</v>
      </c>
      <c r="N39" s="613"/>
      <c r="O39" s="1627">
        <f>K39-E39</f>
        <v>0</v>
      </c>
      <c r="P39" s="613"/>
      <c r="Q39" s="613"/>
      <c r="R39" s="613"/>
      <c r="S39" s="613"/>
      <c r="T39" s="613"/>
      <c r="U39" s="613"/>
      <c r="V39" s="613"/>
      <c r="W39" s="613"/>
      <c r="X39" s="613"/>
      <c r="Y39" s="613"/>
      <c r="Z39" s="613"/>
      <c r="AA39" s="613"/>
      <c r="AB39" s="613"/>
      <c r="AC39" s="613"/>
      <c r="AD39" s="613"/>
      <c r="AE39" s="613"/>
      <c r="AF39" s="613"/>
      <c r="AG39" s="613"/>
      <c r="AH39" s="924"/>
    </row>
    <row r="40" spans="1:34" ht="16" thickBot="1">
      <c r="A40" s="1367" t="str">
        <f>+'Exh D-Governmental  '!A50</f>
        <v>Fund Balances (Deficits) at September 30, 2021</v>
      </c>
      <c r="B40" s="177" t="s">
        <v>14</v>
      </c>
      <c r="C40" s="95">
        <f>ROUND(SUM(C37:C39),1)</f>
        <v>-2312</v>
      </c>
      <c r="D40" s="216"/>
      <c r="E40" s="95">
        <f>ROUND(SUM(E37:E39),1)</f>
        <v>-2089</v>
      </c>
      <c r="F40" s="178"/>
      <c r="G40" s="95">
        <f>ROUND(SUM(G37:G39),1)</f>
        <v>-2189.6999999999998</v>
      </c>
      <c r="H40" s="178"/>
      <c r="I40" s="95">
        <f>ROUND(SUM(I37:I39),1)</f>
        <v>0</v>
      </c>
      <c r="J40" s="178"/>
      <c r="K40" s="95">
        <f>ROUND(SUM(K37:K39),1)</f>
        <v>-2189.6999999999998</v>
      </c>
      <c r="L40" s="178"/>
      <c r="M40" s="1472">
        <f>ROUND(SUM(M37:M39),1)</f>
        <v>122.3</v>
      </c>
      <c r="N40" s="613"/>
      <c r="O40" s="95">
        <f>ROUND(SUM(O37:O39),1)</f>
        <v>-100.7</v>
      </c>
      <c r="P40" s="613"/>
      <c r="Q40" s="613"/>
      <c r="R40" s="613"/>
      <c r="S40" s="613"/>
      <c r="T40" s="613"/>
      <c r="U40" s="613"/>
      <c r="V40" s="613"/>
      <c r="W40" s="613"/>
      <c r="X40" s="613"/>
      <c r="Y40" s="613"/>
      <c r="Z40" s="613"/>
      <c r="AA40" s="613"/>
      <c r="AB40" s="613"/>
      <c r="AC40" s="613"/>
      <c r="AD40" s="613"/>
      <c r="AE40" s="613"/>
      <c r="AF40" s="613"/>
      <c r="AG40" s="613"/>
      <c r="AH40" s="924"/>
    </row>
    <row r="41" spans="1:34" ht="16" thickTop="1">
      <c r="B41" s="613"/>
      <c r="C41" s="613"/>
      <c r="D41" s="613"/>
      <c r="E41" s="613"/>
      <c r="G41" s="947"/>
    </row>
    <row r="42" spans="1:34">
      <c r="A42" s="2120" t="str">
        <f>'Exh D-Governmental  '!A52</f>
        <v>(*)    Source: 2021-22 Enacted Financial Plan dated May 25, 2021.</v>
      </c>
      <c r="B42" s="613"/>
      <c r="D42" s="613"/>
    </row>
    <row r="43" spans="1:34" s="982" customFormat="1">
      <c r="A43" s="2120" t="str">
        <f>'Exh D-Governmental  '!A53</f>
        <v>(**)   Source: 2021-22 First Quarter Update dated September 15, 2021.</v>
      </c>
      <c r="B43" s="1925"/>
      <c r="C43" s="423"/>
      <c r="D43" s="1925"/>
      <c r="E43" s="423"/>
      <c r="F43" s="940"/>
      <c r="G43" s="1628"/>
      <c r="H43" s="1626"/>
      <c r="I43" s="1626"/>
      <c r="J43" s="1626"/>
      <c r="K43" s="1626"/>
      <c r="L43" s="1626"/>
      <c r="M43" s="1628"/>
      <c r="N43" s="1626"/>
      <c r="O43" s="3557"/>
      <c r="P43" s="940"/>
      <c r="Q43" s="940"/>
      <c r="R43" s="940"/>
      <c r="S43" s="940"/>
    </row>
    <row r="44" spans="1:34">
      <c r="A44" s="1484"/>
      <c r="B44" s="613"/>
      <c r="D44" s="613"/>
    </row>
    <row r="45" spans="1:34">
      <c r="A45" s="1484"/>
      <c r="B45" s="613"/>
      <c r="D45" s="613"/>
    </row>
    <row r="46" spans="1:34">
      <c r="A46" s="1040"/>
      <c r="B46" s="613"/>
      <c r="D46" s="613"/>
    </row>
    <row r="47" spans="1:34">
      <c r="A47" s="180"/>
      <c r="B47" s="613"/>
      <c r="D47" s="613"/>
    </row>
    <row r="48" spans="1:34">
      <c r="B48" s="613"/>
      <c r="D48" s="613"/>
    </row>
    <row r="49" spans="2:2">
      <c r="B49" s="61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pageSetUpPr fitToPage="1"/>
  </sheetPr>
  <dimension ref="A1:AV52"/>
  <sheetViews>
    <sheetView showGridLines="0" zoomScale="90" zoomScaleNormal="60" workbookViewId="0"/>
  </sheetViews>
  <sheetFormatPr defaultColWidth="8.84375" defaultRowHeight="15.5"/>
  <cols>
    <col min="1" max="1" width="51.84375" style="920" customWidth="1"/>
    <col min="2" max="2" width="2.07421875" style="924" customWidth="1"/>
    <col min="3" max="3" width="15.84375" style="422" customWidth="1"/>
    <col min="4" max="4" width="1.07421875" style="924" customWidth="1"/>
    <col min="5" max="5" width="15.84375" style="422" customWidth="1"/>
    <col min="6" max="6" width="1.07421875" style="924" customWidth="1"/>
    <col min="7" max="7" width="15.84375" style="924" customWidth="1"/>
    <col min="8" max="8" width="0.84375" style="924" customWidth="1"/>
    <col min="9" max="9" width="19.4609375" style="924" customWidth="1"/>
    <col min="10" max="10" width="1.07421875" style="613" customWidth="1"/>
    <col min="11" max="11" width="19.4609375" style="924" customWidth="1"/>
    <col min="12" max="12" width="1.07421875" style="924" customWidth="1"/>
    <col min="13" max="13" width="15.84375" style="613" customWidth="1"/>
    <col min="14" max="14" width="1.07421875" style="613" customWidth="1"/>
    <col min="15" max="15" width="15.84375" style="613" customWidth="1"/>
    <col min="16" max="16" width="1.07421875" style="613" customWidth="1"/>
    <col min="17" max="17" width="15.84375" style="613" customWidth="1"/>
    <col min="18" max="18" width="1.07421875" style="613" customWidth="1"/>
    <col min="19" max="19" width="15.84375" style="613" customWidth="1"/>
    <col min="20" max="20" width="1.84375" style="613" customWidth="1"/>
    <col min="21" max="21" width="15.84375" style="422" customWidth="1"/>
    <col min="22" max="22" width="0.84375" style="613" customWidth="1"/>
    <col min="23" max="23" width="15.84375" style="422" customWidth="1"/>
    <col min="24" max="24" width="1.07421875" style="613" customWidth="1"/>
    <col min="25" max="25" width="15.84375" style="613" customWidth="1"/>
    <col min="26" max="26" width="1" style="613" customWidth="1"/>
    <col min="27" max="27" width="15.84375" style="613" customWidth="1"/>
    <col min="28" max="28" width="3.84375" style="924" bestFit="1" customWidth="1"/>
    <col min="29" max="33" width="8.84375" style="924"/>
    <col min="34" max="16384" width="8.84375" style="920"/>
  </cols>
  <sheetData>
    <row r="1" spans="1:48">
      <c r="A1" s="926" t="s">
        <v>882</v>
      </c>
    </row>
    <row r="2" spans="1:48" ht="16.5">
      <c r="A2" s="182"/>
      <c r="B2" s="184"/>
      <c r="C2" s="416"/>
      <c r="D2" s="184"/>
      <c r="E2" s="416"/>
      <c r="F2" s="184"/>
      <c r="G2" s="184"/>
      <c r="H2" s="184"/>
      <c r="I2" s="184"/>
      <c r="J2" s="183"/>
      <c r="K2" s="184"/>
      <c r="L2" s="184"/>
      <c r="M2" s="183"/>
      <c r="N2" s="183"/>
      <c r="O2" s="183"/>
      <c r="P2" s="183"/>
      <c r="Q2" s="183"/>
      <c r="R2" s="183"/>
      <c r="S2" s="183"/>
      <c r="T2" s="183"/>
      <c r="U2" s="1171"/>
      <c r="V2" s="183"/>
      <c r="W2" s="1171"/>
      <c r="X2" s="183"/>
      <c r="Y2" s="183"/>
      <c r="Z2" s="183"/>
      <c r="AA2" s="183"/>
    </row>
    <row r="3" spans="1:48" ht="17.25" customHeight="1">
      <c r="A3" s="188" t="s">
        <v>0</v>
      </c>
      <c r="B3" s="145"/>
      <c r="C3" s="418"/>
      <c r="D3" s="140"/>
      <c r="E3" s="418"/>
      <c r="F3" s="140"/>
      <c r="G3" s="140"/>
      <c r="H3" s="140"/>
      <c r="I3" s="140"/>
      <c r="J3" s="153"/>
      <c r="K3" s="140"/>
      <c r="L3" s="140"/>
      <c r="M3" s="153"/>
      <c r="N3" s="153"/>
      <c r="O3" s="153"/>
      <c r="P3" s="153"/>
      <c r="Q3" s="153"/>
      <c r="R3" s="153"/>
      <c r="S3" s="811"/>
      <c r="T3" s="153"/>
      <c r="U3" s="811" t="s">
        <v>82</v>
      </c>
      <c r="V3" s="153"/>
      <c r="W3" s="1173"/>
      <c r="X3" s="153"/>
      <c r="Y3" s="153"/>
      <c r="Z3" s="153"/>
      <c r="AA3" s="1174"/>
    </row>
    <row r="4" spans="1:48" ht="17.25" customHeight="1">
      <c r="A4" s="188" t="s">
        <v>1104</v>
      </c>
      <c r="B4" s="145"/>
      <c r="C4" s="418"/>
      <c r="D4" s="140"/>
      <c r="E4" s="418"/>
      <c r="F4" s="140"/>
      <c r="G4" s="140"/>
      <c r="H4" s="140"/>
      <c r="I4" s="140"/>
      <c r="J4" s="153"/>
      <c r="K4" s="140"/>
      <c r="L4" s="140"/>
      <c r="M4" s="153"/>
      <c r="N4" s="153"/>
      <c r="O4" s="153"/>
      <c r="P4" s="153"/>
      <c r="Q4" s="153"/>
      <c r="R4" s="153"/>
      <c r="S4" s="812"/>
      <c r="T4" s="153"/>
      <c r="U4" s="812"/>
      <c r="V4" s="153"/>
      <c r="W4" s="1173"/>
      <c r="X4" s="153"/>
      <c r="Y4" s="153"/>
      <c r="Z4" s="153"/>
      <c r="AA4" s="1175"/>
    </row>
    <row r="5" spans="1:48" ht="17.25" customHeight="1">
      <c r="A5" s="3957" t="str">
        <f>'Exh D-Governmental  '!A5:E5</f>
        <v>FISCAL YEAR 2021-2022</v>
      </c>
      <c r="B5" s="3958"/>
      <c r="C5" s="3958"/>
      <c r="D5" s="3958"/>
      <c r="E5" s="3958"/>
      <c r="F5" s="140"/>
      <c r="G5" s="140"/>
      <c r="H5" s="140"/>
      <c r="I5" s="140"/>
      <c r="J5" s="153"/>
      <c r="K5" s="140"/>
      <c r="L5" s="140"/>
      <c r="M5" s="153"/>
      <c r="N5" s="153"/>
      <c r="O5" s="153"/>
      <c r="P5" s="153"/>
      <c r="Q5" s="153"/>
      <c r="R5" s="153"/>
      <c r="S5" s="153"/>
      <c r="T5" s="153"/>
      <c r="U5" s="1173"/>
      <c r="V5" s="153"/>
      <c r="W5" s="1173"/>
      <c r="X5" s="153"/>
      <c r="Y5" s="153"/>
      <c r="Z5" s="153"/>
      <c r="AA5" s="153"/>
    </row>
    <row r="6" spans="1:48" ht="17.25" customHeight="1">
      <c r="A6" s="1460" t="str">
        <f>'Exh D-Governmental  '!A6</f>
        <v xml:space="preserve">FOR SIX MONTHS ENDED SEPTEMBER 30, 2021    </v>
      </c>
      <c r="B6" s="144"/>
      <c r="C6" s="418"/>
      <c r="D6" s="140"/>
      <c r="E6" s="418"/>
      <c r="F6" s="140"/>
      <c r="G6" s="140"/>
      <c r="H6" s="140"/>
      <c r="I6" s="140"/>
      <c r="J6" s="153"/>
      <c r="K6" s="140"/>
      <c r="L6" s="140"/>
      <c r="M6" s="153"/>
      <c r="N6" s="153"/>
      <c r="O6" s="153"/>
      <c r="P6" s="153"/>
      <c r="Q6" s="153"/>
      <c r="R6" s="153"/>
      <c r="S6" s="153"/>
      <c r="T6" s="153"/>
      <c r="U6" s="1173"/>
      <c r="V6" s="153"/>
      <c r="W6" s="1173"/>
      <c r="X6" s="153"/>
      <c r="Y6" s="153"/>
      <c r="Z6" s="153"/>
      <c r="AA6" s="153"/>
      <c r="AB6" s="140"/>
      <c r="AC6" s="153"/>
      <c r="AD6" s="153"/>
      <c r="AE6" s="153"/>
      <c r="AF6" s="153"/>
      <c r="AG6" s="153"/>
      <c r="AH6" s="153"/>
      <c r="AI6" s="153"/>
      <c r="AJ6" s="153"/>
      <c r="AK6" s="153"/>
      <c r="AL6" s="153"/>
      <c r="AM6" s="153"/>
      <c r="AN6" s="153"/>
      <c r="AO6" s="153"/>
      <c r="AP6" s="153"/>
      <c r="AQ6" s="613"/>
      <c r="AR6" s="613"/>
      <c r="AS6" s="613"/>
      <c r="AT6" s="613"/>
      <c r="AU6" s="613"/>
      <c r="AV6" s="924"/>
    </row>
    <row r="7" spans="1:48" ht="18">
      <c r="A7" s="188" t="s">
        <v>1278</v>
      </c>
      <c r="B7" s="145"/>
      <c r="C7" s="418"/>
      <c r="D7" s="140"/>
      <c r="E7" s="418"/>
      <c r="F7" s="140"/>
      <c r="G7" s="140"/>
      <c r="H7" s="140"/>
      <c r="I7" s="140"/>
      <c r="J7" s="153"/>
      <c r="K7" s="140"/>
      <c r="L7" s="140"/>
      <c r="M7" s="153"/>
      <c r="N7" s="153"/>
      <c r="O7" s="153"/>
      <c r="P7" s="153"/>
      <c r="Q7" s="153"/>
      <c r="R7" s="153"/>
      <c r="S7" s="153"/>
      <c r="T7" s="153"/>
      <c r="U7" s="1173"/>
      <c r="V7" s="153"/>
      <c r="W7" s="1173"/>
      <c r="X7" s="153"/>
      <c r="Y7" s="153"/>
      <c r="Z7" s="153"/>
      <c r="AA7" s="153"/>
    </row>
    <row r="8" spans="1:48" ht="17.5">
      <c r="A8" s="190"/>
      <c r="B8" s="145"/>
      <c r="C8" s="418"/>
      <c r="D8" s="140"/>
      <c r="E8" s="418"/>
      <c r="F8" s="140"/>
      <c r="G8" s="140"/>
      <c r="H8" s="140"/>
      <c r="I8" s="140"/>
      <c r="J8" s="153"/>
      <c r="K8" s="140"/>
      <c r="L8" s="140"/>
      <c r="M8" s="153"/>
      <c r="N8" s="153"/>
      <c r="O8" s="153"/>
      <c r="P8" s="153"/>
      <c r="Q8" s="153"/>
      <c r="R8" s="153"/>
      <c r="S8" s="153"/>
      <c r="T8" s="153"/>
      <c r="U8" s="1173"/>
      <c r="V8" s="153"/>
      <c r="W8" s="1173"/>
      <c r="X8" s="153"/>
      <c r="Y8" s="153"/>
      <c r="Z8" s="153"/>
      <c r="AA8" s="153"/>
    </row>
    <row r="9" spans="1:48">
      <c r="A9" s="147"/>
      <c r="B9" s="140"/>
      <c r="C9" s="419"/>
      <c r="D9" s="140"/>
      <c r="E9" s="419"/>
      <c r="F9" s="140"/>
      <c r="G9" s="140"/>
      <c r="H9" s="140"/>
      <c r="I9" s="140"/>
      <c r="J9" s="153"/>
      <c r="K9" s="140"/>
      <c r="L9" s="140"/>
      <c r="M9" s="153"/>
      <c r="N9" s="153"/>
      <c r="O9" s="153"/>
      <c r="P9" s="153"/>
      <c r="Q9" s="153"/>
      <c r="R9" s="153"/>
      <c r="S9" s="153"/>
      <c r="T9" s="153"/>
      <c r="U9" s="1173"/>
      <c r="V9" s="153"/>
      <c r="W9" s="1173"/>
      <c r="X9" s="153"/>
      <c r="Y9" s="153"/>
      <c r="Z9" s="153"/>
      <c r="AA9" s="153"/>
    </row>
    <row r="10" spans="1:48">
      <c r="A10" s="147"/>
      <c r="B10" s="140"/>
      <c r="C10" s="418"/>
      <c r="D10" s="145"/>
      <c r="E10" s="418"/>
      <c r="F10" s="145"/>
      <c r="G10" s="145"/>
      <c r="H10" s="145"/>
      <c r="I10" s="145"/>
      <c r="J10" s="144"/>
      <c r="K10" s="145"/>
      <c r="L10" s="145"/>
      <c r="M10" s="418"/>
      <c r="N10" s="145"/>
      <c r="O10" s="418"/>
      <c r="P10" s="145"/>
      <c r="Q10" s="145"/>
      <c r="R10" s="145"/>
      <c r="S10" s="145"/>
      <c r="T10" s="144"/>
      <c r="U10" s="953"/>
      <c r="V10" s="144"/>
      <c r="W10" s="953"/>
      <c r="X10" s="144"/>
      <c r="Y10" s="144"/>
      <c r="Z10" s="144"/>
      <c r="AA10" s="144"/>
      <c r="AB10" s="940"/>
    </row>
    <row r="11" spans="1:48">
      <c r="A11" s="679"/>
      <c r="B11" s="148"/>
      <c r="C11" s="3959" t="s">
        <v>1047</v>
      </c>
      <c r="D11" s="3959"/>
      <c r="E11" s="3959"/>
      <c r="F11" s="3959"/>
      <c r="G11" s="3959"/>
      <c r="H11" s="3959"/>
      <c r="I11" s="3959"/>
      <c r="J11" s="1167"/>
      <c r="K11" s="1167"/>
      <c r="L11" s="202"/>
      <c r="M11" s="3959" t="s">
        <v>1048</v>
      </c>
      <c r="N11" s="3959"/>
      <c r="O11" s="3959"/>
      <c r="P11" s="3959"/>
      <c r="Q11" s="3959"/>
      <c r="R11" s="3959"/>
      <c r="S11" s="3959"/>
      <c r="T11" s="1180"/>
      <c r="U11" s="1404"/>
      <c r="V11" s="1404"/>
      <c r="W11" s="193"/>
      <c r="X11" s="193"/>
      <c r="Y11" s="193"/>
      <c r="Z11" s="193"/>
      <c r="AA11" s="193"/>
      <c r="AB11" s="940"/>
    </row>
    <row r="12" spans="1:48">
      <c r="A12" s="679"/>
      <c r="B12" s="148"/>
      <c r="C12" s="424"/>
      <c r="D12" s="149"/>
      <c r="E12" s="424"/>
      <c r="F12" s="149"/>
      <c r="G12" s="149"/>
      <c r="H12" s="149"/>
      <c r="I12" s="203" t="s">
        <v>83</v>
      </c>
      <c r="J12" s="203"/>
      <c r="K12" s="203" t="s">
        <v>83</v>
      </c>
      <c r="L12" s="927"/>
      <c r="M12" s="424"/>
      <c r="N12" s="149"/>
      <c r="O12" s="424"/>
      <c r="P12" s="149"/>
      <c r="Q12" s="149"/>
      <c r="R12" s="149"/>
      <c r="S12" s="203" t="s">
        <v>83</v>
      </c>
      <c r="T12" s="148"/>
      <c r="U12" s="203" t="s">
        <v>83</v>
      </c>
      <c r="V12" s="148"/>
      <c r="W12" s="969"/>
      <c r="X12" s="148"/>
      <c r="Y12" s="148"/>
      <c r="Z12" s="148"/>
      <c r="AA12" s="203"/>
    </row>
    <row r="13" spans="1:48">
      <c r="A13" s="679"/>
      <c r="B13" s="148"/>
      <c r="C13" s="424"/>
      <c r="D13" s="149"/>
      <c r="E13" s="424"/>
      <c r="F13" s="149"/>
      <c r="G13" s="149"/>
      <c r="H13" s="149"/>
      <c r="I13" s="150" t="s">
        <v>795</v>
      </c>
      <c r="J13" s="198"/>
      <c r="K13" s="150" t="s">
        <v>795</v>
      </c>
      <c r="L13" s="927"/>
      <c r="M13" s="424"/>
      <c r="N13" s="149"/>
      <c r="O13" s="424"/>
      <c r="P13" s="149"/>
      <c r="Q13" s="149"/>
      <c r="R13" s="149"/>
      <c r="S13" s="150" t="s">
        <v>795</v>
      </c>
      <c r="T13" s="148"/>
      <c r="U13" s="150" t="s">
        <v>795</v>
      </c>
      <c r="V13" s="148"/>
      <c r="W13" s="969"/>
      <c r="X13" s="148"/>
      <c r="Y13" s="148"/>
      <c r="Z13" s="148"/>
      <c r="AA13" s="198"/>
    </row>
    <row r="14" spans="1:48" ht="15.75" customHeight="1">
      <c r="A14" s="679"/>
      <c r="B14" s="148"/>
      <c r="C14" s="151" t="s">
        <v>991</v>
      </c>
      <c r="D14" s="920"/>
      <c r="E14" s="151" t="s">
        <v>992</v>
      </c>
      <c r="F14" s="149"/>
      <c r="G14" s="149"/>
      <c r="H14" s="149"/>
      <c r="I14" s="150" t="s">
        <v>84</v>
      </c>
      <c r="J14" s="198"/>
      <c r="K14" s="150" t="s">
        <v>84</v>
      </c>
      <c r="L14" s="927"/>
      <c r="M14" s="151" t="s">
        <v>991</v>
      </c>
      <c r="N14" s="920"/>
      <c r="O14" s="151" t="s">
        <v>992</v>
      </c>
      <c r="P14" s="149"/>
      <c r="Q14" s="149"/>
      <c r="R14" s="149"/>
      <c r="S14" s="150" t="s">
        <v>84</v>
      </c>
      <c r="T14" s="199"/>
      <c r="U14" s="150" t="s">
        <v>84</v>
      </c>
      <c r="V14" s="680"/>
      <c r="W14" s="197"/>
      <c r="X14" s="148"/>
      <c r="Y14" s="148"/>
      <c r="Z14" s="148"/>
      <c r="AA14" s="198"/>
    </row>
    <row r="15" spans="1:48" ht="15.75" customHeight="1">
      <c r="A15" s="679"/>
      <c r="B15" s="148"/>
      <c r="C15" s="150" t="s">
        <v>1028</v>
      </c>
      <c r="D15" s="149"/>
      <c r="E15" s="150" t="s">
        <v>1028</v>
      </c>
      <c r="F15" s="149"/>
      <c r="G15" s="149"/>
      <c r="H15" s="149"/>
      <c r="I15" s="150" t="s">
        <v>991</v>
      </c>
      <c r="J15" s="197"/>
      <c r="K15" s="151" t="s">
        <v>992</v>
      </c>
      <c r="L15" s="970"/>
      <c r="M15" s="150" t="s">
        <v>1028</v>
      </c>
      <c r="N15" s="149"/>
      <c r="O15" s="150" t="s">
        <v>1028</v>
      </c>
      <c r="P15" s="149"/>
      <c r="Q15" s="149"/>
      <c r="R15" s="149"/>
      <c r="S15" s="150" t="s">
        <v>991</v>
      </c>
      <c r="T15" s="199"/>
      <c r="U15" s="151" t="s">
        <v>992</v>
      </c>
      <c r="V15" s="148"/>
      <c r="W15" s="198"/>
      <c r="X15" s="148"/>
      <c r="Y15" s="148"/>
      <c r="Z15" s="148"/>
      <c r="AA15" s="197"/>
    </row>
    <row r="16" spans="1:48">
      <c r="A16" s="679"/>
      <c r="B16" s="148"/>
      <c r="C16" s="150" t="s">
        <v>1029</v>
      </c>
      <c r="D16" s="149"/>
      <c r="E16" s="150" t="s">
        <v>1544</v>
      </c>
      <c r="F16" s="149"/>
      <c r="G16" s="151" t="s">
        <v>83</v>
      </c>
      <c r="H16" s="149"/>
      <c r="I16" s="150" t="s">
        <v>85</v>
      </c>
      <c r="J16" s="198"/>
      <c r="K16" s="150" t="s">
        <v>85</v>
      </c>
      <c r="L16" s="927"/>
      <c r="M16" s="150" t="s">
        <v>1029</v>
      </c>
      <c r="N16" s="149"/>
      <c r="O16" s="150" t="s">
        <v>1544</v>
      </c>
      <c r="P16" s="149"/>
      <c r="Q16" s="151" t="s">
        <v>83</v>
      </c>
      <c r="R16" s="149"/>
      <c r="S16" s="150" t="s">
        <v>85</v>
      </c>
      <c r="T16" s="198"/>
      <c r="U16" s="150" t="s">
        <v>85</v>
      </c>
      <c r="V16" s="148"/>
      <c r="W16" s="198"/>
      <c r="X16" s="148"/>
      <c r="Y16" s="197"/>
      <c r="Z16" s="148"/>
      <c r="AA16" s="198"/>
    </row>
    <row r="17" spans="1:48">
      <c r="A17" s="152"/>
      <c r="B17" s="153"/>
      <c r="C17" s="154"/>
      <c r="D17" s="140"/>
      <c r="E17" s="154"/>
      <c r="F17" s="140"/>
      <c r="G17" s="154"/>
      <c r="H17" s="140"/>
      <c r="I17" s="154"/>
      <c r="J17" s="153"/>
      <c r="K17" s="154"/>
      <c r="L17" s="928"/>
      <c r="M17" s="154"/>
      <c r="N17" s="140"/>
      <c r="O17" s="154"/>
      <c r="P17" s="140"/>
      <c r="Q17" s="154"/>
      <c r="R17" s="140"/>
      <c r="S17" s="154"/>
      <c r="T17" s="153"/>
      <c r="U17" s="154"/>
      <c r="V17" s="153"/>
      <c r="W17" s="153"/>
      <c r="X17" s="153"/>
      <c r="Y17" s="153"/>
      <c r="Z17" s="153"/>
      <c r="AA17" s="153"/>
    </row>
    <row r="18" spans="1:48">
      <c r="A18" s="26" t="s">
        <v>13</v>
      </c>
      <c r="B18" s="913"/>
      <c r="C18" s="648"/>
      <c r="D18" s="648"/>
      <c r="E18" s="648"/>
      <c r="F18" s="648"/>
      <c r="G18" s="804" t="s">
        <v>14</v>
      </c>
      <c r="H18" s="648"/>
      <c r="I18" s="648"/>
      <c r="J18" s="913"/>
      <c r="K18" s="648"/>
      <c r="L18" s="929"/>
      <c r="M18" s="648"/>
      <c r="N18" s="648"/>
      <c r="O18" s="648"/>
      <c r="P18" s="648"/>
      <c r="Q18" s="648" t="s">
        <v>14</v>
      </c>
      <c r="R18" s="648"/>
      <c r="S18" s="648"/>
      <c r="T18" s="913"/>
      <c r="U18" s="648"/>
      <c r="V18" s="913"/>
      <c r="W18" s="913"/>
      <c r="X18" s="913"/>
      <c r="Y18" s="913"/>
      <c r="Z18" s="913"/>
      <c r="AA18" s="913"/>
    </row>
    <row r="19" spans="1:48">
      <c r="A19" s="809" t="s">
        <v>86</v>
      </c>
      <c r="B19" s="914" t="s">
        <v>14</v>
      </c>
      <c r="C19" s="649"/>
      <c r="D19" s="651"/>
      <c r="E19" s="649"/>
      <c r="F19" s="651"/>
      <c r="G19" s="649"/>
      <c r="H19" s="651"/>
      <c r="I19" s="649"/>
      <c r="J19" s="960"/>
      <c r="K19" s="649"/>
      <c r="L19" s="941"/>
      <c r="M19" s="649"/>
      <c r="N19" s="649"/>
      <c r="O19" s="649"/>
      <c r="P19" s="649"/>
      <c r="Q19" s="942"/>
      <c r="R19" s="651"/>
      <c r="S19" s="649"/>
      <c r="T19" s="651"/>
      <c r="U19" s="649"/>
      <c r="V19" s="960"/>
      <c r="W19" s="960"/>
      <c r="X19" s="960"/>
      <c r="Y19" s="1181"/>
      <c r="Z19" s="958"/>
      <c r="AA19" s="960"/>
      <c r="AB19" s="913"/>
      <c r="AC19" s="913"/>
      <c r="AD19" s="913"/>
      <c r="AE19" s="913"/>
      <c r="AF19" s="913"/>
      <c r="AG19" s="913"/>
      <c r="AH19" s="913"/>
      <c r="AI19" s="913"/>
      <c r="AJ19" s="913"/>
      <c r="AK19" s="913"/>
      <c r="AL19" s="913"/>
      <c r="AM19" s="913"/>
      <c r="AN19" s="913"/>
      <c r="AO19" s="913"/>
      <c r="AP19" s="913"/>
      <c r="AQ19" s="613"/>
      <c r="AR19" s="613"/>
      <c r="AS19" s="613"/>
      <c r="AT19" s="613"/>
      <c r="AU19" s="613"/>
      <c r="AV19" s="924"/>
    </row>
    <row r="20" spans="1:48">
      <c r="A20" s="809" t="s">
        <v>88</v>
      </c>
      <c r="B20" s="913" t="s">
        <v>14</v>
      </c>
      <c r="C20" s="2039">
        <v>306</v>
      </c>
      <c r="D20" s="649"/>
      <c r="E20" s="2039">
        <v>315</v>
      </c>
      <c r="F20" s="649"/>
      <c r="G20" s="930">
        <f>+'Exhibit I State'!AD22</f>
        <v>322.8</v>
      </c>
      <c r="H20" s="649"/>
      <c r="I20" s="649">
        <f>G20-C20</f>
        <v>16.800000000000011</v>
      </c>
      <c r="J20" s="960"/>
      <c r="K20" s="649">
        <f t="shared" ref="K20:K26" si="0">+G20-E20</f>
        <v>7.8000000000000114</v>
      </c>
      <c r="L20" s="941"/>
      <c r="M20" s="2039">
        <v>0</v>
      </c>
      <c r="N20" s="2039"/>
      <c r="O20" s="2039">
        <v>0</v>
      </c>
      <c r="P20" s="652"/>
      <c r="Q20" s="930">
        <v>0</v>
      </c>
      <c r="R20" s="652"/>
      <c r="S20" s="649">
        <f>Q20-M20</f>
        <v>0</v>
      </c>
      <c r="T20" s="960"/>
      <c r="U20" s="649">
        <f t="shared" ref="U20:U26" si="1">Q20-O20</f>
        <v>0</v>
      </c>
      <c r="V20" s="1182"/>
      <c r="W20" s="959"/>
      <c r="X20" s="1182"/>
      <c r="Y20" s="959"/>
      <c r="Z20" s="1182"/>
      <c r="AA20" s="960"/>
      <c r="AB20" s="913"/>
      <c r="AC20" s="913"/>
      <c r="AD20" s="913"/>
      <c r="AE20" s="913"/>
      <c r="AF20" s="913"/>
      <c r="AG20" s="913"/>
      <c r="AH20" s="913"/>
      <c r="AI20" s="913"/>
      <c r="AJ20" s="913"/>
      <c r="AK20" s="913"/>
      <c r="AL20" s="913"/>
      <c r="AM20" s="913"/>
      <c r="AN20" s="913"/>
      <c r="AO20" s="913"/>
      <c r="AP20" s="913"/>
      <c r="AQ20" s="613"/>
      <c r="AR20" s="613"/>
      <c r="AS20" s="613"/>
      <c r="AT20" s="613"/>
      <c r="AU20" s="613"/>
      <c r="AV20" s="924"/>
    </row>
    <row r="21" spans="1:48">
      <c r="A21" s="809" t="s">
        <v>89</v>
      </c>
      <c r="B21" s="914" t="s">
        <v>14</v>
      </c>
      <c r="C21" s="1111">
        <v>303</v>
      </c>
      <c r="D21" s="671"/>
      <c r="E21" s="1111">
        <v>313</v>
      </c>
      <c r="F21" s="671"/>
      <c r="G21" s="675">
        <f>+'Exhibit I State'!AD27</f>
        <v>297.3</v>
      </c>
      <c r="H21" s="671"/>
      <c r="I21" s="634">
        <f t="shared" ref="I21:I26" si="2">ROUND(SUM(G21)-SUM(C21),1)</f>
        <v>-5.7</v>
      </c>
      <c r="J21" s="932"/>
      <c r="K21" s="1515">
        <f t="shared" si="0"/>
        <v>-15.699999999999989</v>
      </c>
      <c r="L21" s="943"/>
      <c r="M21" s="1111">
        <v>0</v>
      </c>
      <c r="N21" s="1111"/>
      <c r="O21" s="1111">
        <v>0</v>
      </c>
      <c r="P21" s="650"/>
      <c r="Q21" s="675">
        <v>0</v>
      </c>
      <c r="R21" s="650"/>
      <c r="S21" s="634">
        <f t="shared" ref="S21:S26" si="3">ROUND(SUM(Q21)-SUM(M21),1)</f>
        <v>0</v>
      </c>
      <c r="T21" s="671"/>
      <c r="U21" s="1515">
        <f t="shared" si="1"/>
        <v>0</v>
      </c>
      <c r="V21" s="935"/>
      <c r="W21" s="963"/>
      <c r="X21" s="935"/>
      <c r="Y21" s="963"/>
      <c r="Z21" s="935"/>
      <c r="AA21" s="932"/>
      <c r="AB21" s="934"/>
      <c r="AC21" s="913"/>
      <c r="AD21" s="913"/>
      <c r="AE21" s="934"/>
      <c r="AF21" s="913"/>
      <c r="AG21" s="934"/>
      <c r="AH21" s="913"/>
      <c r="AI21" s="913"/>
      <c r="AJ21" s="934"/>
      <c r="AK21" s="913"/>
      <c r="AL21" s="913"/>
      <c r="AM21" s="934"/>
      <c r="AN21" s="200"/>
      <c r="AO21" s="934"/>
      <c r="AP21" s="913"/>
      <c r="AQ21" s="613"/>
      <c r="AR21" s="613"/>
      <c r="AS21" s="613"/>
      <c r="AT21" s="613"/>
      <c r="AU21" s="613"/>
      <c r="AV21" s="924"/>
    </row>
    <row r="22" spans="1:48">
      <c r="A22" s="809" t="s">
        <v>90</v>
      </c>
      <c r="B22" s="913" t="s">
        <v>14</v>
      </c>
      <c r="C22" s="1111">
        <v>48</v>
      </c>
      <c r="D22" s="1515"/>
      <c r="E22" s="1111">
        <v>48</v>
      </c>
      <c r="F22" s="634"/>
      <c r="G22" s="675">
        <f>+'Exhibit I State'!AD30</f>
        <v>47.7</v>
      </c>
      <c r="H22" s="634"/>
      <c r="I22" s="634">
        <f t="shared" si="2"/>
        <v>-0.3</v>
      </c>
      <c r="J22" s="932"/>
      <c r="K22" s="1515">
        <f t="shared" si="0"/>
        <v>-0.29999999999999716</v>
      </c>
      <c r="L22" s="943"/>
      <c r="M22" s="1111">
        <v>0</v>
      </c>
      <c r="N22" s="1111"/>
      <c r="O22" s="1111">
        <v>0</v>
      </c>
      <c r="P22" s="650"/>
      <c r="Q22" s="675">
        <v>0</v>
      </c>
      <c r="R22" s="650"/>
      <c r="S22" s="634">
        <f t="shared" si="3"/>
        <v>0</v>
      </c>
      <c r="T22" s="932"/>
      <c r="U22" s="1515">
        <f t="shared" si="1"/>
        <v>0</v>
      </c>
      <c r="V22" s="935"/>
      <c r="W22" s="963"/>
      <c r="X22" s="935"/>
      <c r="Y22" s="963"/>
      <c r="Z22" s="935"/>
      <c r="AA22" s="932"/>
      <c r="AB22" s="913"/>
      <c r="AC22" s="913"/>
      <c r="AD22" s="913"/>
      <c r="AE22" s="913"/>
      <c r="AF22" s="913"/>
      <c r="AG22" s="913"/>
      <c r="AH22" s="913"/>
      <c r="AI22" s="913"/>
      <c r="AJ22" s="913"/>
      <c r="AK22" s="913"/>
      <c r="AL22" s="913"/>
      <c r="AM22" s="913"/>
      <c r="AN22" s="913"/>
      <c r="AO22" s="913"/>
      <c r="AP22" s="913"/>
      <c r="AQ22" s="613"/>
      <c r="AR22" s="613"/>
      <c r="AS22" s="613"/>
      <c r="AT22" s="613"/>
      <c r="AU22" s="613"/>
      <c r="AV22" s="924"/>
    </row>
    <row r="23" spans="1:48">
      <c r="A23" s="809" t="s">
        <v>19</v>
      </c>
      <c r="B23" s="913" t="s">
        <v>14</v>
      </c>
      <c r="C23" s="1111">
        <v>1620</v>
      </c>
      <c r="D23" s="1515"/>
      <c r="E23" s="1111">
        <v>1645</v>
      </c>
      <c r="F23" s="634"/>
      <c r="G23" s="675">
        <f>+'Exhibit I State'!AD60</f>
        <v>1262.7</v>
      </c>
      <c r="H23" s="634"/>
      <c r="I23" s="634">
        <f t="shared" si="2"/>
        <v>-357.3</v>
      </c>
      <c r="J23" s="932"/>
      <c r="K23" s="1515">
        <f t="shared" si="0"/>
        <v>-382.29999999999995</v>
      </c>
      <c r="L23" s="943"/>
      <c r="M23" s="1111">
        <v>0</v>
      </c>
      <c r="N23" s="1515"/>
      <c r="O23" s="1111">
        <v>0</v>
      </c>
      <c r="P23" s="634"/>
      <c r="Q23" s="634">
        <f>+'Exhibit I Federal'!AD42</f>
        <v>-0.1</v>
      </c>
      <c r="R23" s="634"/>
      <c r="S23" s="634">
        <f t="shared" si="3"/>
        <v>-0.1</v>
      </c>
      <c r="T23" s="932"/>
      <c r="U23" s="1515">
        <f t="shared" si="1"/>
        <v>-0.1</v>
      </c>
      <c r="V23" s="932"/>
      <c r="W23" s="963"/>
      <c r="X23" s="932"/>
      <c r="Y23" s="963"/>
      <c r="Z23" s="932"/>
      <c r="AA23" s="932"/>
    </row>
    <row r="24" spans="1:48">
      <c r="A24" s="809" t="s">
        <v>20</v>
      </c>
      <c r="B24" s="913" t="s">
        <v>14</v>
      </c>
      <c r="C24" s="1111">
        <v>2</v>
      </c>
      <c r="D24" s="1515"/>
      <c r="E24" s="1111">
        <v>4</v>
      </c>
      <c r="F24" s="634"/>
      <c r="G24" s="675">
        <f>+'Exhibit I State'!AD62</f>
        <v>19.3</v>
      </c>
      <c r="H24" s="634"/>
      <c r="I24" s="634">
        <f t="shared" si="2"/>
        <v>17.3</v>
      </c>
      <c r="J24" s="932"/>
      <c r="K24" s="1515">
        <f t="shared" si="0"/>
        <v>15.3</v>
      </c>
      <c r="L24" s="943"/>
      <c r="M24" s="1111">
        <v>1023</v>
      </c>
      <c r="N24" s="1515"/>
      <c r="O24" s="1111">
        <v>701</v>
      </c>
      <c r="P24" s="634"/>
      <c r="Q24" s="634">
        <f>+'Exhibit I Federal'!AD44</f>
        <v>572.19999999999993</v>
      </c>
      <c r="R24" s="634"/>
      <c r="S24" s="634">
        <f t="shared" si="3"/>
        <v>-450.8</v>
      </c>
      <c r="T24" s="932"/>
      <c r="U24" s="1515">
        <f t="shared" si="1"/>
        <v>-128.80000000000007</v>
      </c>
      <c r="V24" s="932"/>
      <c r="W24" s="963"/>
      <c r="X24" s="932"/>
      <c r="Y24" s="963"/>
      <c r="Z24" s="932"/>
      <c r="AA24" s="932"/>
    </row>
    <row r="25" spans="1:48">
      <c r="A25" s="809" t="s">
        <v>96</v>
      </c>
      <c r="B25" s="913" t="s">
        <v>14</v>
      </c>
      <c r="C25" s="1111">
        <v>0</v>
      </c>
      <c r="D25" s="1515"/>
      <c r="E25" s="1111">
        <v>0</v>
      </c>
      <c r="F25" s="634"/>
      <c r="G25" s="675">
        <f>+'Exhibit I State'!AA91</f>
        <v>0</v>
      </c>
      <c r="H25" s="634"/>
      <c r="I25" s="634">
        <f t="shared" si="2"/>
        <v>0</v>
      </c>
      <c r="J25" s="932"/>
      <c r="K25" s="1515">
        <f t="shared" si="0"/>
        <v>0</v>
      </c>
      <c r="L25" s="944"/>
      <c r="M25" s="1111">
        <v>0</v>
      </c>
      <c r="N25" s="884"/>
      <c r="O25" s="1111">
        <v>0</v>
      </c>
      <c r="P25" s="634"/>
      <c r="Q25" s="650">
        <v>0</v>
      </c>
      <c r="R25" s="634"/>
      <c r="S25" s="634">
        <f t="shared" si="3"/>
        <v>0</v>
      </c>
      <c r="T25" s="933"/>
      <c r="U25" s="1515">
        <f t="shared" si="1"/>
        <v>0</v>
      </c>
      <c r="V25" s="932"/>
      <c r="W25" s="963"/>
      <c r="X25" s="932"/>
      <c r="Y25" s="963"/>
      <c r="Z25" s="932"/>
      <c r="AA25" s="932"/>
    </row>
    <row r="26" spans="1:48">
      <c r="A26" s="809" t="s">
        <v>46</v>
      </c>
      <c r="B26" s="913" t="s">
        <v>14</v>
      </c>
      <c r="C26" s="1111">
        <v>2267</v>
      </c>
      <c r="D26" s="1515"/>
      <c r="E26" s="1111">
        <v>2691</v>
      </c>
      <c r="F26" s="634"/>
      <c r="G26" s="673">
        <f>+'Exhibit I State'!AD92</f>
        <v>2983.7</v>
      </c>
      <c r="H26" s="634"/>
      <c r="I26" s="634">
        <f t="shared" si="2"/>
        <v>716.7</v>
      </c>
      <c r="J26" s="932"/>
      <c r="K26" s="1515">
        <f t="shared" si="0"/>
        <v>292.69999999999982</v>
      </c>
      <c r="L26" s="943"/>
      <c r="M26" s="1111">
        <v>14</v>
      </c>
      <c r="N26" s="884"/>
      <c r="O26" s="1111">
        <v>13</v>
      </c>
      <c r="P26" s="634"/>
      <c r="Q26" s="671">
        <f>+'Exhibit I Federal'!I73</f>
        <v>0</v>
      </c>
      <c r="R26" s="634"/>
      <c r="S26" s="634">
        <f t="shared" si="3"/>
        <v>-14</v>
      </c>
      <c r="T26" s="933"/>
      <c r="U26" s="1515">
        <f t="shared" si="1"/>
        <v>-13</v>
      </c>
      <c r="V26" s="932"/>
      <c r="W26" s="963"/>
      <c r="X26" s="932"/>
      <c r="Y26" s="963"/>
      <c r="Z26" s="932"/>
      <c r="AA26" s="932"/>
    </row>
    <row r="27" spans="1:48" ht="18" customHeight="1">
      <c r="A27" s="170" t="s">
        <v>107</v>
      </c>
      <c r="B27" s="148" t="s">
        <v>14</v>
      </c>
      <c r="C27" s="1859">
        <f>ROUND(SUM(C20:C26),1)</f>
        <v>4546</v>
      </c>
      <c r="D27" s="911"/>
      <c r="E27" s="1859">
        <f>ROUND(SUM(E20:E26),1)</f>
        <v>5016</v>
      </c>
      <c r="F27" s="911"/>
      <c r="G27" s="212">
        <f>ROUND(SUM(G20:G26),1)</f>
        <v>4933.5</v>
      </c>
      <c r="H27" s="911"/>
      <c r="I27" s="212">
        <f>ROUND(SUM(I20:I26),1)</f>
        <v>387.5</v>
      </c>
      <c r="J27" s="73"/>
      <c r="K27" s="212">
        <f>ROUND(SUM(K20:K26),1)</f>
        <v>-82.5</v>
      </c>
      <c r="L27" s="945"/>
      <c r="M27" s="1859">
        <f>ROUND(SUM(M20:M26),1)</f>
        <v>1037</v>
      </c>
      <c r="N27" s="911"/>
      <c r="O27" s="1859">
        <f>ROUND(SUM(O20:O26),1)</f>
        <v>714</v>
      </c>
      <c r="P27" s="911"/>
      <c r="Q27" s="212">
        <f>ROUND(SUM(Q20:Q26),1)</f>
        <v>572.1</v>
      </c>
      <c r="R27" s="911"/>
      <c r="S27" s="212">
        <f>ROUND(SUM(S20:S26),1)</f>
        <v>-464.9</v>
      </c>
      <c r="T27" s="73"/>
      <c r="U27" s="212">
        <f>ROUND(SUM(U20:U26),1)</f>
        <v>-141.9</v>
      </c>
      <c r="V27" s="73"/>
      <c r="W27" s="73"/>
      <c r="X27" s="73"/>
      <c r="Y27" s="73"/>
      <c r="Z27" s="73"/>
      <c r="AA27" s="73"/>
    </row>
    <row r="28" spans="1:48">
      <c r="A28" s="679"/>
      <c r="B28" s="913" t="s">
        <v>14</v>
      </c>
      <c r="C28" s="1860"/>
      <c r="D28" s="1515"/>
      <c r="E28" s="1860"/>
      <c r="F28" s="634"/>
      <c r="G28" s="677"/>
      <c r="H28" s="634"/>
      <c r="I28" s="677"/>
      <c r="J28" s="932"/>
      <c r="K28" s="677"/>
      <c r="L28" s="943"/>
      <c r="M28" s="1860"/>
      <c r="N28" s="1515"/>
      <c r="O28" s="1860"/>
      <c r="P28" s="634"/>
      <c r="Q28" s="677"/>
      <c r="R28" s="634"/>
      <c r="S28" s="677" t="s">
        <v>14</v>
      </c>
      <c r="T28" s="932"/>
      <c r="U28" s="677"/>
      <c r="V28" s="932"/>
      <c r="W28" s="932"/>
      <c r="X28" s="932"/>
      <c r="Y28" s="932"/>
      <c r="Z28" s="932"/>
      <c r="AA28" s="932"/>
    </row>
    <row r="29" spans="1:48">
      <c r="A29" s="26" t="s">
        <v>22</v>
      </c>
      <c r="B29" s="913" t="s">
        <v>14</v>
      </c>
      <c r="C29" s="884"/>
      <c r="D29" s="1515"/>
      <c r="E29" s="884"/>
      <c r="F29" s="634"/>
      <c r="G29" s="634" t="s">
        <v>14</v>
      </c>
      <c r="H29" s="634"/>
      <c r="I29" s="634"/>
      <c r="J29" s="932"/>
      <c r="K29" s="1515"/>
      <c r="L29" s="943"/>
      <c r="M29" s="884"/>
      <c r="N29" s="1515"/>
      <c r="O29" s="884"/>
      <c r="P29" s="634"/>
      <c r="Q29" s="634"/>
      <c r="R29" s="634"/>
      <c r="S29" s="634"/>
      <c r="T29" s="932"/>
      <c r="U29" s="1515"/>
      <c r="V29" s="932"/>
      <c r="W29" s="932"/>
      <c r="X29" s="932"/>
      <c r="Y29" s="932"/>
      <c r="Z29" s="932"/>
      <c r="AA29" s="932"/>
    </row>
    <row r="30" spans="1:48">
      <c r="A30" s="809" t="s">
        <v>92</v>
      </c>
      <c r="B30" s="913" t="s">
        <v>14</v>
      </c>
      <c r="C30" s="1111">
        <v>2039</v>
      </c>
      <c r="D30" s="1515"/>
      <c r="E30" s="1111">
        <v>2387</v>
      </c>
      <c r="F30" s="634"/>
      <c r="G30" s="650">
        <f>+'Exhibit I State'!AD78</f>
        <v>2539.6</v>
      </c>
      <c r="H30" s="634"/>
      <c r="I30" s="634">
        <f>ROUND(SUM(G30)-SUM(C30),1)</f>
        <v>500.6</v>
      </c>
      <c r="J30" s="932"/>
      <c r="K30" s="1515">
        <f>+G30-E30</f>
        <v>152.59999999999991</v>
      </c>
      <c r="L30" s="943"/>
      <c r="M30" s="1111">
        <v>287</v>
      </c>
      <c r="N30" s="1515"/>
      <c r="O30" s="1111">
        <v>222</v>
      </c>
      <c r="P30" s="634"/>
      <c r="Q30" s="634">
        <f>+'Exhibit I Federal'!AD60</f>
        <v>234.8</v>
      </c>
      <c r="R30" s="634"/>
      <c r="S30" s="634">
        <f>ROUND(SUM(Q30)-SUM(M30),1)</f>
        <v>-52.2</v>
      </c>
      <c r="T30" s="932"/>
      <c r="U30" s="1515">
        <f>Q30-O30</f>
        <v>12.800000000000011</v>
      </c>
      <c r="V30" s="932"/>
      <c r="W30" s="963"/>
      <c r="X30" s="932"/>
      <c r="Y30" s="963"/>
      <c r="Z30" s="932"/>
      <c r="AA30" s="932"/>
    </row>
    <row r="31" spans="1:48">
      <c r="A31" s="809" t="s">
        <v>41</v>
      </c>
      <c r="B31" s="913" t="s">
        <v>14</v>
      </c>
      <c r="C31" s="1111">
        <v>3396</v>
      </c>
      <c r="D31" s="1515"/>
      <c r="E31" s="1111">
        <v>3034</v>
      </c>
      <c r="F31" s="634"/>
      <c r="G31" s="650">
        <f>+'Exhibit I State'!AD83</f>
        <v>2745.7</v>
      </c>
      <c r="H31" s="634"/>
      <c r="I31" s="634">
        <f>ROUND(SUM(G31)-SUM(C31),1)</f>
        <v>-650.29999999999995</v>
      </c>
      <c r="J31" s="932"/>
      <c r="K31" s="1515">
        <f>+G31-E31</f>
        <v>-288.30000000000018</v>
      </c>
      <c r="L31" s="944"/>
      <c r="M31" s="1111">
        <v>752</v>
      </c>
      <c r="N31" s="1515"/>
      <c r="O31" s="1111">
        <v>762</v>
      </c>
      <c r="P31" s="634"/>
      <c r="Q31" s="634">
        <f>+'Exhibit I Federal'!AD65</f>
        <v>761.9</v>
      </c>
      <c r="R31" s="634"/>
      <c r="S31" s="634">
        <f>ROUND(SUM(Q31)-SUM(M31),1)</f>
        <v>9.9</v>
      </c>
      <c r="T31" s="932"/>
      <c r="U31" s="1515">
        <f>Q31-O31</f>
        <v>-0.10000000000002274</v>
      </c>
      <c r="V31" s="932"/>
      <c r="W31" s="963"/>
      <c r="X31" s="932"/>
      <c r="Y31" s="963"/>
      <c r="Z31" s="932"/>
      <c r="AA31" s="932"/>
    </row>
    <row r="32" spans="1:48">
      <c r="A32" s="809" t="s">
        <v>97</v>
      </c>
      <c r="B32" s="913" t="s">
        <v>14</v>
      </c>
      <c r="C32" s="1111">
        <v>278</v>
      </c>
      <c r="D32" s="1515"/>
      <c r="E32" s="1111">
        <v>270</v>
      </c>
      <c r="F32" s="634"/>
      <c r="G32" s="671">
        <f>-'Exhibit I State'!AD93</f>
        <v>269</v>
      </c>
      <c r="H32" s="634"/>
      <c r="I32" s="634">
        <f>ROUND(SUM(G32)-SUM(C32),1)</f>
        <v>-9</v>
      </c>
      <c r="J32" s="932"/>
      <c r="K32" s="1515">
        <f>+G32-E32</f>
        <v>-1</v>
      </c>
      <c r="L32" s="943"/>
      <c r="M32" s="1111">
        <v>-1</v>
      </c>
      <c r="N32" s="1515"/>
      <c r="O32" s="1111">
        <v>0</v>
      </c>
      <c r="P32" s="634"/>
      <c r="Q32" s="671">
        <f>-'Exhibit I Federal'!AD74</f>
        <v>0.3</v>
      </c>
      <c r="R32" s="634"/>
      <c r="S32" s="634">
        <f>ROUND(SUM(Q32)-SUM(M32),1)</f>
        <v>1.3</v>
      </c>
      <c r="T32" s="933"/>
      <c r="U32" s="1515">
        <f>Q32-O32</f>
        <v>0.3</v>
      </c>
      <c r="V32" s="932"/>
      <c r="W32" s="963"/>
      <c r="X32" s="932"/>
      <c r="Y32" s="963"/>
      <c r="Z32" s="932"/>
      <c r="AA32" s="932"/>
    </row>
    <row r="33" spans="1:48" ht="18" customHeight="1">
      <c r="A33" s="170" t="s">
        <v>116</v>
      </c>
      <c r="B33" s="148" t="s">
        <v>14</v>
      </c>
      <c r="C33" s="1859">
        <f>ROUND(SUM(C30:C32),1)</f>
        <v>5713</v>
      </c>
      <c r="D33" s="911"/>
      <c r="E33" s="1859">
        <f>ROUND(SUM(E30:E32),1)</f>
        <v>5691</v>
      </c>
      <c r="F33" s="911"/>
      <c r="G33" s="212">
        <f>ROUND(SUM(G30:G32),1)</f>
        <v>5554.3</v>
      </c>
      <c r="H33" s="911"/>
      <c r="I33" s="212">
        <f>ROUND(SUM(I30:I32),1)</f>
        <v>-158.69999999999999</v>
      </c>
      <c r="J33" s="73"/>
      <c r="K33" s="212">
        <f>ROUND(SUM(K30:K32),1)</f>
        <v>-136.69999999999999</v>
      </c>
      <c r="L33" s="945"/>
      <c r="M33" s="1858">
        <f>ROUND(SUM(M30:M32),1)</f>
        <v>1038</v>
      </c>
      <c r="N33" s="911"/>
      <c r="O33" s="1858">
        <f>ROUND(SUM(O30:O32),1)</f>
        <v>984</v>
      </c>
      <c r="P33" s="911"/>
      <c r="Q33" s="212">
        <f>ROUND(SUM(Q30:Q32),1)</f>
        <v>997</v>
      </c>
      <c r="R33" s="911"/>
      <c r="S33" s="212">
        <f>ROUND(SUM(S30:S32),1)</f>
        <v>-41</v>
      </c>
      <c r="T33" s="73"/>
      <c r="U33" s="212">
        <f>ROUND(SUM(U30:U32),1)</f>
        <v>13</v>
      </c>
      <c r="V33" s="73"/>
      <c r="W33" s="73"/>
      <c r="X33" s="73"/>
      <c r="Y33" s="73"/>
      <c r="Z33" s="73"/>
      <c r="AA33" s="73"/>
    </row>
    <row r="34" spans="1:48">
      <c r="A34" s="679"/>
      <c r="B34" s="913" t="s">
        <v>14</v>
      </c>
      <c r="C34" s="1860"/>
      <c r="D34" s="1515"/>
      <c r="E34" s="1860"/>
      <c r="F34" s="634"/>
      <c r="G34" s="677"/>
      <c r="H34" s="634"/>
      <c r="I34" s="677"/>
      <c r="J34" s="932"/>
      <c r="K34" s="677"/>
      <c r="L34" s="943"/>
      <c r="M34" s="1856"/>
      <c r="N34" s="1515"/>
      <c r="O34" s="1856"/>
      <c r="P34" s="634"/>
      <c r="Q34" s="677"/>
      <c r="R34" s="634"/>
      <c r="S34" s="677"/>
      <c r="T34" s="932"/>
      <c r="U34" s="677"/>
      <c r="V34" s="932"/>
      <c r="W34" s="932"/>
      <c r="X34" s="932"/>
      <c r="Y34" s="932"/>
      <c r="Z34" s="932"/>
      <c r="AA34" s="932"/>
    </row>
    <row r="35" spans="1:48">
      <c r="A35" s="26" t="s">
        <v>99</v>
      </c>
      <c r="B35" s="913"/>
      <c r="C35" s="884"/>
      <c r="D35" s="1515"/>
      <c r="E35" s="884"/>
      <c r="F35" s="634"/>
      <c r="G35" s="634"/>
      <c r="H35" s="634"/>
      <c r="I35" s="634"/>
      <c r="J35" s="932"/>
      <c r="K35" s="1515"/>
      <c r="L35" s="943"/>
      <c r="M35" s="1515"/>
      <c r="N35" s="1515"/>
      <c r="O35" s="1515"/>
      <c r="P35" s="634"/>
      <c r="Q35" s="634"/>
      <c r="R35" s="634"/>
      <c r="S35" s="634"/>
      <c r="T35" s="932"/>
      <c r="U35" s="1515"/>
      <c r="V35" s="932"/>
      <c r="W35" s="932"/>
      <c r="X35" s="932"/>
      <c r="Y35" s="932"/>
      <c r="Z35" s="932"/>
      <c r="AA35" s="932"/>
    </row>
    <row r="36" spans="1:48">
      <c r="A36" s="26" t="s">
        <v>100</v>
      </c>
      <c r="B36" s="913"/>
      <c r="C36" s="884"/>
      <c r="D36" s="1515"/>
      <c r="E36" s="884"/>
      <c r="F36" s="634"/>
      <c r="G36" s="634"/>
      <c r="H36" s="634"/>
      <c r="I36" s="634"/>
      <c r="J36" s="932"/>
      <c r="K36" s="1515"/>
      <c r="L36" s="943"/>
      <c r="M36" s="1515"/>
      <c r="N36" s="1515"/>
      <c r="O36" s="1515"/>
      <c r="P36" s="634"/>
      <c r="Q36" s="634"/>
      <c r="R36" s="634"/>
      <c r="S36" s="634"/>
      <c r="T36" s="932"/>
      <c r="U36" s="1515"/>
      <c r="V36" s="932"/>
      <c r="W36" s="932"/>
      <c r="X36" s="932"/>
      <c r="Y36" s="932"/>
      <c r="Z36" s="932"/>
      <c r="AA36" s="932"/>
    </row>
    <row r="37" spans="1:48">
      <c r="A37" s="170" t="s">
        <v>101</v>
      </c>
      <c r="B37" s="171" t="s">
        <v>14</v>
      </c>
      <c r="C37" s="112">
        <f>ROUND(SUM(C27)-SUM(C33),1)</f>
        <v>-1167</v>
      </c>
      <c r="D37" s="81"/>
      <c r="E37" s="112">
        <f>ROUND(SUM(E27)-SUM(E33),1)</f>
        <v>-675</v>
      </c>
      <c r="F37" s="81"/>
      <c r="G37" s="73">
        <f>ROUND(SUM(G27)-SUM(G33),1)</f>
        <v>-620.79999999999995</v>
      </c>
      <c r="H37" s="81"/>
      <c r="I37" s="73">
        <f>ROUND(SUM(I27)-SUM(I33),1)</f>
        <v>546.20000000000005</v>
      </c>
      <c r="J37" s="73"/>
      <c r="K37" s="1516">
        <f>+G37-E37</f>
        <v>54.200000000000045</v>
      </c>
      <c r="L37" s="945"/>
      <c r="M37" s="1516">
        <f>ROUND(SUM(M27)-SUM(M33),1)</f>
        <v>-1</v>
      </c>
      <c r="N37" s="81"/>
      <c r="O37" s="1516">
        <f>ROUND(SUM(O27)-SUM(O33),1)</f>
        <v>-270</v>
      </c>
      <c r="P37" s="81"/>
      <c r="Q37" s="73">
        <f>ROUND(SUM(Q27)-SUM(Q33),1)</f>
        <v>-424.9</v>
      </c>
      <c r="R37" s="81"/>
      <c r="S37" s="73">
        <f>ROUND(SUM(S27)-SUM(S33),1)</f>
        <v>-423.9</v>
      </c>
      <c r="T37" s="1516"/>
      <c r="U37" s="1516">
        <f>ROUND(SUM(U27)-SUM(U33),1)</f>
        <v>-154.9</v>
      </c>
      <c r="V37" s="389"/>
      <c r="W37" s="73"/>
      <c r="X37" s="389"/>
      <c r="Y37" s="73"/>
      <c r="Z37" s="389"/>
      <c r="AA37" s="73"/>
      <c r="AB37" s="613"/>
    </row>
    <row r="38" spans="1:48">
      <c r="B38" s="613"/>
      <c r="C38" s="1471"/>
      <c r="D38" s="921"/>
      <c r="E38" s="1471"/>
      <c r="F38" s="921"/>
      <c r="G38" s="660"/>
      <c r="H38" s="921"/>
      <c r="I38" s="660"/>
      <c r="J38" s="660"/>
      <c r="K38" s="343"/>
      <c r="L38" s="945"/>
      <c r="M38" s="660"/>
      <c r="N38" s="921"/>
      <c r="O38" s="660"/>
      <c r="P38" s="921"/>
      <c r="Q38" s="660"/>
      <c r="R38" s="921"/>
      <c r="S38" s="660"/>
      <c r="T38" s="660"/>
      <c r="U38" s="660"/>
      <c r="V38" s="660"/>
      <c r="W38" s="660"/>
      <c r="X38" s="660"/>
      <c r="Y38" s="660"/>
      <c r="Z38" s="660"/>
      <c r="AA38" s="660"/>
    </row>
    <row r="39" spans="1:48">
      <c r="A39" s="170" t="s">
        <v>102</v>
      </c>
      <c r="B39" s="923" t="s">
        <v>14</v>
      </c>
      <c r="C39" s="112">
        <v>-562</v>
      </c>
      <c r="D39" s="1635"/>
      <c r="E39" s="112">
        <v>-562</v>
      </c>
      <c r="F39" s="921"/>
      <c r="G39" s="112">
        <f>'Exhibit I State'!E14</f>
        <v>-563.70000000000005</v>
      </c>
      <c r="H39" s="921"/>
      <c r="I39" s="971">
        <f>ROUND(SUM(G39)-SUM(C39),1)</f>
        <v>-1.7</v>
      </c>
      <c r="J39" s="78"/>
      <c r="K39" s="1516">
        <f>+G39-E39</f>
        <v>-1.7000000000000455</v>
      </c>
      <c r="L39" s="945"/>
      <c r="M39" s="112">
        <v>-582</v>
      </c>
      <c r="N39" s="1635"/>
      <c r="O39" s="112">
        <v>-582</v>
      </c>
      <c r="P39" s="921"/>
      <c r="Q39" s="112">
        <f>'Exhibit I Federal'!E14</f>
        <v>-580.29999999999995</v>
      </c>
      <c r="R39" s="921"/>
      <c r="S39" s="971">
        <f>ROUND(SUM(Q39)-SUM(M39),1)</f>
        <v>1.7</v>
      </c>
      <c r="T39" s="660"/>
      <c r="U39" s="1516">
        <f>+Q39-O39</f>
        <v>1.7000000000000455</v>
      </c>
      <c r="V39" s="660"/>
      <c r="W39" s="73"/>
      <c r="X39" s="660"/>
      <c r="Y39" s="73"/>
      <c r="Z39" s="660"/>
      <c r="AA39" s="78"/>
      <c r="AB39" s="613"/>
      <c r="AC39" s="613"/>
      <c r="AD39" s="613"/>
      <c r="AE39" s="613"/>
      <c r="AF39" s="613"/>
      <c r="AG39" s="613"/>
      <c r="AH39" s="613"/>
      <c r="AI39" s="613"/>
      <c r="AJ39" s="613"/>
      <c r="AK39" s="613"/>
      <c r="AL39" s="613"/>
      <c r="AM39" s="613"/>
      <c r="AN39" s="613"/>
      <c r="AO39" s="613"/>
      <c r="AP39" s="613"/>
      <c r="AQ39" s="613"/>
      <c r="AR39" s="613"/>
      <c r="AS39" s="613"/>
      <c r="AT39" s="613"/>
      <c r="AU39" s="613"/>
      <c r="AV39" s="924"/>
    </row>
    <row r="40" spans="1:48" ht="16" thickBot="1">
      <c r="A40" s="1368" t="str">
        <f>+'Exh D-Governmental  '!A50</f>
        <v>Fund Balances (Deficits) at September 30, 2021</v>
      </c>
      <c r="B40" s="177" t="s">
        <v>14</v>
      </c>
      <c r="C40" s="95">
        <f>ROUND(SUM(C37:C39),1)</f>
        <v>-1729</v>
      </c>
      <c r="D40" s="178"/>
      <c r="E40" s="95">
        <f>ROUND(SUM(E37:E39),1)</f>
        <v>-1237</v>
      </c>
      <c r="F40" s="178"/>
      <c r="G40" s="1472">
        <f>ROUND(SUM(G37:G39),1)</f>
        <v>-1184.5</v>
      </c>
      <c r="H40" s="178"/>
      <c r="I40" s="95">
        <f>ROUND(SUM(I37:I39),1)</f>
        <v>544.5</v>
      </c>
      <c r="J40" s="216"/>
      <c r="K40" s="95">
        <f>ROUND(SUM(K37:K39),1)</f>
        <v>52.5</v>
      </c>
      <c r="L40" s="946"/>
      <c r="M40" s="95">
        <f>ROUND(SUM(M37:M39),1)</f>
        <v>-583</v>
      </c>
      <c r="N40" s="178"/>
      <c r="O40" s="95">
        <f>ROUND(SUM(O37:O39),1)</f>
        <v>-852</v>
      </c>
      <c r="P40" s="178"/>
      <c r="Q40" s="95">
        <f>ROUND(SUM(Q37:Q39),1)</f>
        <v>-1005.2</v>
      </c>
      <c r="R40" s="178"/>
      <c r="S40" s="95">
        <f>ROUND(SUM(S37:S39),1)</f>
        <v>-422.2</v>
      </c>
      <c r="T40" s="178"/>
      <c r="U40" s="95">
        <f>ROUND(SUM(U37:U39),1)</f>
        <v>-153.19999999999999</v>
      </c>
      <c r="V40" s="964"/>
      <c r="W40" s="216"/>
      <c r="X40" s="964"/>
      <c r="Y40" s="216"/>
      <c r="Z40" s="964"/>
      <c r="AA40" s="216"/>
      <c r="AB40" s="613"/>
      <c r="AC40" s="613"/>
      <c r="AD40" s="613"/>
      <c r="AE40" s="613"/>
      <c r="AF40" s="613"/>
      <c r="AG40" s="613"/>
      <c r="AH40" s="613"/>
      <c r="AI40" s="613"/>
      <c r="AJ40" s="613"/>
      <c r="AK40" s="613"/>
      <c r="AL40" s="613"/>
      <c r="AM40" s="613"/>
      <c r="AN40" s="613"/>
      <c r="AO40" s="613"/>
      <c r="AP40" s="613"/>
      <c r="AQ40" s="613"/>
      <c r="AR40" s="613"/>
      <c r="AS40" s="613"/>
      <c r="AT40" s="613"/>
      <c r="AU40" s="613"/>
      <c r="AV40" s="924"/>
    </row>
    <row r="41" spans="1:48" ht="16" thickTop="1">
      <c r="B41" s="613"/>
      <c r="L41" s="613"/>
      <c r="N41" s="924"/>
      <c r="P41" s="924"/>
      <c r="Q41" s="947"/>
      <c r="R41" s="924"/>
      <c r="S41" s="924"/>
      <c r="U41" s="924"/>
      <c r="W41" s="613"/>
      <c r="Y41" s="922"/>
    </row>
    <row r="42" spans="1:48">
      <c r="A42" s="925" t="str">
        <f>'Exh D-Governmental  '!A52</f>
        <v>(*)    Source: 2021-22 Enacted Financial Plan dated May 25, 2021.</v>
      </c>
      <c r="B42" s="613"/>
      <c r="S42" s="1400"/>
    </row>
    <row r="43" spans="1:48" s="982" customFormat="1">
      <c r="A43" s="925" t="str">
        <f>'Exh D-Governmental  '!A53</f>
        <v>(**)   Source: 2021-22 First Quarter Update dated September 15, 2021.</v>
      </c>
      <c r="B43" s="1925"/>
      <c r="C43" s="423"/>
      <c r="D43" s="940"/>
      <c r="E43" s="423"/>
      <c r="F43" s="940"/>
      <c r="G43" s="940"/>
      <c r="H43" s="940"/>
      <c r="I43" s="940"/>
      <c r="J43" s="940"/>
      <c r="K43" s="1925"/>
      <c r="L43" s="423"/>
      <c r="M43" s="1925"/>
      <c r="N43" s="1925"/>
      <c r="O43" s="1925"/>
      <c r="P43" s="1925"/>
      <c r="Q43" s="1925"/>
      <c r="R43" s="1925"/>
      <c r="S43" s="1925"/>
      <c r="T43" s="1925"/>
      <c r="U43" s="1925"/>
      <c r="V43" s="1925"/>
      <c r="W43" s="1925"/>
      <c r="X43" s="1925"/>
      <c r="Y43" s="1925"/>
      <c r="Z43" s="1925"/>
      <c r="AA43" s="1925"/>
      <c r="AB43" s="1925"/>
      <c r="AC43" s="1925"/>
      <c r="AD43" s="1925"/>
      <c r="AE43" s="1925"/>
      <c r="AF43" s="1925"/>
      <c r="AG43" s="1925"/>
      <c r="AH43" s="1925"/>
      <c r="AI43" s="1925"/>
      <c r="AJ43" s="1925"/>
      <c r="AK43" s="940"/>
    </row>
    <row r="44" spans="1:48">
      <c r="A44" s="1484"/>
      <c r="B44" s="613"/>
      <c r="Y44" s="936"/>
      <c r="Z44" s="913"/>
      <c r="AA44" s="936"/>
      <c r="AB44" s="648"/>
      <c r="AC44" s="948"/>
    </row>
    <row r="45" spans="1:48">
      <c r="A45" s="1484"/>
      <c r="B45" s="613"/>
    </row>
    <row r="46" spans="1:48">
      <c r="A46" s="1040"/>
      <c r="B46" s="613"/>
    </row>
    <row r="47" spans="1:48">
      <c r="A47" s="180"/>
      <c r="B47" s="613"/>
    </row>
    <row r="48" spans="1:48">
      <c r="B48" s="613"/>
    </row>
    <row r="49" spans="2:7">
      <c r="B49" s="613"/>
    </row>
    <row r="52" spans="2:7">
      <c r="G52" s="947"/>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ntry="1" codeName="Sheet42">
    <pageSetUpPr fitToPage="1"/>
  </sheetPr>
  <dimension ref="A1:AL63"/>
  <sheetViews>
    <sheetView showGridLines="0" zoomScale="80" zoomScaleNormal="80" workbookViewId="0"/>
  </sheetViews>
  <sheetFormatPr defaultColWidth="9.84375" defaultRowHeight="12.5"/>
  <cols>
    <col min="1" max="1" width="32.07421875" style="2781" customWidth="1"/>
    <col min="2" max="2" width="10.84375" style="2781" customWidth="1"/>
    <col min="3" max="3" width="3.4609375" style="2781" customWidth="1"/>
    <col min="4" max="4" width="12.07421875" style="2781" customWidth="1"/>
    <col min="5" max="5" width="1.84375" style="2781" customWidth="1"/>
    <col min="6" max="6" width="17" style="2781" bestFit="1" customWidth="1"/>
    <col min="7" max="7" width="1.84375" style="2781" customWidth="1"/>
    <col min="8" max="8" width="12.07421875" style="2781" customWidth="1"/>
    <col min="9" max="9" width="1.84375" style="2781" customWidth="1"/>
    <col min="10" max="10" width="12.07421875" style="2781" customWidth="1"/>
    <col min="11" max="11" width="1.84375" style="2781" customWidth="1"/>
    <col min="12" max="12" width="12.07421875" style="2781" customWidth="1"/>
    <col min="13" max="13" width="1.84375" style="2781" customWidth="1"/>
    <col min="14" max="14" width="13" style="2781" customWidth="1"/>
    <col min="15" max="15" width="1.84375" style="2781" customWidth="1"/>
    <col min="16" max="16" width="12.07421875" style="2781" customWidth="1"/>
    <col min="17" max="17" width="1.84375" style="2781" customWidth="1"/>
    <col min="18" max="18" width="12.07421875" style="2781" customWidth="1"/>
    <col min="19" max="19" width="1.84375" style="2781" customWidth="1"/>
    <col min="20" max="20" width="1" style="2781" customWidth="1"/>
    <col min="21" max="21" width="1.84375" style="2781" customWidth="1"/>
    <col min="22" max="22" width="15.53515625" style="2781" customWidth="1"/>
    <col min="23" max="23" width="1.84375" style="2781" customWidth="1"/>
    <col min="24" max="24" width="17" style="2781" bestFit="1" customWidth="1"/>
    <col min="25" max="25" width="1.84375" style="2781" customWidth="1"/>
    <col min="26" max="26" width="1" style="2781" customWidth="1"/>
    <col min="27" max="27" width="1.84375" style="2781" customWidth="1"/>
    <col min="28" max="28" width="17.07421875" style="2807" customWidth="1"/>
    <col min="29" max="29" width="3.84375" style="2807" customWidth="1"/>
    <col min="30" max="30" width="16.07421875" style="2807" customWidth="1"/>
    <col min="31" max="31" width="1.53515625" style="2807" customWidth="1"/>
    <col min="32" max="32" width="0.4609375" style="2807" customWidth="1"/>
    <col min="33" max="33" width="1.53515625" style="2807" customWidth="1"/>
    <col min="34" max="34" width="14.53515625" style="2807" bestFit="1" customWidth="1"/>
    <col min="35" max="35" width="1.84375" style="2781" customWidth="1"/>
    <col min="36" max="36" width="13.07421875" style="2781" customWidth="1"/>
    <col min="37" max="37" width="2.07421875" style="2781" customWidth="1"/>
    <col min="38" max="38" width="1.84375" style="2781" customWidth="1"/>
    <col min="39" max="16384" width="9.84375" style="2781"/>
  </cols>
  <sheetData>
    <row r="1" spans="1:38" s="2773" customFormat="1" ht="15.5">
      <c r="A1" s="2215" t="s">
        <v>882</v>
      </c>
      <c r="AB1" s="3080"/>
      <c r="AC1" s="3080"/>
      <c r="AD1" s="3080"/>
      <c r="AE1" s="3080"/>
      <c r="AF1" s="3080"/>
      <c r="AG1" s="3080"/>
      <c r="AH1" s="3080"/>
    </row>
    <row r="2" spans="1:38" s="2776" customFormat="1">
      <c r="A2" s="2774"/>
      <c r="B2" s="2775"/>
      <c r="C2" s="2775"/>
      <c r="D2" s="2773"/>
      <c r="E2" s="2775"/>
      <c r="F2" s="2775"/>
      <c r="G2" s="2775"/>
      <c r="H2" s="2775"/>
      <c r="I2" s="2775"/>
      <c r="J2" s="2775"/>
      <c r="K2" s="2775"/>
      <c r="L2" s="2775"/>
      <c r="M2" s="2775"/>
      <c r="N2" s="2775"/>
      <c r="O2" s="2775"/>
      <c r="P2" s="2775"/>
      <c r="Q2" s="2775"/>
      <c r="R2" s="2775"/>
      <c r="S2" s="2775"/>
      <c r="T2" s="2775"/>
      <c r="U2" s="2775"/>
      <c r="V2" s="2775"/>
      <c r="W2" s="2775"/>
      <c r="X2" s="2775"/>
      <c r="Y2" s="2775"/>
      <c r="Z2" s="2775"/>
      <c r="AA2" s="2775"/>
      <c r="AB2" s="3081"/>
      <c r="AC2" s="3081"/>
      <c r="AD2" s="3081"/>
      <c r="AE2" s="3081"/>
      <c r="AF2" s="3081"/>
      <c r="AG2" s="3081"/>
      <c r="AH2" s="3081"/>
    </row>
    <row r="3" spans="1:38" ht="18">
      <c r="A3" s="2777" t="s">
        <v>0</v>
      </c>
      <c r="B3" s="2778"/>
      <c r="C3" s="2778"/>
      <c r="D3" s="2773"/>
      <c r="E3" s="2778"/>
      <c r="F3" s="2778"/>
      <c r="G3" s="2778"/>
      <c r="H3" s="2778"/>
      <c r="I3" s="2778"/>
      <c r="J3" s="2778"/>
      <c r="K3" s="2778"/>
      <c r="L3" s="2779"/>
      <c r="M3" s="2779"/>
      <c r="N3" s="2779"/>
      <c r="O3" s="2779"/>
      <c r="P3" s="2778"/>
      <c r="Q3" s="2778"/>
      <c r="R3" s="2778"/>
      <c r="S3" s="2779"/>
      <c r="T3" s="2778"/>
      <c r="U3" s="2779"/>
      <c r="V3" s="2779"/>
      <c r="W3" s="2779"/>
      <c r="X3" s="2779"/>
      <c r="Y3" s="2779"/>
      <c r="Z3" s="2779"/>
      <c r="AA3" s="2779"/>
      <c r="AB3" s="3082"/>
      <c r="AC3" s="3082"/>
      <c r="AD3" s="3082"/>
      <c r="AE3" s="3082"/>
      <c r="AF3" s="3333"/>
      <c r="AG3" s="3333"/>
      <c r="AH3" s="2806"/>
      <c r="AI3" s="2780"/>
    </row>
    <row r="4" spans="1:38" ht="18">
      <c r="A4" s="2782" t="s">
        <v>1</v>
      </c>
      <c r="B4" s="2778"/>
      <c r="C4" s="2778"/>
      <c r="D4" s="2773"/>
      <c r="E4" s="2778"/>
      <c r="F4" s="2778"/>
      <c r="G4" s="2778"/>
      <c r="H4" s="2778"/>
      <c r="I4" s="2778"/>
      <c r="J4" s="2778"/>
      <c r="K4" s="2778"/>
      <c r="L4" s="2779"/>
      <c r="M4" s="2779"/>
      <c r="N4" s="2779"/>
      <c r="O4" s="2779"/>
      <c r="P4" s="2778"/>
      <c r="Q4" s="2778"/>
      <c r="R4" s="2778"/>
      <c r="S4" s="2779"/>
      <c r="T4" s="2778"/>
      <c r="U4" s="2779"/>
      <c r="V4" s="2779"/>
      <c r="W4" s="2779"/>
      <c r="X4" s="2779"/>
      <c r="Y4" s="2779"/>
      <c r="Z4" s="2779"/>
      <c r="AA4" s="2779"/>
      <c r="AB4" s="3082"/>
      <c r="AC4" s="3082"/>
      <c r="AD4" s="3082"/>
      <c r="AE4" s="3082"/>
      <c r="AF4" s="3333"/>
      <c r="AG4" s="3333"/>
      <c r="AH4" s="2806"/>
      <c r="AI4" s="2780"/>
    </row>
    <row r="5" spans="1:38" ht="18">
      <c r="A5" s="2777" t="s">
        <v>1587</v>
      </c>
      <c r="B5" s="2778"/>
      <c r="C5" s="2778"/>
      <c r="D5" s="2773"/>
      <c r="E5" s="2778"/>
      <c r="F5" s="2778"/>
      <c r="G5" s="2778"/>
      <c r="H5" s="2779"/>
      <c r="I5" s="2779"/>
      <c r="J5" s="2779"/>
      <c r="K5" s="2778"/>
      <c r="L5" s="2779"/>
      <c r="M5" s="2779"/>
      <c r="N5" s="2779"/>
      <c r="O5" s="2779"/>
      <c r="P5" s="2778"/>
      <c r="Q5" s="2778"/>
      <c r="R5" s="2778"/>
      <c r="S5" s="2779"/>
      <c r="T5" s="2778"/>
      <c r="U5" s="2779"/>
      <c r="V5" s="2779"/>
      <c r="W5" s="2779"/>
      <c r="X5" s="2779"/>
      <c r="Y5" s="2779"/>
      <c r="Z5" s="2779"/>
      <c r="AA5" s="2779"/>
      <c r="AB5" s="3082"/>
      <c r="AC5" s="3082"/>
      <c r="AD5" s="3082"/>
      <c r="AE5" s="3082"/>
      <c r="AF5" s="3333"/>
      <c r="AG5" s="3333"/>
      <c r="AH5" s="2806"/>
      <c r="AI5" s="2780"/>
    </row>
    <row r="6" spans="1:38" ht="18">
      <c r="A6" s="2777" t="s">
        <v>1277</v>
      </c>
      <c r="B6" s="2778"/>
      <c r="C6" s="2778"/>
      <c r="D6" s="2773"/>
      <c r="E6" s="2778"/>
      <c r="F6" s="2778"/>
      <c r="G6" s="2778"/>
      <c r="H6" s="2778"/>
      <c r="I6" s="2778"/>
      <c r="J6" s="2778"/>
      <c r="K6" s="2778"/>
      <c r="L6" s="2779"/>
      <c r="M6" s="2779"/>
      <c r="N6" s="2779"/>
      <c r="O6" s="2779"/>
      <c r="P6" s="2778"/>
      <c r="Q6" s="2778"/>
      <c r="R6" s="2778"/>
      <c r="S6" s="2779"/>
      <c r="T6" s="2778"/>
      <c r="U6" s="2779"/>
      <c r="V6" s="2779"/>
      <c r="W6" s="2779"/>
      <c r="X6" s="2779"/>
      <c r="Y6" s="2779"/>
      <c r="Z6" s="2779"/>
      <c r="AA6" s="2779"/>
      <c r="AB6" s="3082"/>
      <c r="AC6" s="3082"/>
      <c r="AD6" s="3082"/>
      <c r="AE6" s="3082"/>
      <c r="AF6" s="3333"/>
      <c r="AG6" s="3333"/>
      <c r="AH6" s="2806"/>
      <c r="AI6" s="2780"/>
    </row>
    <row r="7" spans="1:38" ht="18">
      <c r="A7" s="2778"/>
      <c r="B7" s="2778"/>
      <c r="C7" s="2778"/>
      <c r="D7" s="2773"/>
      <c r="E7" s="2778"/>
      <c r="F7" s="2778"/>
      <c r="G7" s="2778"/>
      <c r="H7" s="2778"/>
      <c r="I7" s="2778"/>
      <c r="J7" s="2778"/>
      <c r="K7" s="2778"/>
      <c r="L7" s="2779"/>
      <c r="M7" s="2779"/>
      <c r="N7" s="2779"/>
      <c r="O7" s="2779"/>
      <c r="P7" s="2779"/>
      <c r="Q7" s="2779"/>
      <c r="R7" s="2779"/>
      <c r="S7" s="2779"/>
      <c r="T7" s="2779"/>
      <c r="U7" s="2779"/>
      <c r="V7" s="2779"/>
      <c r="W7" s="2779"/>
      <c r="X7" s="2779"/>
      <c r="Y7" s="2779"/>
      <c r="Z7" s="2779"/>
      <c r="AA7" s="2779"/>
      <c r="AB7" s="3083"/>
      <c r="AC7" s="3083"/>
      <c r="AD7" s="3083"/>
      <c r="AE7" s="3083"/>
      <c r="AF7" s="3333"/>
      <c r="AG7" s="3333"/>
      <c r="AH7" s="2806"/>
      <c r="AI7" s="2780"/>
      <c r="AJ7" s="2783" t="s">
        <v>811</v>
      </c>
    </row>
    <row r="8" spans="1:38" ht="15.5">
      <c r="A8" s="2215"/>
      <c r="B8" s="2215"/>
      <c r="C8" s="2215"/>
      <c r="D8" s="2773"/>
      <c r="E8" s="2215"/>
      <c r="F8" s="2215"/>
      <c r="G8" s="2215"/>
      <c r="H8" s="2215"/>
      <c r="I8" s="2215"/>
      <c r="J8" s="2215"/>
      <c r="K8" s="2215"/>
      <c r="L8" s="2291"/>
      <c r="M8" s="2291"/>
      <c r="N8" s="2291"/>
      <c r="O8" s="2291"/>
      <c r="P8" s="2291"/>
      <c r="Q8" s="2291"/>
      <c r="R8" s="2291"/>
      <c r="S8" s="2291"/>
      <c r="T8" s="2291"/>
      <c r="U8" s="2291"/>
      <c r="V8" s="2291"/>
      <c r="W8" s="2291"/>
      <c r="X8" s="2291"/>
      <c r="Y8" s="2291"/>
      <c r="Z8" s="2291"/>
      <c r="AA8" s="2291"/>
      <c r="AB8" s="3039"/>
      <c r="AC8" s="3039"/>
      <c r="AD8" s="3039"/>
      <c r="AE8" s="3039"/>
      <c r="AF8" s="2310"/>
      <c r="AG8" s="2310"/>
      <c r="AH8" s="2806"/>
      <c r="AI8" s="2780"/>
    </row>
    <row r="9" spans="1:38" ht="15.5">
      <c r="A9" s="2215"/>
      <c r="B9" s="2215"/>
      <c r="C9" s="2215"/>
      <c r="D9" s="2773"/>
      <c r="E9" s="2291"/>
      <c r="F9" s="2291"/>
      <c r="G9" s="2291"/>
      <c r="H9" s="2291"/>
      <c r="I9" s="2291"/>
      <c r="J9" s="2291"/>
      <c r="K9" s="2291"/>
      <c r="L9" s="2291"/>
      <c r="M9" s="2291"/>
      <c r="N9" s="2291"/>
      <c r="O9" s="2291"/>
      <c r="P9" s="2291"/>
      <c r="Q9" s="2291"/>
      <c r="R9" s="2291"/>
      <c r="S9" s="2291"/>
      <c r="T9" s="2291"/>
      <c r="U9" s="2291"/>
      <c r="V9" s="2784"/>
      <c r="W9" s="2784"/>
      <c r="X9" s="2784"/>
      <c r="Y9" s="2784"/>
      <c r="Z9" s="2784"/>
      <c r="AA9" s="2784"/>
      <c r="AB9" s="3084"/>
      <c r="AC9" s="3084"/>
      <c r="AD9" s="3084"/>
      <c r="AE9" s="3084"/>
      <c r="AF9" s="3039"/>
      <c r="AG9" s="3039"/>
      <c r="AH9" s="3334"/>
      <c r="AI9" s="2785"/>
    </row>
    <row r="10" spans="1:38" ht="4.4000000000000004" customHeight="1">
      <c r="A10" s="2215"/>
      <c r="B10" s="2215"/>
      <c r="C10" s="2215"/>
      <c r="D10" s="2215"/>
      <c r="E10" s="2215"/>
      <c r="F10" s="2215"/>
      <c r="G10" s="2215"/>
      <c r="H10" s="2215"/>
      <c r="I10" s="2215"/>
      <c r="J10" s="2215"/>
      <c r="K10" s="2215"/>
      <c r="L10" s="2215"/>
      <c r="M10" s="2215"/>
      <c r="N10" s="2215"/>
      <c r="O10" s="2215"/>
      <c r="P10" s="2215"/>
      <c r="Q10" s="2215"/>
      <c r="R10" s="2215"/>
      <c r="S10" s="2215"/>
      <c r="T10" s="2238"/>
      <c r="U10" s="2238"/>
      <c r="V10" s="2215"/>
      <c r="W10" s="2215"/>
      <c r="X10" s="2215"/>
      <c r="Y10" s="2215"/>
      <c r="Z10" s="2215"/>
      <c r="AA10" s="2215"/>
      <c r="AB10" s="2310"/>
      <c r="AC10" s="2310"/>
      <c r="AD10" s="2310"/>
      <c r="AE10" s="2310"/>
      <c r="AF10" s="2310"/>
      <c r="AG10" s="2310"/>
      <c r="AH10" s="2806"/>
      <c r="AI10" s="2780"/>
    </row>
    <row r="11" spans="1:38" ht="15" customHeight="1">
      <c r="A11" s="2215"/>
      <c r="B11" s="2215"/>
      <c r="C11" s="2215"/>
      <c r="D11" s="2786" t="s">
        <v>2</v>
      </c>
      <c r="E11" s="2786"/>
      <c r="F11" s="2786"/>
      <c r="G11" s="2238"/>
      <c r="H11" s="2786" t="s">
        <v>55</v>
      </c>
      <c r="I11" s="2786"/>
      <c r="J11" s="2786"/>
      <c r="K11" s="2238"/>
      <c r="L11" s="2786" t="s">
        <v>4</v>
      </c>
      <c r="M11" s="2786"/>
      <c r="N11" s="2786"/>
      <c r="O11" s="2238"/>
      <c r="P11" s="2786" t="s">
        <v>119</v>
      </c>
      <c r="Q11" s="2786"/>
      <c r="R11" s="2786"/>
      <c r="S11" s="2215"/>
      <c r="T11" s="2238"/>
      <c r="U11" s="2238"/>
      <c r="V11" s="2787" t="s">
        <v>812</v>
      </c>
      <c r="W11" s="2786"/>
      <c r="X11" s="2786"/>
      <c r="Y11" s="2786"/>
      <c r="Z11" s="2788"/>
      <c r="AA11" s="2788"/>
      <c r="AB11" s="3448"/>
      <c r="AC11" s="3448"/>
      <c r="AD11" s="3448"/>
      <c r="AE11" s="3335"/>
      <c r="AF11" s="3336"/>
      <c r="AG11" s="3337"/>
      <c r="AH11" s="3338" t="s">
        <v>813</v>
      </c>
      <c r="AI11" s="2786"/>
      <c r="AJ11" s="2786"/>
    </row>
    <row r="12" spans="1:38" ht="15.5">
      <c r="A12" s="2215"/>
      <c r="B12" s="2215"/>
      <c r="C12" s="2215"/>
      <c r="D12" s="1488" t="s">
        <v>6</v>
      </c>
      <c r="E12" s="1488"/>
      <c r="F12" s="2789" t="str">
        <f>'Exhibit A'!F11</f>
        <v>6 MOS. ENDED</v>
      </c>
      <c r="G12" s="2307"/>
      <c r="H12" s="1488" t="s">
        <v>6</v>
      </c>
      <c r="I12" s="1489"/>
      <c r="J12" s="1488" t="str">
        <f>F12</f>
        <v>6 MOS. ENDED</v>
      </c>
      <c r="K12" s="2307"/>
      <c r="L12" s="1488" t="s">
        <v>6</v>
      </c>
      <c r="M12" s="1489"/>
      <c r="N12" s="1488" t="str">
        <f>F12</f>
        <v>6 MOS. ENDED</v>
      </c>
      <c r="O12" s="2307"/>
      <c r="P12" s="1488" t="s">
        <v>6</v>
      </c>
      <c r="Q12" s="1489"/>
      <c r="R12" s="1488" t="str">
        <f>F12</f>
        <v>6 MOS. ENDED</v>
      </c>
      <c r="S12" s="2291"/>
      <c r="T12" s="2307"/>
      <c r="U12" s="2307"/>
      <c r="V12" s="1488" t="s">
        <v>6</v>
      </c>
      <c r="W12" s="1488"/>
      <c r="X12" s="1488" t="str">
        <f>F12</f>
        <v>6 MOS. ENDED</v>
      </c>
      <c r="Y12" s="1488"/>
      <c r="Z12" s="1490"/>
      <c r="AA12" s="1490"/>
      <c r="AB12" s="3449" t="s">
        <v>6</v>
      </c>
      <c r="AC12" s="3449"/>
      <c r="AD12" s="3449" t="str">
        <f>F12</f>
        <v>6 MOS. ENDED</v>
      </c>
      <c r="AE12" s="3339"/>
      <c r="AF12" s="3339"/>
      <c r="AG12" s="3340"/>
      <c r="AH12" s="3341" t="s">
        <v>7</v>
      </c>
      <c r="AI12" s="1489"/>
      <c r="AJ12" s="2789" t="s">
        <v>8</v>
      </c>
      <c r="AK12" s="2790"/>
      <c r="AL12" s="2780"/>
    </row>
    <row r="13" spans="1:38" ht="15.5">
      <c r="A13" s="2215"/>
      <c r="B13" s="2215"/>
      <c r="C13" s="2215"/>
      <c r="D13" s="1491" t="str">
        <f>'Exhibit A'!D12</f>
        <v>SEP. 2021</v>
      </c>
      <c r="E13" s="1494"/>
      <c r="F13" s="1491" t="str">
        <f>'Exhibit A'!F12</f>
        <v>SEP. 30, 2021</v>
      </c>
      <c r="G13" s="2291"/>
      <c r="H13" s="1491" t="str">
        <f>D13</f>
        <v>SEP. 2021</v>
      </c>
      <c r="I13" s="1494"/>
      <c r="J13" s="1491" t="str">
        <f>F13</f>
        <v>SEP. 30, 2021</v>
      </c>
      <c r="K13" s="2291"/>
      <c r="L13" s="1491" t="str">
        <f>D13</f>
        <v>SEP. 2021</v>
      </c>
      <c r="M13" s="1494"/>
      <c r="N13" s="1491" t="str">
        <f>F13</f>
        <v>SEP. 30, 2021</v>
      </c>
      <c r="O13" s="2291"/>
      <c r="P13" s="1491" t="str">
        <f>D13</f>
        <v>SEP. 2021</v>
      </c>
      <c r="Q13" s="1494"/>
      <c r="R13" s="1491" t="str">
        <f>F13</f>
        <v>SEP. 30, 2021</v>
      </c>
      <c r="S13" s="2291"/>
      <c r="T13" s="2307"/>
      <c r="U13" s="2307"/>
      <c r="V13" s="1492" t="str">
        <f>D13</f>
        <v>SEP. 2021</v>
      </c>
      <c r="W13" s="1493"/>
      <c r="X13" s="1492" t="str">
        <f>'Exhibit A'!X12</f>
        <v>SEP. 30, 2021</v>
      </c>
      <c r="Y13" s="1493"/>
      <c r="Z13" s="2791"/>
      <c r="AA13" s="2791"/>
      <c r="AB13" s="3450" t="str">
        <f>'Exhibit A'!AB12</f>
        <v>SEP. 2020</v>
      </c>
      <c r="AC13" s="3085"/>
      <c r="AD13" s="3450" t="str">
        <f>'Exhibit A'!AD12</f>
        <v>SEP. 30, 2020</v>
      </c>
      <c r="AE13" s="3085"/>
      <c r="AF13" s="3342"/>
      <c r="AG13" s="3343"/>
      <c r="AH13" s="3344" t="s">
        <v>11</v>
      </c>
      <c r="AI13" s="1494"/>
      <c r="AJ13" s="1491" t="s">
        <v>12</v>
      </c>
      <c r="AK13" s="2790"/>
      <c r="AL13" s="2792"/>
    </row>
    <row r="14" spans="1:38" ht="15.5">
      <c r="A14" s="2215"/>
      <c r="B14" s="2215"/>
      <c r="C14" s="2215"/>
      <c r="D14" s="2238"/>
      <c r="E14" s="2238"/>
      <c r="F14" s="2238"/>
      <c r="G14" s="2215"/>
      <c r="H14" s="2238"/>
      <c r="I14" s="2238"/>
      <c r="J14" s="2238"/>
      <c r="K14" s="2215"/>
      <c r="L14" s="2238"/>
      <c r="M14" s="2238"/>
      <c r="N14" s="2238"/>
      <c r="O14" s="2215"/>
      <c r="P14" s="2238"/>
      <c r="Q14" s="2238"/>
      <c r="R14" s="2238"/>
      <c r="S14" s="2215"/>
      <c r="T14" s="2793"/>
      <c r="U14" s="2793"/>
      <c r="V14" s="2794"/>
      <c r="W14" s="2238"/>
      <c r="X14" s="2794"/>
      <c r="Y14" s="2238"/>
      <c r="Z14" s="2795"/>
      <c r="AA14" s="2238"/>
      <c r="AB14" s="3451"/>
      <c r="AC14" s="3086"/>
      <c r="AD14" s="3451"/>
      <c r="AE14" s="3086"/>
      <c r="AF14" s="3498"/>
      <c r="AG14" s="3086"/>
      <c r="AH14" s="3086"/>
      <c r="AI14" s="2238"/>
      <c r="AJ14" s="2796"/>
      <c r="AK14" s="2780"/>
      <c r="AL14" s="2780"/>
    </row>
    <row r="15" spans="1:38" ht="18" customHeight="1">
      <c r="A15" s="2797" t="s">
        <v>1083</v>
      </c>
      <c r="B15" s="2798"/>
      <c r="C15" s="2798"/>
      <c r="D15" s="2215"/>
      <c r="E15" s="2215"/>
      <c r="F15" s="2215"/>
      <c r="G15" s="2215"/>
      <c r="H15" s="2215"/>
      <c r="I15" s="2215"/>
      <c r="J15" s="2215"/>
      <c r="K15" s="2215"/>
      <c r="L15" s="2215"/>
      <c r="M15" s="2215"/>
      <c r="N15" s="2215"/>
      <c r="O15" s="2215"/>
      <c r="P15" s="2215"/>
      <c r="Q15" s="2215"/>
      <c r="R15" s="2215"/>
      <c r="S15" s="2215"/>
      <c r="T15" s="2793"/>
      <c r="U15" s="2793"/>
      <c r="V15" s="2215"/>
      <c r="W15" s="2215"/>
      <c r="X15" s="2215"/>
      <c r="Y15" s="2215"/>
      <c r="Z15" s="2795"/>
      <c r="AA15" s="2238"/>
      <c r="AB15" s="2310"/>
      <c r="AC15" s="2310"/>
      <c r="AD15" s="2310"/>
      <c r="AE15" s="2310"/>
      <c r="AF15" s="3498"/>
      <c r="AG15" s="2310"/>
      <c r="AH15" s="2310"/>
      <c r="AI15" s="2215"/>
      <c r="AJ15" s="2796"/>
      <c r="AK15" s="2780"/>
      <c r="AL15" s="2780"/>
    </row>
    <row r="16" spans="1:38" s="2807" customFormat="1" ht="18" customHeight="1">
      <c r="A16" s="2799" t="s">
        <v>814</v>
      </c>
      <c r="B16" s="2799"/>
      <c r="C16" s="2800"/>
      <c r="D16" s="1772">
        <f>'Exhibit F'!N17</f>
        <v>3634.7999999999984</v>
      </c>
      <c r="E16" s="2801"/>
      <c r="F16" s="1772">
        <f>'Exhibit F'!AC17</f>
        <v>21343.5</v>
      </c>
      <c r="G16" s="2801"/>
      <c r="H16" s="1783">
        <v>0</v>
      </c>
      <c r="I16" s="2801"/>
      <c r="J16" s="1783">
        <v>0</v>
      </c>
      <c r="K16" s="2801"/>
      <c r="L16" s="1783">
        <v>0</v>
      </c>
      <c r="M16" s="2801"/>
      <c r="N16" s="1783">
        <v>0</v>
      </c>
      <c r="O16" s="2801"/>
      <c r="P16" s="1783">
        <v>0</v>
      </c>
      <c r="Q16" s="2801"/>
      <c r="R16" s="1783">
        <v>0</v>
      </c>
      <c r="S16" s="1772"/>
      <c r="T16" s="2802"/>
      <c r="U16" s="2803"/>
      <c r="V16" s="1814">
        <f t="shared" ref="V16:V20" si="0">SUM(D16)+SUM(H16)+SUM(L16)+SUM(P16)</f>
        <v>3634.7999999999984</v>
      </c>
      <c r="W16" s="2801"/>
      <c r="X16" s="1814">
        <f>SUM(F16)+SUM(J16)+SUM(N16)+SUM(R16)</f>
        <v>21343.5</v>
      </c>
      <c r="Y16" s="2804"/>
      <c r="Z16" s="2805"/>
      <c r="AA16" s="2801"/>
      <c r="AB16" s="3452">
        <v>3147.2</v>
      </c>
      <c r="AC16" s="2801"/>
      <c r="AD16" s="1814">
        <f>'Cashflow Governmental'!AE21</f>
        <v>18636</v>
      </c>
      <c r="AE16" s="1814"/>
      <c r="AF16" s="3498"/>
      <c r="AG16" s="2804"/>
      <c r="AH16" s="1814">
        <f>ROUND(SUM(X16)-SUM(AD16),1)</f>
        <v>2707.5</v>
      </c>
      <c r="AI16" s="2380"/>
      <c r="AJ16" s="1815">
        <f>ROUND(AH16/AD16,3)</f>
        <v>0.14499999999999999</v>
      </c>
      <c r="AK16" s="1816"/>
      <c r="AL16" s="2806"/>
    </row>
    <row r="17" spans="1:38" s="2807" customFormat="1" ht="18" customHeight="1">
      <c r="A17" s="2808" t="s">
        <v>879</v>
      </c>
      <c r="B17" s="2799"/>
      <c r="C17" s="2809"/>
      <c r="D17" s="612">
        <f>'Exhibit F'!N18</f>
        <v>3241.9000000000015</v>
      </c>
      <c r="E17" s="612"/>
      <c r="F17" s="612">
        <f>'Exhibit F'!AC18</f>
        <v>15731.7</v>
      </c>
      <c r="G17" s="612"/>
      <c r="H17" s="1774">
        <v>0</v>
      </c>
      <c r="I17" s="1776"/>
      <c r="J17" s="1775">
        <v>0</v>
      </c>
      <c r="K17" s="612"/>
      <c r="L17" s="1774">
        <v>0</v>
      </c>
      <c r="M17" s="1776"/>
      <c r="N17" s="1775">
        <v>0</v>
      </c>
      <c r="O17" s="612"/>
      <c r="P17" s="1774">
        <v>0</v>
      </c>
      <c r="Q17" s="1776"/>
      <c r="R17" s="1775">
        <v>0</v>
      </c>
      <c r="S17" s="612"/>
      <c r="T17" s="2810"/>
      <c r="U17" s="2810"/>
      <c r="V17" s="1776">
        <f t="shared" si="0"/>
        <v>3241.9000000000015</v>
      </c>
      <c r="W17" s="1407"/>
      <c r="X17" s="1776">
        <f t="shared" ref="X17:X24" si="1">SUM(F17)+SUM(J17)+SUM(N17)+SUM(R17)</f>
        <v>15731.7</v>
      </c>
      <c r="Y17" s="2811"/>
      <c r="Z17" s="2812"/>
      <c r="AA17" s="1407"/>
      <c r="AB17" s="1773">
        <v>2510</v>
      </c>
      <c r="AC17" s="612"/>
      <c r="AD17" s="1776">
        <f>'Cashflow Governmental'!AE22</f>
        <v>10735.8</v>
      </c>
      <c r="AE17" s="1776"/>
      <c r="AF17" s="3498"/>
      <c r="AG17" s="2811"/>
      <c r="AH17" s="1776">
        <f>ROUND(SUM(X17)-SUM(AD17),1)</f>
        <v>4995.8999999999996</v>
      </c>
      <c r="AI17" s="2813"/>
      <c r="AJ17" s="3858">
        <f>ROUND(AH17/AD17,3)</f>
        <v>0.46500000000000002</v>
      </c>
      <c r="AK17" s="1816"/>
      <c r="AL17" s="2806"/>
    </row>
    <row r="18" spans="1:38" s="2807" customFormat="1" ht="18" customHeight="1">
      <c r="A18" s="2799" t="s">
        <v>815</v>
      </c>
      <c r="B18" s="2799" t="s">
        <v>14</v>
      </c>
      <c r="C18" s="2799"/>
      <c r="D18" s="612">
        <f>'Exhibit F'!N19</f>
        <v>77.5</v>
      </c>
      <c r="E18" s="612"/>
      <c r="F18" s="612">
        <f>'Exhibit F'!AC19</f>
        <v>3439.9</v>
      </c>
      <c r="G18" s="612"/>
      <c r="H18" s="1774">
        <v>0</v>
      </c>
      <c r="I18" s="1776"/>
      <c r="J18" s="1775">
        <v>0</v>
      </c>
      <c r="K18" s="612"/>
      <c r="L18" s="1774">
        <v>0</v>
      </c>
      <c r="M18" s="1776"/>
      <c r="N18" s="1775">
        <v>0</v>
      </c>
      <c r="O18" s="612"/>
      <c r="P18" s="1774">
        <v>0</v>
      </c>
      <c r="Q18" s="1776"/>
      <c r="R18" s="1775">
        <v>0</v>
      </c>
      <c r="S18" s="612"/>
      <c r="T18" s="2810"/>
      <c r="U18" s="2810"/>
      <c r="V18" s="1776">
        <f t="shared" si="0"/>
        <v>77.5</v>
      </c>
      <c r="W18" s="1407"/>
      <c r="X18" s="1776">
        <f t="shared" si="1"/>
        <v>3439.9</v>
      </c>
      <c r="Y18" s="2811"/>
      <c r="Z18" s="2812"/>
      <c r="AA18" s="1407"/>
      <c r="AB18" s="1773">
        <v>83.4</v>
      </c>
      <c r="AC18" s="612"/>
      <c r="AD18" s="1776">
        <f>'Cashflow Governmental'!AE23</f>
        <v>2642.5</v>
      </c>
      <c r="AE18" s="1776"/>
      <c r="AF18" s="3498"/>
      <c r="AG18" s="2811"/>
      <c r="AH18" s="1776">
        <f>ROUND(SUM(X18)-SUM(AD18),1)</f>
        <v>797.4</v>
      </c>
      <c r="AI18" s="2813"/>
      <c r="AJ18" s="1816">
        <f>ROUND(AH18/AD18,3)</f>
        <v>0.30199999999999999</v>
      </c>
      <c r="AK18" s="1816"/>
      <c r="AL18" s="2806"/>
    </row>
    <row r="19" spans="1:38" s="2807" customFormat="1" ht="18" customHeight="1">
      <c r="A19" s="2808" t="s">
        <v>816</v>
      </c>
      <c r="B19" s="2799"/>
      <c r="C19" s="2799"/>
      <c r="D19" s="612">
        <f>'Exhibit F'!N20</f>
        <v>-28.099999999999909</v>
      </c>
      <c r="E19" s="612"/>
      <c r="F19" s="612">
        <f>'Exhibit F'!AC20</f>
        <v>-568.29999999999995</v>
      </c>
      <c r="G19" s="612"/>
      <c r="H19" s="1774">
        <v>0</v>
      </c>
      <c r="I19" s="1776"/>
      <c r="J19" s="1775">
        <v>0</v>
      </c>
      <c r="K19" s="612"/>
      <c r="L19" s="1774">
        <v>0</v>
      </c>
      <c r="M19" s="1776"/>
      <c r="N19" s="1775">
        <v>0</v>
      </c>
      <c r="O19" s="612"/>
      <c r="P19" s="1774">
        <v>0</v>
      </c>
      <c r="Q19" s="1776"/>
      <c r="R19" s="1775">
        <v>0</v>
      </c>
      <c r="S19" s="612"/>
      <c r="T19" s="2810"/>
      <c r="U19" s="2810"/>
      <c r="V19" s="1776">
        <f t="shared" si="0"/>
        <v>-28.099999999999909</v>
      </c>
      <c r="W19" s="1407"/>
      <c r="X19" s="1776">
        <f t="shared" si="1"/>
        <v>-568.29999999999995</v>
      </c>
      <c r="Y19" s="2811"/>
      <c r="Z19" s="2812"/>
      <c r="AA19" s="1407"/>
      <c r="AB19" s="1773">
        <v>-71.7</v>
      </c>
      <c r="AC19" s="612"/>
      <c r="AD19" s="1776">
        <f>'Cashflow Governmental'!AE24</f>
        <v>-454.8</v>
      </c>
      <c r="AE19" s="1776"/>
      <c r="AF19" s="3498"/>
      <c r="AG19" s="2811"/>
      <c r="AH19" s="1776">
        <f>-ROUND(SUM(X19)-SUM(AD19),1)</f>
        <v>113.5</v>
      </c>
      <c r="AI19" s="2813"/>
      <c r="AJ19" s="1816">
        <f>-ROUND(AH19/AD19,3)</f>
        <v>0.25</v>
      </c>
      <c r="AK19" s="1816"/>
      <c r="AL19" s="2806"/>
    </row>
    <row r="20" spans="1:38" s="2807" customFormat="1" ht="18" customHeight="1">
      <c r="A20" s="2808" t="s">
        <v>817</v>
      </c>
      <c r="B20" s="2799" t="s">
        <v>14</v>
      </c>
      <c r="C20" s="2799"/>
      <c r="D20" s="612">
        <f>'Exhibit F'!N21</f>
        <v>104.20000000000002</v>
      </c>
      <c r="E20" s="612"/>
      <c r="F20" s="612">
        <f>'Exhibit F'!AC21</f>
        <v>661.1</v>
      </c>
      <c r="G20" s="612"/>
      <c r="H20" s="1774">
        <v>0</v>
      </c>
      <c r="I20" s="1776"/>
      <c r="J20" s="1775">
        <v>0</v>
      </c>
      <c r="K20" s="612"/>
      <c r="L20" s="1774">
        <v>0</v>
      </c>
      <c r="M20" s="1776"/>
      <c r="N20" s="1775">
        <v>0</v>
      </c>
      <c r="O20" s="612"/>
      <c r="P20" s="1774">
        <v>0</v>
      </c>
      <c r="Q20" s="1776"/>
      <c r="R20" s="1775">
        <v>0</v>
      </c>
      <c r="S20" s="612"/>
      <c r="T20" s="2810"/>
      <c r="U20" s="2810"/>
      <c r="V20" s="1776">
        <f t="shared" si="0"/>
        <v>104.20000000000002</v>
      </c>
      <c r="W20" s="1407"/>
      <c r="X20" s="1776">
        <f t="shared" si="1"/>
        <v>661.1</v>
      </c>
      <c r="Y20" s="2811"/>
      <c r="Z20" s="2812"/>
      <c r="AA20" s="1407"/>
      <c r="AB20" s="1773">
        <v>97.9</v>
      </c>
      <c r="AC20" s="612"/>
      <c r="AD20" s="1776">
        <f>'Cashflow Governmental'!AE25</f>
        <v>506.5</v>
      </c>
      <c r="AE20" s="1776"/>
      <c r="AF20" s="3498"/>
      <c r="AG20" s="2811"/>
      <c r="AH20" s="1776">
        <f>ROUND(SUM(X20)-SUM(AD20),1)</f>
        <v>154.6</v>
      </c>
      <c r="AI20" s="2813"/>
      <c r="AJ20" s="3474">
        <f>ROUND(AH20/AD20,3)</f>
        <v>0.30499999999999999</v>
      </c>
      <c r="AK20" s="1816"/>
      <c r="AL20" s="2806"/>
    </row>
    <row r="21" spans="1:38" s="2822" customFormat="1" ht="18" customHeight="1">
      <c r="A21" s="2814" t="s">
        <v>818</v>
      </c>
      <c r="B21" s="2814"/>
      <c r="C21" s="2814"/>
      <c r="D21" s="1784">
        <f>ROUND(SUM(D16:D20),1)</f>
        <v>7030.3</v>
      </c>
      <c r="E21" s="1464"/>
      <c r="F21" s="1784">
        <f>ROUND(SUM(F16:F20),1)</f>
        <v>40607.9</v>
      </c>
      <c r="G21" s="20"/>
      <c r="H21" s="1784">
        <f>ROUND(SUM(H16:H20),1)</f>
        <v>0</v>
      </c>
      <c r="I21" s="2815"/>
      <c r="J21" s="1784">
        <f>ROUND(SUM(J16:J20),1)</f>
        <v>0</v>
      </c>
      <c r="K21" s="20"/>
      <c r="L21" s="1784">
        <f>ROUND(SUM(L16:L20),1)</f>
        <v>0</v>
      </c>
      <c r="M21" s="2815"/>
      <c r="N21" s="1784">
        <f>ROUND(SUM(N16:N20),1)</f>
        <v>0</v>
      </c>
      <c r="O21" s="20"/>
      <c r="P21" s="1784">
        <f>ROUND(SUM(P16:P20),1)</f>
        <v>0</v>
      </c>
      <c r="Q21" s="2815"/>
      <c r="R21" s="1784">
        <f>ROUND(SUM(R16:R20),1)</f>
        <v>0</v>
      </c>
      <c r="S21" s="20"/>
      <c r="T21" s="2816"/>
      <c r="U21" s="2816"/>
      <c r="V21" s="2817">
        <f>ROUND(SUM(V16:V20),1)</f>
        <v>7030.3</v>
      </c>
      <c r="W21" s="1464"/>
      <c r="X21" s="2817">
        <f>ROUND(SUM(X16:X20),1)</f>
        <v>40607.9</v>
      </c>
      <c r="Y21" s="2818"/>
      <c r="Z21" s="2289"/>
      <c r="AA21" s="1464"/>
      <c r="AB21" s="1446">
        <f>ROUND(SUM(AB16:AB20),1)</f>
        <v>5766.8</v>
      </c>
      <c r="AC21" s="20"/>
      <c r="AD21" s="3806">
        <f>ROUND(SUM(AD16:AD20),1)</f>
        <v>32066</v>
      </c>
      <c r="AE21" s="2815"/>
      <c r="AF21" s="3498"/>
      <c r="AG21" s="2818"/>
      <c r="AH21" s="3519">
        <f>ROUND(SUM(X21)-SUM(AD21),1)</f>
        <v>8541.9</v>
      </c>
      <c r="AI21" s="2819"/>
      <c r="AJ21" s="3475">
        <f>ROUND(AH21/AD21,3)</f>
        <v>0.26600000000000001</v>
      </c>
      <c r="AK21" s="2820"/>
      <c r="AL21" s="2821"/>
    </row>
    <row r="22" spans="1:38" s="2807" customFormat="1" ht="18" customHeight="1">
      <c r="A22" s="2808" t="s">
        <v>819</v>
      </c>
      <c r="B22" s="2799"/>
      <c r="C22" s="2799"/>
      <c r="D22" s="1773">
        <f>'Exhibit F'!N23</f>
        <v>0</v>
      </c>
      <c r="E22" s="1776"/>
      <c r="F22" s="1773">
        <f>'Exhibit F'!AC23</f>
        <v>0</v>
      </c>
      <c r="G22" s="612"/>
      <c r="H22" s="612">
        <f>'Exhibit G'!N17</f>
        <v>0</v>
      </c>
      <c r="I22" s="1776"/>
      <c r="J22" s="1789">
        <f>'Exhibit G'!AD17</f>
        <v>0</v>
      </c>
      <c r="K22" s="612"/>
      <c r="L22" s="1785">
        <v>0</v>
      </c>
      <c r="M22" s="1776"/>
      <c r="N22" s="1785">
        <v>0</v>
      </c>
      <c r="O22" s="612"/>
      <c r="P22" s="1785">
        <v>0</v>
      </c>
      <c r="Q22" s="1776"/>
      <c r="R22" s="1785">
        <v>0</v>
      </c>
      <c r="S22" s="612"/>
      <c r="T22" s="2810"/>
      <c r="U22" s="2810"/>
      <c r="V22" s="2823">
        <f>SUM(D22)+SUM(H22)+SUM(L22)+SUM(P22)</f>
        <v>0</v>
      </c>
      <c r="W22" s="1407"/>
      <c r="X22" s="2823">
        <f t="shared" si="1"/>
        <v>0</v>
      </c>
      <c r="Y22" s="2811"/>
      <c r="Z22" s="2812"/>
      <c r="AA22" s="1407"/>
      <c r="AB22" s="1773">
        <v>0</v>
      </c>
      <c r="AC22" s="1407"/>
      <c r="AD22" s="1776">
        <f>'Cashflow Governmental'!AE27</f>
        <v>0</v>
      </c>
      <c r="AE22" s="1774"/>
      <c r="AF22" s="3498"/>
      <c r="AG22" s="2811"/>
      <c r="AH22" s="1775">
        <f>ROUND(SUM(X22)-SUM(AD22),1)</f>
        <v>0</v>
      </c>
      <c r="AI22" s="2813"/>
      <c r="AJ22" s="1708">
        <f>ROUND(IF(AD22=0,0,AH22/(AD22)),3)</f>
        <v>0</v>
      </c>
      <c r="AK22" s="2824"/>
      <c r="AL22" s="2806"/>
    </row>
    <row r="23" spans="1:38" s="2807" customFormat="1" ht="18" customHeight="1">
      <c r="A23" s="2808" t="s">
        <v>820</v>
      </c>
      <c r="B23" s="2799"/>
      <c r="C23" s="2799"/>
      <c r="D23" s="1773">
        <f>'Exhibit F'!N24</f>
        <v>-3224.8999999999978</v>
      </c>
      <c r="E23" s="612"/>
      <c r="F23" s="1773">
        <f>'Exhibit F'!AC24</f>
        <v>-17897.599999999999</v>
      </c>
      <c r="G23" s="612"/>
      <c r="H23" s="1774">
        <v>0</v>
      </c>
      <c r="I23" s="1776"/>
      <c r="J23" s="1775">
        <v>0</v>
      </c>
      <c r="K23" s="612"/>
      <c r="L23" s="1776">
        <f>'Exhibit H'!L16</f>
        <v>3224.8999999999978</v>
      </c>
      <c r="M23" s="1776"/>
      <c r="N23" s="1776">
        <f>'Exhibit H'!AA16</f>
        <v>17897.599999999999</v>
      </c>
      <c r="O23" s="612"/>
      <c r="P23" s="1774">
        <v>0</v>
      </c>
      <c r="Q23" s="1776"/>
      <c r="R23" s="1775">
        <v>0</v>
      </c>
      <c r="S23" s="612"/>
      <c r="T23" s="2810"/>
      <c r="U23" s="2810"/>
      <c r="V23" s="1776">
        <f>ROUND(SUM(D23)+SUM(H23)+SUM(L23)+SUM(P23),1)</f>
        <v>0</v>
      </c>
      <c r="W23" s="1407"/>
      <c r="X23" s="1776">
        <f t="shared" si="1"/>
        <v>0</v>
      </c>
      <c r="Y23" s="2811"/>
      <c r="Z23" s="2812"/>
      <c r="AA23" s="1407"/>
      <c r="AB23" s="1773">
        <v>0</v>
      </c>
      <c r="AC23" s="1407"/>
      <c r="AD23" s="1776">
        <f>'Cashflow Governmental'!AE28</f>
        <v>0</v>
      </c>
      <c r="AE23" s="1774"/>
      <c r="AF23" s="3498"/>
      <c r="AG23" s="2811"/>
      <c r="AH23" s="1775">
        <f>ROUND(SUM(X23)-SUM(AD23),1)</f>
        <v>0</v>
      </c>
      <c r="AI23" s="2813"/>
      <c r="AJ23" s="1708">
        <f>ROUND(IF(AD23=0,0,AH23/(AD23)),3)</f>
        <v>0</v>
      </c>
      <c r="AK23" s="2824"/>
      <c r="AL23" s="2806"/>
    </row>
    <row r="24" spans="1:38" s="2807" customFormat="1" ht="18" customHeight="1">
      <c r="A24" s="2799" t="s">
        <v>821</v>
      </c>
      <c r="B24" s="2799"/>
      <c r="C24" s="2799"/>
      <c r="D24" s="1773">
        <f>'Exhibit F'!N25</f>
        <v>-580.5</v>
      </c>
      <c r="E24" s="1407"/>
      <c r="F24" s="1773">
        <f>'Exhibit F'!AC25</f>
        <v>-4812.7</v>
      </c>
      <c r="G24" s="612"/>
      <c r="H24" s="1774">
        <v>0</v>
      </c>
      <c r="I24" s="1776"/>
      <c r="J24" s="1775">
        <v>0</v>
      </c>
      <c r="K24" s="612"/>
      <c r="L24" s="1774">
        <v>0</v>
      </c>
      <c r="M24" s="1776"/>
      <c r="N24" s="1775">
        <v>0</v>
      </c>
      <c r="O24" s="612"/>
      <c r="P24" s="1774">
        <v>0</v>
      </c>
      <c r="Q24" s="1776"/>
      <c r="R24" s="1775">
        <v>0</v>
      </c>
      <c r="S24" s="612"/>
      <c r="T24" s="2810"/>
      <c r="U24" s="2810"/>
      <c r="V24" s="1776">
        <f>SUM(D24)+SUM(H24)+SUM(L24)+SUM(P24)</f>
        <v>-580.5</v>
      </c>
      <c r="W24" s="1407"/>
      <c r="X24" s="1776">
        <f t="shared" si="1"/>
        <v>-4812.7</v>
      </c>
      <c r="Y24" s="2811"/>
      <c r="Z24" s="2812"/>
      <c r="AA24" s="1407"/>
      <c r="AB24" s="1773">
        <v>-495.40000000000003</v>
      </c>
      <c r="AC24" s="612"/>
      <c r="AD24" s="1776">
        <f>'Cashflow Governmental'!AE29</f>
        <v>-5207</v>
      </c>
      <c r="AE24" s="1776"/>
      <c r="AF24" s="3498"/>
      <c r="AG24" s="2811"/>
      <c r="AH24" s="1776">
        <f>-ROUND(SUM(X24)-SUM(AD24),1)</f>
        <v>-394.3</v>
      </c>
      <c r="AI24" s="2813"/>
      <c r="AJ24" s="1817">
        <f>-ROUND(AH24/AD24,3)</f>
        <v>-7.5999999999999998E-2</v>
      </c>
      <c r="AK24" s="1816"/>
      <c r="AL24" s="2806"/>
    </row>
    <row r="25" spans="1:38" s="2807" customFormat="1" ht="18" customHeight="1">
      <c r="A25" s="2825" t="s">
        <v>822</v>
      </c>
      <c r="B25" s="2799"/>
      <c r="C25" s="2799"/>
      <c r="D25" s="1786">
        <f>ROUND(SUM(D21:D24),1)</f>
        <v>3224.9</v>
      </c>
      <c r="E25" s="1464"/>
      <c r="F25" s="1786">
        <f>ROUND(SUM(F21:F24),1)</f>
        <v>17897.599999999999</v>
      </c>
      <c r="G25" s="20"/>
      <c r="H25" s="1786">
        <f>ROUND(SUM(H21:H24),1)</f>
        <v>0</v>
      </c>
      <c r="I25" s="2815"/>
      <c r="J25" s="1786">
        <f>ROUND(SUM(J21:J24),1)</f>
        <v>0</v>
      </c>
      <c r="K25" s="20"/>
      <c r="L25" s="1786">
        <f>ROUND(SUM(L21:L24),1)</f>
        <v>3224.9</v>
      </c>
      <c r="M25" s="2815"/>
      <c r="N25" s="1786">
        <f>ROUND(SUM(N21:N24),1)</f>
        <v>17897.599999999999</v>
      </c>
      <c r="O25" s="20"/>
      <c r="P25" s="1786">
        <f>ROUND(SUM(P21:P24),1)</f>
        <v>0</v>
      </c>
      <c r="Q25" s="2815"/>
      <c r="R25" s="1786">
        <f>ROUND(SUM(R21:R24),1)</f>
        <v>0</v>
      </c>
      <c r="S25" s="20"/>
      <c r="T25" s="2816"/>
      <c r="U25" s="2816"/>
      <c r="V25" s="2817">
        <f>ROUND(SUM(V21:V24),1)</f>
        <v>6449.8</v>
      </c>
      <c r="W25" s="1464"/>
      <c r="X25" s="2817">
        <f>ROUND(SUM(X21:X24),1)</f>
        <v>35795.199999999997</v>
      </c>
      <c r="Y25" s="2826"/>
      <c r="Z25" s="2289"/>
      <c r="AA25" s="1464"/>
      <c r="AB25" s="3453">
        <f>ROUND(SUM(AB21:AB24),1)</f>
        <v>5271.4</v>
      </c>
      <c r="AC25" s="20"/>
      <c r="AD25" s="2817">
        <f>ROUND(SUM(AD21:AD24),1)</f>
        <v>26859</v>
      </c>
      <c r="AE25" s="1464" t="s">
        <v>14</v>
      </c>
      <c r="AF25" s="3498"/>
      <c r="AG25" s="2818"/>
      <c r="AH25" s="1818">
        <f>ROUND(SUM(X25)-SUM(AD25),1)</f>
        <v>8936.2000000000007</v>
      </c>
      <c r="AI25" s="2819"/>
      <c r="AJ25" s="1819">
        <f>ROUND(AH25/AD25,3)</f>
        <v>0.33300000000000002</v>
      </c>
      <c r="AK25" s="2820"/>
      <c r="AL25" s="2821"/>
    </row>
    <row r="26" spans="1:38" ht="18" customHeight="1">
      <c r="A26" s="2798"/>
      <c r="B26" s="2798"/>
      <c r="C26" s="2798"/>
      <c r="D26" s="1498"/>
      <c r="E26" s="609"/>
      <c r="F26" s="1787" t="s">
        <v>14</v>
      </c>
      <c r="G26" s="612"/>
      <c r="H26" s="1787"/>
      <c r="I26" s="1407"/>
      <c r="J26" s="1787" t="s">
        <v>1172</v>
      </c>
      <c r="K26" s="612"/>
      <c r="L26" s="1787" t="s">
        <v>14</v>
      </c>
      <c r="M26" s="1407"/>
      <c r="N26" s="1787" t="s">
        <v>14</v>
      </c>
      <c r="O26" s="612"/>
      <c r="P26" s="1787"/>
      <c r="Q26" s="1407"/>
      <c r="R26" s="1787"/>
      <c r="S26" s="612"/>
      <c r="T26" s="2810"/>
      <c r="U26" s="2810"/>
      <c r="V26" s="1787"/>
      <c r="W26" s="1407"/>
      <c r="X26" s="1787"/>
      <c r="Y26" s="1407"/>
      <c r="Z26" s="2812"/>
      <c r="AA26" s="1407"/>
      <c r="AB26" s="1787"/>
      <c r="AC26" s="612"/>
      <c r="AD26" s="1787"/>
      <c r="AE26" s="1407"/>
      <c r="AF26" s="3498"/>
      <c r="AG26" s="1407"/>
      <c r="AH26" s="1407"/>
      <c r="AI26" s="606"/>
      <c r="AJ26" s="2827"/>
      <c r="AK26" s="2828"/>
      <c r="AL26" s="2780"/>
    </row>
    <row r="27" spans="1:38" ht="18" customHeight="1">
      <c r="A27" s="2829" t="s">
        <v>1084</v>
      </c>
      <c r="B27" s="2798"/>
      <c r="C27" s="2830"/>
      <c r="D27" s="3859"/>
      <c r="E27" s="608"/>
      <c r="F27" s="612"/>
      <c r="G27" s="612"/>
      <c r="H27" s="612"/>
      <c r="I27" s="612"/>
      <c r="J27" s="612"/>
      <c r="K27" s="612"/>
      <c r="L27" s="612"/>
      <c r="M27" s="612"/>
      <c r="N27" s="612"/>
      <c r="O27" s="612"/>
      <c r="P27" s="612"/>
      <c r="Q27" s="612"/>
      <c r="R27" s="612"/>
      <c r="S27" s="612"/>
      <c r="T27" s="2810"/>
      <c r="U27" s="2810"/>
      <c r="V27" s="1407"/>
      <c r="W27" s="1407"/>
      <c r="X27" s="612"/>
      <c r="Y27" s="612"/>
      <c r="Z27" s="2812"/>
      <c r="AA27" s="1407"/>
      <c r="AB27" s="612"/>
      <c r="AC27" s="612"/>
      <c r="AD27" s="612"/>
      <c r="AE27" s="612"/>
      <c r="AF27" s="3498"/>
      <c r="AG27" s="612"/>
      <c r="AH27" s="612"/>
      <c r="AI27" s="2241"/>
      <c r="AJ27" s="2827"/>
      <c r="AK27" s="2828"/>
      <c r="AL27" s="2780"/>
    </row>
    <row r="28" spans="1:38" s="2807" customFormat="1" ht="18" customHeight="1">
      <c r="A28" s="2799" t="s">
        <v>823</v>
      </c>
      <c r="B28" s="2799"/>
      <c r="C28" s="2799"/>
      <c r="D28" s="612">
        <f>'Exhibit F'!N28</f>
        <v>408.00000000000006</v>
      </c>
      <c r="E28" s="612"/>
      <c r="F28" s="612">
        <f>'Exhibit F'!AC28</f>
        <v>2037.3</v>
      </c>
      <c r="G28" s="612"/>
      <c r="H28" s="612">
        <f>'Exhibit G'!N20</f>
        <v>108.99999999999999</v>
      </c>
      <c r="I28" s="612"/>
      <c r="J28" s="612">
        <f>'Exhibit G'!AD20</f>
        <v>570.5</v>
      </c>
      <c r="K28" s="612"/>
      <c r="L28" s="1776">
        <f>'Exhibit H'!L19</f>
        <v>1222.7000000000012</v>
      </c>
      <c r="M28" s="1776"/>
      <c r="N28" s="1776">
        <f>'Exhibit H'!AA19</f>
        <v>6120.1</v>
      </c>
      <c r="O28" s="612"/>
      <c r="P28" s="1774">
        <v>0</v>
      </c>
      <c r="Q28" s="1776"/>
      <c r="R28" s="1775">
        <v>0</v>
      </c>
      <c r="S28" s="612"/>
      <c r="T28" s="2810"/>
      <c r="U28" s="2810"/>
      <c r="V28" s="1776">
        <f t="shared" ref="V28:V33" si="2">SUM(D28)+SUM(H28)+SUM(L28)+SUM(P28)</f>
        <v>1739.7000000000012</v>
      </c>
      <c r="W28" s="1407"/>
      <c r="X28" s="1776">
        <f t="shared" ref="X28:X34" si="3">SUM(F28)+SUM(J28)+SUM(N28)+SUM(R28)</f>
        <v>8727.9000000000015</v>
      </c>
      <c r="Y28" s="612"/>
      <c r="Z28" s="2812"/>
      <c r="AA28" s="1407"/>
      <c r="AB28" s="1773">
        <v>1540.2</v>
      </c>
      <c r="AC28" s="612"/>
      <c r="AD28" s="1776">
        <f>'Cashflow Governmental'!AE32</f>
        <v>6689.2</v>
      </c>
      <c r="AE28" s="1776"/>
      <c r="AF28" s="3498"/>
      <c r="AG28" s="612"/>
      <c r="AH28" s="612">
        <f t="shared" ref="AH28:AH37" si="4">ROUND(SUM(X28)-SUM(AD28),1)</f>
        <v>2038.7</v>
      </c>
      <c r="AI28" s="2813"/>
      <c r="AJ28" s="1816">
        <f t="shared" ref="AJ28:AJ37" si="5">ROUND(AH28/AD28,3)</f>
        <v>0.30499999999999999</v>
      </c>
      <c r="AK28" s="1816"/>
      <c r="AL28" s="2806"/>
    </row>
    <row r="29" spans="1:38" s="2807" customFormat="1" ht="18" customHeight="1">
      <c r="A29" s="2808" t="s">
        <v>824</v>
      </c>
      <c r="B29" s="2799"/>
      <c r="C29" s="2831"/>
      <c r="D29" s="612">
        <f>'Exhibit F'!N29</f>
        <v>0</v>
      </c>
      <c r="E29" s="1776"/>
      <c r="F29" s="612">
        <f>'Exhibit F'!AC29</f>
        <v>0</v>
      </c>
      <c r="G29" s="612"/>
      <c r="H29" s="612">
        <f>'Exhibit G'!N21</f>
        <v>7.6999999999999984</v>
      </c>
      <c r="I29" s="1776"/>
      <c r="J29" s="612">
        <f>'Exhibit G'!AD21</f>
        <v>12.6</v>
      </c>
      <c r="K29" s="612"/>
      <c r="L29" s="1774">
        <v>0</v>
      </c>
      <c r="M29" s="1776"/>
      <c r="N29" s="1775">
        <v>0</v>
      </c>
      <c r="O29" s="612"/>
      <c r="P29" s="1773">
        <f>'Exhibit I'!O20</f>
        <v>26.299999999999997</v>
      </c>
      <c r="Q29" s="612"/>
      <c r="R29" s="1773">
        <f>'Exhibit I'!AF20</f>
        <v>45.9</v>
      </c>
      <c r="S29" s="612"/>
      <c r="T29" s="2810"/>
      <c r="U29" s="2810"/>
      <c r="V29" s="1776">
        <f t="shared" si="2"/>
        <v>33.999999999999993</v>
      </c>
      <c r="W29" s="1407"/>
      <c r="X29" s="1776">
        <f t="shared" si="3"/>
        <v>58.5</v>
      </c>
      <c r="Y29" s="2811"/>
      <c r="Z29" s="2812"/>
      <c r="AA29" s="1407"/>
      <c r="AB29" s="1773">
        <v>14.5</v>
      </c>
      <c r="AC29" s="612"/>
      <c r="AD29" s="1776">
        <f>'Cashflow Governmental'!AE33</f>
        <v>31.299999999999997</v>
      </c>
      <c r="AE29" s="1776"/>
      <c r="AF29" s="3498"/>
      <c r="AG29" s="2811"/>
      <c r="AH29" s="1776">
        <f t="shared" si="4"/>
        <v>27.2</v>
      </c>
      <c r="AI29" s="2832"/>
      <c r="AJ29" s="1816">
        <f t="shared" si="5"/>
        <v>0.86899999999999999</v>
      </c>
      <c r="AK29" s="1816"/>
      <c r="AL29" s="2806"/>
    </row>
    <row r="30" spans="1:38" ht="18" customHeight="1">
      <c r="A30" s="2798" t="s">
        <v>825</v>
      </c>
      <c r="B30" s="2798"/>
      <c r="C30" s="2798"/>
      <c r="D30" s="612">
        <f>'Exhibit F'!N30</f>
        <v>26.700000000000017</v>
      </c>
      <c r="E30" s="612"/>
      <c r="F30" s="612">
        <f>'Exhibit F'!AC30</f>
        <v>157.4</v>
      </c>
      <c r="G30" s="612"/>
      <c r="H30" s="612">
        <f>'Exhibit G'!N22</f>
        <v>56.100000000000023</v>
      </c>
      <c r="I30" s="1776"/>
      <c r="J30" s="612">
        <f>'Exhibit G'!AD22</f>
        <v>364.6</v>
      </c>
      <c r="K30" s="612"/>
      <c r="L30" s="1774">
        <v>0</v>
      </c>
      <c r="M30" s="1776"/>
      <c r="N30" s="1775">
        <v>0</v>
      </c>
      <c r="O30" s="612"/>
      <c r="P30" s="1774">
        <v>0</v>
      </c>
      <c r="Q30" s="1776"/>
      <c r="R30" s="1775">
        <v>0</v>
      </c>
      <c r="S30" s="612"/>
      <c r="T30" s="2810"/>
      <c r="U30" s="2810"/>
      <c r="V30" s="1776">
        <f t="shared" si="2"/>
        <v>82.80000000000004</v>
      </c>
      <c r="W30" s="1407"/>
      <c r="X30" s="1776">
        <f t="shared" si="3"/>
        <v>522</v>
      </c>
      <c r="Y30" s="2811"/>
      <c r="Z30" s="2812"/>
      <c r="AA30" s="1407"/>
      <c r="AB30" s="1773">
        <v>103.4</v>
      </c>
      <c r="AC30" s="612"/>
      <c r="AD30" s="1776">
        <f>'Cashflow Governmental'!AE34</f>
        <v>547.1</v>
      </c>
      <c r="AE30" s="1789"/>
      <c r="AF30" s="3499"/>
      <c r="AG30" s="2811"/>
      <c r="AH30" s="1776">
        <f t="shared" si="4"/>
        <v>-25.1</v>
      </c>
      <c r="AI30" s="2833"/>
      <c r="AJ30" s="1495">
        <f t="shared" si="5"/>
        <v>-4.5999999999999999E-2</v>
      </c>
      <c r="AK30" s="1495"/>
      <c r="AL30" s="2780"/>
    </row>
    <row r="31" spans="1:38" ht="18" customHeight="1">
      <c r="A31" s="2798" t="s">
        <v>1167</v>
      </c>
      <c r="B31" s="2798"/>
      <c r="C31" s="2798"/>
      <c r="D31" s="612">
        <v>0</v>
      </c>
      <c r="E31" s="612"/>
      <c r="F31" s="612">
        <v>0</v>
      </c>
      <c r="G31" s="612"/>
      <c r="H31" s="612">
        <f>'Exhibit G'!N23</f>
        <v>0.99999999999999956</v>
      </c>
      <c r="I31" s="1776"/>
      <c r="J31" s="612">
        <f>'Exhibit G'!AD23</f>
        <v>6.7</v>
      </c>
      <c r="K31" s="612"/>
      <c r="L31" s="1774">
        <v>0</v>
      </c>
      <c r="M31" s="1776"/>
      <c r="N31" s="1775">
        <v>0</v>
      </c>
      <c r="O31" s="612"/>
      <c r="P31" s="1774">
        <v>0</v>
      </c>
      <c r="Q31" s="1776"/>
      <c r="R31" s="1775">
        <v>0</v>
      </c>
      <c r="S31" s="612"/>
      <c r="T31" s="2810"/>
      <c r="U31" s="2810"/>
      <c r="V31" s="1776">
        <f>SUM(D31)+SUM(H31)+SUM(L31)+SUM(P31)</f>
        <v>0.99999999999999956</v>
      </c>
      <c r="W31" s="1407"/>
      <c r="X31" s="1776">
        <f>SUM(F31)+SUM(J31)+SUM(N31)+SUM(R31)</f>
        <v>6.7</v>
      </c>
      <c r="Y31" s="2811"/>
      <c r="Z31" s="2812"/>
      <c r="AA31" s="1407"/>
      <c r="AB31" s="1773">
        <v>0.70000000000000007</v>
      </c>
      <c r="AC31" s="612"/>
      <c r="AD31" s="1776">
        <f>'Cashflow Governmental'!AE35</f>
        <v>3.9</v>
      </c>
      <c r="AE31" s="1789"/>
      <c r="AF31" s="3499"/>
      <c r="AG31" s="2811"/>
      <c r="AH31" s="1776">
        <f>ROUND(SUM(X31)-SUM(AD31),1)</f>
        <v>2.8</v>
      </c>
      <c r="AI31" s="2833"/>
      <c r="AJ31" s="1424">
        <f>ROUND(IF(AD31=0,0,AH31/(AD31)),3)</f>
        <v>0.71799999999999997</v>
      </c>
      <c r="AK31" s="1495"/>
      <c r="AL31" s="2780"/>
    </row>
    <row r="32" spans="1:38" ht="18" customHeight="1">
      <c r="A32" s="2798" t="s">
        <v>826</v>
      </c>
      <c r="B32" s="2798"/>
      <c r="C32" s="2798"/>
      <c r="D32" s="612">
        <f>'Exhibit F'!N31</f>
        <v>0</v>
      </c>
      <c r="E32" s="1776"/>
      <c r="F32" s="612">
        <f>'Exhibit F'!AC31</f>
        <v>0</v>
      </c>
      <c r="G32" s="612"/>
      <c r="H32" s="612">
        <f>'Exhibit G'!N24</f>
        <v>10.200000000000003</v>
      </c>
      <c r="I32" s="1776"/>
      <c r="J32" s="612">
        <f>'Exhibit G'!AD24</f>
        <v>55.1</v>
      </c>
      <c r="K32" s="612"/>
      <c r="L32" s="1774">
        <v>0</v>
      </c>
      <c r="M32" s="1776"/>
      <c r="N32" s="1775">
        <v>0</v>
      </c>
      <c r="O32" s="612"/>
      <c r="P32" s="612">
        <f>'Exhibit I'!O21</f>
        <v>37.600000000000009</v>
      </c>
      <c r="Q32" s="1776"/>
      <c r="R32" s="612">
        <f>'Exhibit I'!AF21</f>
        <v>204.3</v>
      </c>
      <c r="S32" s="612"/>
      <c r="T32" s="2810"/>
      <c r="U32" s="2810"/>
      <c r="V32" s="1776">
        <f t="shared" si="2"/>
        <v>47.800000000000011</v>
      </c>
      <c r="W32" s="1407"/>
      <c r="X32" s="1776">
        <f t="shared" si="3"/>
        <v>259.40000000000003</v>
      </c>
      <c r="Y32" s="612"/>
      <c r="Z32" s="2812"/>
      <c r="AA32" s="1407"/>
      <c r="AB32" s="1773">
        <v>41.6</v>
      </c>
      <c r="AC32" s="612"/>
      <c r="AD32" s="1776">
        <f>'Cashflow Governmental'!AE36</f>
        <v>207</v>
      </c>
      <c r="AE32" s="1776"/>
      <c r="AF32" s="3499"/>
      <c r="AG32" s="612"/>
      <c r="AH32" s="1776">
        <f t="shared" si="4"/>
        <v>52.4</v>
      </c>
      <c r="AI32" s="2241"/>
      <c r="AJ32" s="1495">
        <f t="shared" si="5"/>
        <v>0.253</v>
      </c>
      <c r="AK32" s="1495"/>
      <c r="AL32" s="2780"/>
    </row>
    <row r="33" spans="1:38" ht="18" customHeight="1">
      <c r="A33" s="2798" t="s">
        <v>827</v>
      </c>
      <c r="B33" s="2798"/>
      <c r="C33" s="2798"/>
      <c r="D33" s="612">
        <f>'Exhibit F'!N32</f>
        <v>25.299999999999983</v>
      </c>
      <c r="E33" s="612"/>
      <c r="F33" s="612">
        <f>'Exhibit F'!AC32</f>
        <v>144.19999999999999</v>
      </c>
      <c r="G33" s="612"/>
      <c r="H33" s="612">
        <f>'Exhibit G'!N25</f>
        <v>0</v>
      </c>
      <c r="I33" s="1776"/>
      <c r="J33" s="612">
        <f>'Exhibit G'!AD25</f>
        <v>0</v>
      </c>
      <c r="K33" s="612"/>
      <c r="L33" s="1774">
        <v>0</v>
      </c>
      <c r="M33" s="1776"/>
      <c r="N33" s="1775">
        <v>0</v>
      </c>
      <c r="O33" s="612"/>
      <c r="P33" s="1774">
        <v>0</v>
      </c>
      <c r="Q33" s="1776"/>
      <c r="R33" s="1775">
        <v>0</v>
      </c>
      <c r="S33" s="612"/>
      <c r="T33" s="2810"/>
      <c r="U33" s="2810"/>
      <c r="V33" s="1776">
        <f t="shared" si="2"/>
        <v>25.299999999999983</v>
      </c>
      <c r="W33" s="1407"/>
      <c r="X33" s="1776">
        <f t="shared" si="3"/>
        <v>144.19999999999999</v>
      </c>
      <c r="Y33" s="2811"/>
      <c r="Z33" s="2812"/>
      <c r="AA33" s="1407"/>
      <c r="AB33" s="1773">
        <v>23.3</v>
      </c>
      <c r="AC33" s="612"/>
      <c r="AD33" s="1776">
        <f>'Cashflow Governmental'!AE37</f>
        <v>143.30000000000001</v>
      </c>
      <c r="AE33" s="1776"/>
      <c r="AF33" s="3499"/>
      <c r="AG33" s="2811"/>
      <c r="AH33" s="1776">
        <f t="shared" si="4"/>
        <v>0.9</v>
      </c>
      <c r="AI33" s="2833"/>
      <c r="AJ33" s="1495">
        <f t="shared" si="5"/>
        <v>6.0000000000000001E-3</v>
      </c>
      <c r="AK33" s="1495"/>
      <c r="AL33" s="2780"/>
    </row>
    <row r="34" spans="1:38" ht="18" customHeight="1">
      <c r="A34" s="2798" t="s">
        <v>828</v>
      </c>
      <c r="B34" s="2798"/>
      <c r="C34" s="2798"/>
      <c r="D34" s="612">
        <f>'Exhibit F'!N33</f>
        <v>0</v>
      </c>
      <c r="E34" s="1776"/>
      <c r="F34" s="612">
        <f>'Exhibit F'!AC33</f>
        <v>0</v>
      </c>
      <c r="G34" s="612"/>
      <c r="H34" s="612">
        <f>'Exhibit G'!N26</f>
        <v>9.9999999999999978E-2</v>
      </c>
      <c r="I34" s="1776"/>
      <c r="J34" s="612">
        <f>'Exhibit G'!AD26</f>
        <v>0.3</v>
      </c>
      <c r="K34" s="612"/>
      <c r="L34" s="1774">
        <v>0</v>
      </c>
      <c r="M34" s="1776"/>
      <c r="N34" s="1775">
        <v>0</v>
      </c>
      <c r="O34" s="612"/>
      <c r="P34" s="612">
        <f>'Exhibit I'!O22</f>
        <v>10.599999999999994</v>
      </c>
      <c r="Q34" s="1776"/>
      <c r="R34" s="612">
        <f>'Exhibit I'!AF22</f>
        <v>72.599999999999994</v>
      </c>
      <c r="S34" s="612"/>
      <c r="T34" s="2810"/>
      <c r="U34" s="2810"/>
      <c r="V34" s="1776">
        <f>SUM(D34)+SUM(H34)+SUM(L34)+SUM(P34)</f>
        <v>10.699999999999994</v>
      </c>
      <c r="W34" s="1407"/>
      <c r="X34" s="1776">
        <f t="shared" si="3"/>
        <v>72.899999999999991</v>
      </c>
      <c r="Y34" s="2811"/>
      <c r="Z34" s="2812"/>
      <c r="AA34" s="1407"/>
      <c r="AB34" s="1773">
        <v>12.7</v>
      </c>
      <c r="AC34" s="612"/>
      <c r="AD34" s="1776">
        <f>'Cashflow Governmental'!AE38</f>
        <v>68.3</v>
      </c>
      <c r="AE34" s="1789"/>
      <c r="AF34" s="3499"/>
      <c r="AG34" s="2811"/>
      <c r="AH34" s="1775">
        <f t="shared" si="4"/>
        <v>4.5999999999999996</v>
      </c>
      <c r="AI34" s="2834"/>
      <c r="AJ34" s="1495">
        <f>ROUND(AH34/AD34,3)</f>
        <v>6.7000000000000004E-2</v>
      </c>
      <c r="AK34" s="1495"/>
      <c r="AL34" s="2780"/>
    </row>
    <row r="35" spans="1:38" ht="18" customHeight="1">
      <c r="A35" s="2798" t="s">
        <v>1352</v>
      </c>
      <c r="B35" s="2798"/>
      <c r="C35" s="2798"/>
      <c r="D35" s="612">
        <f>'Exhibit F'!N34</f>
        <v>0</v>
      </c>
      <c r="E35" s="1776"/>
      <c r="F35" s="612">
        <f>'Exhibit F'!AC34</f>
        <v>0</v>
      </c>
      <c r="G35" s="612"/>
      <c r="H35" s="612">
        <f>'Exhibit G'!N27</f>
        <v>7.8000000000000016</v>
      </c>
      <c r="I35" s="1776"/>
      <c r="J35" s="612">
        <f>'Exhibit G'!AD27</f>
        <v>14.8</v>
      </c>
      <c r="K35" s="612"/>
      <c r="L35" s="1774">
        <v>0</v>
      </c>
      <c r="M35" s="1776"/>
      <c r="N35" s="1775">
        <v>0</v>
      </c>
      <c r="O35" s="612"/>
      <c r="P35" s="612">
        <v>0</v>
      </c>
      <c r="Q35" s="1776"/>
      <c r="R35" s="612">
        <v>0</v>
      </c>
      <c r="S35" s="612"/>
      <c r="T35" s="2810"/>
      <c r="U35" s="2810"/>
      <c r="V35" s="1776">
        <f>SUM(D35)+SUM(H35)+SUM(L35)+SUM(P35)</f>
        <v>7.8000000000000016</v>
      </c>
      <c r="W35" s="1407"/>
      <c r="X35" s="1776">
        <f>SUM(F35)+SUM(J35)+SUM(N35)+SUM(R35)</f>
        <v>14.8</v>
      </c>
      <c r="Y35" s="2811"/>
      <c r="Z35" s="2812"/>
      <c r="AA35" s="1407"/>
      <c r="AB35" s="1773">
        <v>7.4</v>
      </c>
      <c r="AC35" s="612"/>
      <c r="AD35" s="1776">
        <f>'Cashflow Governmental'!AE39</f>
        <v>18.7</v>
      </c>
      <c r="AE35" s="1789"/>
      <c r="AF35" s="3499"/>
      <c r="AG35" s="2811"/>
      <c r="AH35" s="1775">
        <f>ROUND(SUM(X35)-SUM(AD35),1)</f>
        <v>-3.9</v>
      </c>
      <c r="AI35" s="2834"/>
      <c r="AJ35" s="1424">
        <f>ROUND(IF(AD35=0,1,AH35/(AD35)),3)</f>
        <v>-0.20899999999999999</v>
      </c>
      <c r="AK35" s="1495"/>
      <c r="AL35" s="2780"/>
    </row>
    <row r="36" spans="1:38" ht="18" customHeight="1">
      <c r="A36" s="2798" t="s">
        <v>1353</v>
      </c>
      <c r="B36" s="2798"/>
      <c r="C36" s="2798"/>
      <c r="D36" s="612">
        <f>'Exhibit F'!N35</f>
        <v>0</v>
      </c>
      <c r="E36" s="1776"/>
      <c r="F36" s="612">
        <f>'Exhibit F'!AC35</f>
        <v>14.3</v>
      </c>
      <c r="G36" s="612"/>
      <c r="H36" s="612">
        <v>0</v>
      </c>
      <c r="I36" s="1776"/>
      <c r="J36" s="612">
        <v>0</v>
      </c>
      <c r="K36" s="612"/>
      <c r="L36" s="1774">
        <v>0</v>
      </c>
      <c r="M36" s="1776"/>
      <c r="N36" s="1775">
        <v>0</v>
      </c>
      <c r="O36" s="612"/>
      <c r="P36" s="612">
        <v>0</v>
      </c>
      <c r="Q36" s="1776"/>
      <c r="R36" s="612">
        <v>0</v>
      </c>
      <c r="S36" s="612"/>
      <c r="T36" s="2810"/>
      <c r="U36" s="2810"/>
      <c r="V36" s="1776">
        <f>SUM(D36)+SUM(H36)+SUM(L36)+SUM(P36)</f>
        <v>0</v>
      </c>
      <c r="W36" s="1407"/>
      <c r="X36" s="1776">
        <f t="shared" ref="X36" si="6">SUM(F36)+SUM(J36)+SUM(N36)+SUM(R36)</f>
        <v>14.3</v>
      </c>
      <c r="Y36" s="2811"/>
      <c r="Z36" s="2812"/>
      <c r="AA36" s="1407"/>
      <c r="AB36" s="1773">
        <v>0.3</v>
      </c>
      <c r="AC36" s="612"/>
      <c r="AD36" s="1776">
        <f>'Cashflow Governmental'!AE40</f>
        <v>16.399999999999999</v>
      </c>
      <c r="AE36" s="1789"/>
      <c r="AF36" s="3499"/>
      <c r="AG36" s="2811"/>
      <c r="AH36" s="1775">
        <f t="shared" ref="AH36" si="7">ROUND(SUM(X36)-SUM(AD36),1)</f>
        <v>-2.1</v>
      </c>
      <c r="AI36" s="2834"/>
      <c r="AJ36" s="1424">
        <f>ROUND(IF(AD36=0,1,AH36/(AD36)),3)</f>
        <v>-0.128</v>
      </c>
      <c r="AK36" s="1495"/>
      <c r="AL36" s="2780"/>
    </row>
    <row r="37" spans="1:38" ht="18" customHeight="1">
      <c r="A37" s="2797" t="s">
        <v>829</v>
      </c>
      <c r="B37" s="2798"/>
      <c r="C37" s="2798"/>
      <c r="D37" s="1496">
        <f>ROUND(SUM(D28:D36),1)</f>
        <v>460</v>
      </c>
      <c r="E37" s="2263"/>
      <c r="F37" s="1786">
        <f>ROUND(SUM(F28:F36),1)</f>
        <v>2353.1999999999998</v>
      </c>
      <c r="G37" s="20"/>
      <c r="H37" s="1786">
        <f>ROUND(SUM(H28:H36),1)</f>
        <v>191.9</v>
      </c>
      <c r="I37" s="1464"/>
      <c r="J37" s="1786">
        <f>ROUND(SUM(J28:J36),1)</f>
        <v>1024.5999999999999</v>
      </c>
      <c r="K37" s="20"/>
      <c r="L37" s="1786">
        <f>ROUND(SUM(L28:L36),1)</f>
        <v>1222.7</v>
      </c>
      <c r="M37" s="1464"/>
      <c r="N37" s="1786">
        <f>ROUND(SUM(N28:N36),1)</f>
        <v>6120.1</v>
      </c>
      <c r="O37" s="20"/>
      <c r="P37" s="1786">
        <f>ROUND(SUM(P28:P36),1)</f>
        <v>74.5</v>
      </c>
      <c r="Q37" s="1464"/>
      <c r="R37" s="1786">
        <f>ROUND(SUM(R28:R36),1)</f>
        <v>322.8</v>
      </c>
      <c r="S37" s="20"/>
      <c r="T37" s="2816"/>
      <c r="U37" s="2816"/>
      <c r="V37" s="1786">
        <f>ROUND(SUM(V28:V36),1)</f>
        <v>1949.1</v>
      </c>
      <c r="W37" s="1464"/>
      <c r="X37" s="1786">
        <f>ROUND(SUM(X28:X36),1)</f>
        <v>9820.7000000000007</v>
      </c>
      <c r="Y37" s="3741"/>
      <c r="Z37" s="2289"/>
      <c r="AA37" s="1464"/>
      <c r="AB37" s="1786">
        <f>ROUND(SUM(AB28:AB36),1)</f>
        <v>1744.1</v>
      </c>
      <c r="AC37" s="20"/>
      <c r="AD37" s="1786">
        <f>ROUND(SUM(AD28:AD36),1)</f>
        <v>7725.2</v>
      </c>
      <c r="AE37" s="1464"/>
      <c r="AF37" s="3500"/>
      <c r="AG37" s="1464"/>
      <c r="AH37" s="1818">
        <f t="shared" si="4"/>
        <v>2095.5</v>
      </c>
      <c r="AI37" s="2235"/>
      <c r="AJ37" s="1497">
        <f t="shared" si="5"/>
        <v>0.27100000000000002</v>
      </c>
      <c r="AK37" s="2835"/>
      <c r="AL37" s="2836"/>
    </row>
    <row r="38" spans="1:38" ht="18" customHeight="1">
      <c r="A38" s="2798"/>
      <c r="B38" s="2798"/>
      <c r="C38" s="2798"/>
      <c r="D38" s="1498"/>
      <c r="E38" s="609"/>
      <c r="F38" s="1787"/>
      <c r="G38" s="612"/>
      <c r="H38" s="1787"/>
      <c r="I38" s="1407"/>
      <c r="J38" s="1787"/>
      <c r="K38" s="612"/>
      <c r="L38" s="1787"/>
      <c r="M38" s="1407"/>
      <c r="N38" s="1787"/>
      <c r="O38" s="612"/>
      <c r="P38" s="1787"/>
      <c r="Q38" s="1407"/>
      <c r="R38" s="1787"/>
      <c r="S38" s="612"/>
      <c r="T38" s="2810"/>
      <c r="U38" s="2810"/>
      <c r="V38" s="1787"/>
      <c r="W38" s="1407"/>
      <c r="X38" s="1787"/>
      <c r="Y38" s="1407"/>
      <c r="Z38" s="2812"/>
      <c r="AA38" s="1407"/>
      <c r="AB38" s="1787"/>
      <c r="AC38" s="612"/>
      <c r="AD38" s="1787"/>
      <c r="AE38" s="1407"/>
      <c r="AF38" s="3499"/>
      <c r="AG38" s="1407"/>
      <c r="AH38" s="1407"/>
      <c r="AI38" s="606"/>
      <c r="AJ38" s="2827"/>
      <c r="AK38" s="2828"/>
      <c r="AL38" s="2780"/>
    </row>
    <row r="39" spans="1:38" ht="18" customHeight="1">
      <c r="A39" s="2797" t="s">
        <v>1085</v>
      </c>
      <c r="B39" s="2798"/>
      <c r="C39" s="2798"/>
      <c r="D39" s="608"/>
      <c r="E39" s="608"/>
      <c r="F39" s="612"/>
      <c r="G39" s="612"/>
      <c r="H39" s="612"/>
      <c r="I39" s="612"/>
      <c r="J39" s="612"/>
      <c r="K39" s="612"/>
      <c r="L39" s="612"/>
      <c r="M39" s="612"/>
      <c r="N39" s="612"/>
      <c r="O39" s="612"/>
      <c r="P39" s="612"/>
      <c r="Q39" s="612"/>
      <c r="R39" s="612"/>
      <c r="S39" s="612"/>
      <c r="T39" s="2810"/>
      <c r="U39" s="2810"/>
      <c r="V39" s="1407"/>
      <c r="W39" s="1407"/>
      <c r="X39" s="612"/>
      <c r="Y39" s="612"/>
      <c r="Z39" s="2812"/>
      <c r="AA39" s="1407"/>
      <c r="AB39" s="3454"/>
      <c r="AC39" s="612"/>
      <c r="AD39" s="3454"/>
      <c r="AE39" s="612"/>
      <c r="AF39" s="3499"/>
      <c r="AG39" s="612"/>
      <c r="AH39" s="612"/>
      <c r="AI39" s="2241"/>
      <c r="AJ39" s="1495"/>
      <c r="AK39" s="2828"/>
      <c r="AL39" s="2780"/>
    </row>
    <row r="40" spans="1:38" ht="18" customHeight="1">
      <c r="A40" s="2798" t="s">
        <v>830</v>
      </c>
      <c r="B40" s="2798"/>
      <c r="C40" s="2798"/>
      <c r="D40" s="612">
        <f>'Exhibit F'!N38</f>
        <v>1216.3999999999999</v>
      </c>
      <c r="E40" s="612"/>
      <c r="F40" s="612">
        <f>'Exhibit F'!AC38</f>
        <v>3317.7</v>
      </c>
      <c r="G40" s="612"/>
      <c r="H40" s="612">
        <f>'Exhibit G'!N30</f>
        <v>260.7</v>
      </c>
      <c r="I40" s="612"/>
      <c r="J40" s="612">
        <f>'Exhibit G'!AD30</f>
        <v>788.4</v>
      </c>
      <c r="K40" s="612"/>
      <c r="L40" s="1774">
        <v>0</v>
      </c>
      <c r="M40" s="1776"/>
      <c r="N40" s="1775">
        <v>0</v>
      </c>
      <c r="O40" s="612"/>
      <c r="P40" s="1774">
        <f>'Exhibit I'!O25</f>
        <v>0</v>
      </c>
      <c r="Q40" s="1776"/>
      <c r="R40" s="1774">
        <f>'Exhibit I'!AF25</f>
        <v>0</v>
      </c>
      <c r="S40" s="612"/>
      <c r="T40" s="2810"/>
      <c r="U40" s="2810"/>
      <c r="V40" s="1776">
        <f>SUM(D40)+SUM(H40)+SUM(L40)+SUM(P40)</f>
        <v>1477.1</v>
      </c>
      <c r="W40" s="1407"/>
      <c r="X40" s="1776">
        <f>SUM(F40)+SUM(J40)+SUM(N40)+SUM(R40)</f>
        <v>4106.0999999999995</v>
      </c>
      <c r="Y40" s="612"/>
      <c r="Z40" s="2812"/>
      <c r="AA40" s="1407"/>
      <c r="AB40" s="1773">
        <v>1000.7</v>
      </c>
      <c r="AC40" s="612"/>
      <c r="AD40" s="1789">
        <f>'Cashflow Governmental'!AE43</f>
        <v>2270.8000000000002</v>
      </c>
      <c r="AE40" s="1776"/>
      <c r="AF40" s="3499"/>
      <c r="AG40" s="612"/>
      <c r="AH40" s="1776">
        <f t="shared" ref="AH40:AH45" si="8">ROUND(SUM(X40)-SUM(AD40),1)</f>
        <v>1835.3</v>
      </c>
      <c r="AI40" s="2833"/>
      <c r="AJ40" s="1495">
        <f t="shared" ref="AJ40:AJ45" si="9">ROUND(AH40/AD40,3)</f>
        <v>0.80800000000000005</v>
      </c>
      <c r="AK40" s="1495"/>
      <c r="AL40" s="2780"/>
    </row>
    <row r="41" spans="1:38" ht="18" customHeight="1">
      <c r="A41" s="2798" t="s">
        <v>831</v>
      </c>
      <c r="B41" s="2798"/>
      <c r="C41" s="2798"/>
      <c r="D41" s="612">
        <f>'Exhibit F'!N39</f>
        <v>84.1</v>
      </c>
      <c r="E41" s="612"/>
      <c r="F41" s="612">
        <f>'Exhibit F'!AC39</f>
        <v>177.7</v>
      </c>
      <c r="G41" s="612"/>
      <c r="H41" s="612">
        <f>'Exhibit G'!N31</f>
        <v>18.899999999999999</v>
      </c>
      <c r="I41" s="612"/>
      <c r="J41" s="1790">
        <f>'Exhibit G'!AD31</f>
        <v>49</v>
      </c>
      <c r="K41" s="612"/>
      <c r="L41" s="1774">
        <v>0</v>
      </c>
      <c r="M41" s="1776"/>
      <c r="N41" s="1775">
        <v>0</v>
      </c>
      <c r="O41" s="612"/>
      <c r="P41" s="612">
        <f>'Exhibit I'!O26</f>
        <v>1.1999999999999997</v>
      </c>
      <c r="Q41" s="1776"/>
      <c r="R41" s="612">
        <f>'Exhibit I'!AF26</f>
        <v>4.0999999999999996</v>
      </c>
      <c r="S41" s="612"/>
      <c r="T41" s="2810"/>
      <c r="U41" s="2810"/>
      <c r="V41" s="1776">
        <f>SUM(D41)+SUM(H41)+SUM(L41)+SUM(P41)</f>
        <v>104.2</v>
      </c>
      <c r="W41" s="1407"/>
      <c r="X41" s="1776">
        <f>SUM(F41)+SUM(J41)+SUM(N41)+SUM(R41)</f>
        <v>230.79999999999998</v>
      </c>
      <c r="Y41" s="612"/>
      <c r="Z41" s="2812"/>
      <c r="AA41" s="1407"/>
      <c r="AB41" s="1773">
        <v>106.3</v>
      </c>
      <c r="AC41" s="612"/>
      <c r="AD41" s="1789">
        <f>'Cashflow Governmental'!AE44</f>
        <v>241.4</v>
      </c>
      <c r="AE41" s="1776"/>
      <c r="AF41" s="3499"/>
      <c r="AG41" s="612"/>
      <c r="AH41" s="1776">
        <f t="shared" si="8"/>
        <v>-10.6</v>
      </c>
      <c r="AI41" s="2833"/>
      <c r="AJ41" s="3870">
        <f t="shared" si="9"/>
        <v>-4.3999999999999997E-2</v>
      </c>
      <c r="AK41" s="1495"/>
      <c r="AL41" s="2780"/>
    </row>
    <row r="42" spans="1:38" ht="18" customHeight="1">
      <c r="A42" s="2798" t="s">
        <v>832</v>
      </c>
      <c r="B42" s="2798"/>
      <c r="C42" s="2798"/>
      <c r="D42" s="612">
        <f>'Exhibit F'!N40</f>
        <v>403.50000000000011</v>
      </c>
      <c r="E42" s="612"/>
      <c r="F42" s="612">
        <f>'Exhibit F'!AC40</f>
        <v>921.1</v>
      </c>
      <c r="G42" s="612"/>
      <c r="H42" s="612">
        <f>'Exhibit G'!N32</f>
        <v>50.099999999999994</v>
      </c>
      <c r="I42" s="612"/>
      <c r="J42" s="612">
        <f>'Exhibit G'!AD32</f>
        <v>95.9</v>
      </c>
      <c r="K42" s="612"/>
      <c r="L42" s="1774">
        <v>0</v>
      </c>
      <c r="M42" s="1776"/>
      <c r="N42" s="1775">
        <v>0</v>
      </c>
      <c r="O42" s="612"/>
      <c r="P42" s="1774">
        <v>0</v>
      </c>
      <c r="Q42" s="1776"/>
      <c r="R42" s="1774">
        <v>0</v>
      </c>
      <c r="S42" s="612"/>
      <c r="T42" s="2810"/>
      <c r="U42" s="2810"/>
      <c r="V42" s="1776">
        <f>SUM(D42)+SUM(H42)+SUM(L42)+SUM(P42)</f>
        <v>453.60000000000014</v>
      </c>
      <c r="W42" s="1407"/>
      <c r="X42" s="1776">
        <f>SUM(F42)+SUM(J42)+SUM(N42)+SUM(R42)</f>
        <v>1017</v>
      </c>
      <c r="Y42" s="612"/>
      <c r="Z42" s="2812"/>
      <c r="AA42" s="1407"/>
      <c r="AB42" s="1773">
        <v>391.7</v>
      </c>
      <c r="AC42" s="612"/>
      <c r="AD42" s="1789">
        <f>'Cashflow Governmental'!AE45</f>
        <v>881.7</v>
      </c>
      <c r="AE42" s="1776"/>
      <c r="AF42" s="3499"/>
      <c r="AG42" s="612"/>
      <c r="AH42" s="1776">
        <f t="shared" si="8"/>
        <v>135.30000000000001</v>
      </c>
      <c r="AI42" s="2833"/>
      <c r="AJ42" s="1495">
        <f>ROUND(AH42/AD42,3)</f>
        <v>0.153</v>
      </c>
      <c r="AK42" s="1495"/>
      <c r="AL42" s="2780"/>
    </row>
    <row r="43" spans="1:38" ht="18" customHeight="1">
      <c r="A43" s="2798" t="s">
        <v>833</v>
      </c>
      <c r="B43" s="2798"/>
      <c r="C43" s="2798"/>
      <c r="D43" s="612">
        <f>'Exhibit F'!N41</f>
        <v>3.8999999999999986</v>
      </c>
      <c r="E43" s="612"/>
      <c r="F43" s="612">
        <f>'Exhibit F'!AC41</f>
        <v>7.7</v>
      </c>
      <c r="G43" s="612"/>
      <c r="H43" s="612">
        <f>'Exhibit G'!N33</f>
        <v>-4.5999999999999996</v>
      </c>
      <c r="I43" s="612"/>
      <c r="J43" s="612">
        <f>'Exhibit G'!AD33</f>
        <v>-0.8</v>
      </c>
      <c r="K43" s="612"/>
      <c r="L43" s="1774">
        <v>0</v>
      </c>
      <c r="M43" s="1776"/>
      <c r="N43" s="1775">
        <v>0</v>
      </c>
      <c r="O43" s="612"/>
      <c r="P43" s="1774">
        <v>0</v>
      </c>
      <c r="Q43" s="1776"/>
      <c r="R43" s="1774">
        <v>0</v>
      </c>
      <c r="S43" s="612"/>
      <c r="T43" s="2810"/>
      <c r="U43" s="2810"/>
      <c r="V43" s="1776">
        <f>SUM(D43)+SUM(H43)+SUM(L43)+SUM(P43)</f>
        <v>-0.70000000000000107</v>
      </c>
      <c r="W43" s="1407"/>
      <c r="X43" s="1776">
        <f>SUM(F43)+SUM(J43)+SUM(N43)+SUM(R43)</f>
        <v>6.9</v>
      </c>
      <c r="Y43" s="612"/>
      <c r="Z43" s="2812"/>
      <c r="AA43" s="1407"/>
      <c r="AB43" s="1773">
        <v>15.3</v>
      </c>
      <c r="AC43" s="612"/>
      <c r="AD43" s="1789">
        <f>'Cashflow Governmental'!AE46</f>
        <v>164.3</v>
      </c>
      <c r="AE43" s="1776"/>
      <c r="AF43" s="3499"/>
      <c r="AG43" s="612"/>
      <c r="AH43" s="1776">
        <f t="shared" si="8"/>
        <v>-157.4</v>
      </c>
      <c r="AI43" s="2833"/>
      <c r="AJ43" s="3833">
        <f>ROUND(AH43/AD43,3)</f>
        <v>-0.95799999999999996</v>
      </c>
      <c r="AK43" s="1495"/>
      <c r="AL43" s="2780"/>
    </row>
    <row r="44" spans="1:38" ht="18" customHeight="1">
      <c r="A44" s="2798" t="s">
        <v>834</v>
      </c>
      <c r="B44" s="2798"/>
      <c r="C44" s="2798"/>
      <c r="D44" s="612">
        <f>'Exhibit F'!N42</f>
        <v>0</v>
      </c>
      <c r="E44" s="1776"/>
      <c r="F44" s="612">
        <f>'Exhibit F'!AC42</f>
        <v>0</v>
      </c>
      <c r="G44" s="612"/>
      <c r="H44" s="612">
        <f>'Exhibit G'!N34</f>
        <v>33.799999999999997</v>
      </c>
      <c r="I44" s="1776"/>
      <c r="J44" s="612">
        <f>'Exhibit G'!AD34</f>
        <v>230.8</v>
      </c>
      <c r="K44" s="612"/>
      <c r="L44" s="1774">
        <v>0</v>
      </c>
      <c r="M44" s="1776"/>
      <c r="N44" s="1775">
        <v>0</v>
      </c>
      <c r="O44" s="612"/>
      <c r="P44" s="612">
        <f>'Exhibit I'!O27</f>
        <v>43.699999999999989</v>
      </c>
      <c r="Q44" s="1776"/>
      <c r="R44" s="612">
        <f>'Exhibit I'!AF27</f>
        <v>293.2</v>
      </c>
      <c r="S44" s="612"/>
      <c r="T44" s="2810"/>
      <c r="U44" s="2810"/>
      <c r="V44" s="1776">
        <f>SUM(D44)+SUM(H44)+SUM(L44)+SUM(P44)</f>
        <v>77.499999999999986</v>
      </c>
      <c r="W44" s="1407"/>
      <c r="X44" s="1776">
        <f>SUM(F44)+SUM(J44)+SUM(N44)+SUM(R44)</f>
        <v>524</v>
      </c>
      <c r="Y44" s="612"/>
      <c r="Z44" s="2812"/>
      <c r="AA44" s="1407"/>
      <c r="AB44" s="1773">
        <v>98.4</v>
      </c>
      <c r="AC44" s="612"/>
      <c r="AD44" s="1789">
        <f>'Cashflow Governmental'!AE47</f>
        <v>467.1</v>
      </c>
      <c r="AE44" s="1776"/>
      <c r="AF44" s="3499"/>
      <c r="AG44" s="612"/>
      <c r="AH44" s="1776">
        <f t="shared" si="8"/>
        <v>56.9</v>
      </c>
      <c r="AI44" s="2834"/>
      <c r="AJ44" s="1495">
        <f t="shared" si="9"/>
        <v>0.122</v>
      </c>
      <c r="AK44" s="1495"/>
      <c r="AL44" s="2780"/>
    </row>
    <row r="45" spans="1:38" ht="18" customHeight="1">
      <c r="A45" s="2797" t="s">
        <v>829</v>
      </c>
      <c r="B45" s="2798"/>
      <c r="C45" s="2798"/>
      <c r="D45" s="1496">
        <f>ROUND(SUM(D40:D44),1)</f>
        <v>1707.9</v>
      </c>
      <c r="E45" s="2263"/>
      <c r="F45" s="1786">
        <f>ROUND(SUM(F40:F44),1)</f>
        <v>4424.2</v>
      </c>
      <c r="G45" s="20"/>
      <c r="H45" s="1786">
        <f>ROUND(SUM(H40:H44),1)</f>
        <v>358.9</v>
      </c>
      <c r="I45" s="1464"/>
      <c r="J45" s="1786">
        <f>ROUND(SUM(J40:J44),1)</f>
        <v>1163.3</v>
      </c>
      <c r="K45" s="20"/>
      <c r="L45" s="1788">
        <f>ROUND(SUM(L40:L44),1)</f>
        <v>0</v>
      </c>
      <c r="M45" s="2815"/>
      <c r="N45" s="1788">
        <f>ROUND(SUM(N40:N44),1)</f>
        <v>0</v>
      </c>
      <c r="O45" s="20"/>
      <c r="P45" s="1786">
        <f>ROUND(SUM(P40:P44),1)</f>
        <v>44.9</v>
      </c>
      <c r="Q45" s="1464"/>
      <c r="R45" s="1786">
        <f>ROUND(SUM(R40:R44),1)</f>
        <v>297.3</v>
      </c>
      <c r="S45" s="20"/>
      <c r="T45" s="2816"/>
      <c r="U45" s="2816"/>
      <c r="V45" s="1786">
        <f>ROUND(SUM(V40:V44),1)</f>
        <v>2111.6999999999998</v>
      </c>
      <c r="W45" s="1464"/>
      <c r="X45" s="1786">
        <f>ROUND(SUM(X40:X44),1)</f>
        <v>5884.8</v>
      </c>
      <c r="Y45" s="3741"/>
      <c r="Z45" s="2289"/>
      <c r="AA45" s="1464"/>
      <c r="AB45" s="1786">
        <f>ROUND(SUM(AB40:AB44),1)</f>
        <v>1612.4</v>
      </c>
      <c r="AC45" s="20"/>
      <c r="AD45" s="1786">
        <f>ROUND(SUM(AD40:AD44),1)</f>
        <v>4025.3</v>
      </c>
      <c r="AE45" s="1464"/>
      <c r="AF45" s="3500"/>
      <c r="AG45" s="1464"/>
      <c r="AH45" s="3345">
        <f t="shared" si="8"/>
        <v>1859.5</v>
      </c>
      <c r="AI45" s="2235"/>
      <c r="AJ45" s="1497">
        <f t="shared" si="9"/>
        <v>0.46200000000000002</v>
      </c>
      <c r="AK45" s="2835"/>
      <c r="AL45" s="2836"/>
    </row>
    <row r="46" spans="1:38" ht="18" customHeight="1">
      <c r="A46" s="2798"/>
      <c r="B46" s="2798"/>
      <c r="C46" s="2798"/>
      <c r="D46" s="1498"/>
      <c r="E46" s="609"/>
      <c r="F46" s="1787"/>
      <c r="G46" s="612"/>
      <c r="H46" s="1787"/>
      <c r="I46" s="1407"/>
      <c r="J46" s="1787"/>
      <c r="K46" s="612"/>
      <c r="L46" s="1787"/>
      <c r="M46" s="1407"/>
      <c r="N46" s="1787"/>
      <c r="O46" s="612"/>
      <c r="P46" s="1787"/>
      <c r="Q46" s="1407"/>
      <c r="R46" s="1787"/>
      <c r="S46" s="612"/>
      <c r="T46" s="2810"/>
      <c r="U46" s="2810"/>
      <c r="V46" s="1787"/>
      <c r="W46" s="1407"/>
      <c r="X46" s="1787"/>
      <c r="Y46" s="1407"/>
      <c r="Z46" s="2812"/>
      <c r="AA46" s="1407"/>
      <c r="AB46" s="1787"/>
      <c r="AC46" s="612"/>
      <c r="AD46" s="1787"/>
      <c r="AE46" s="1407"/>
      <c r="AF46" s="3499"/>
      <c r="AG46" s="1407"/>
      <c r="AH46" s="1407"/>
      <c r="AI46" s="606"/>
      <c r="AJ46" s="2827"/>
      <c r="AK46" s="2828"/>
      <c r="AL46" s="2780"/>
    </row>
    <row r="47" spans="1:38" ht="18" customHeight="1">
      <c r="A47" s="2829" t="s">
        <v>1086</v>
      </c>
      <c r="B47" s="2798"/>
      <c r="C47" s="2798"/>
      <c r="D47" s="608"/>
      <c r="E47" s="608"/>
      <c r="F47" s="612"/>
      <c r="G47" s="612"/>
      <c r="H47" s="612" t="s">
        <v>14</v>
      </c>
      <c r="I47" s="612"/>
      <c r="J47" s="612"/>
      <c r="K47" s="612"/>
      <c r="L47" s="612"/>
      <c r="M47" s="612"/>
      <c r="N47" s="612"/>
      <c r="O47" s="612"/>
      <c r="P47" s="612"/>
      <c r="Q47" s="612"/>
      <c r="R47" s="612"/>
      <c r="S47" s="612"/>
      <c r="T47" s="2810"/>
      <c r="U47" s="2810"/>
      <c r="V47" s="1407"/>
      <c r="W47" s="1407"/>
      <c r="X47" s="612"/>
      <c r="Y47" s="612"/>
      <c r="Z47" s="2812"/>
      <c r="AA47" s="1407"/>
      <c r="AB47" s="1407"/>
      <c r="AC47" s="612"/>
      <c r="AD47" s="612"/>
      <c r="AE47" s="612"/>
      <c r="AF47" s="3499"/>
      <c r="AG47" s="612"/>
      <c r="AH47" s="612"/>
      <c r="AI47" s="2241"/>
      <c r="AJ47" s="1495"/>
      <c r="AK47" s="2828"/>
      <c r="AL47" s="2780"/>
    </row>
    <row r="48" spans="1:38" ht="18" customHeight="1">
      <c r="A48" s="2798" t="s">
        <v>835</v>
      </c>
      <c r="B48" s="2798"/>
      <c r="C48" s="2798"/>
      <c r="D48" s="1774">
        <f>'Exhibit F'!N45</f>
        <v>0</v>
      </c>
      <c r="E48" s="612"/>
      <c r="F48" s="612">
        <f>'Exhibit F'!AC45</f>
        <v>0</v>
      </c>
      <c r="G48" s="612"/>
      <c r="H48" s="1774">
        <v>0</v>
      </c>
      <c r="I48" s="1776"/>
      <c r="J48" s="1775">
        <v>0</v>
      </c>
      <c r="K48" s="612"/>
      <c r="L48" s="1775">
        <v>0</v>
      </c>
      <c r="M48" s="1775"/>
      <c r="N48" s="1775">
        <v>0</v>
      </c>
      <c r="O48" s="612"/>
      <c r="P48" s="1774">
        <v>0</v>
      </c>
      <c r="Q48" s="1776"/>
      <c r="R48" s="1775">
        <v>0</v>
      </c>
      <c r="S48" s="612"/>
      <c r="T48" s="2810"/>
      <c r="U48" s="2810"/>
      <c r="V48" s="1775">
        <f t="shared" ref="V48:V52" si="10">SUM(D48)+SUM(H48)+SUM(L48)+SUM(P48)</f>
        <v>0</v>
      </c>
      <c r="W48" s="1407"/>
      <c r="X48" s="1776">
        <f t="shared" ref="X48:X52" si="11">SUM(F48)+SUM(J48)+SUM(N48)+SUM(R48)</f>
        <v>0</v>
      </c>
      <c r="Y48" s="2811"/>
      <c r="Z48" s="2812"/>
      <c r="AA48" s="1407"/>
      <c r="AB48" s="1773">
        <v>0</v>
      </c>
      <c r="AC48" s="612"/>
      <c r="AD48" s="1789">
        <f>'Cashflow Governmental'!AE50</f>
        <v>0</v>
      </c>
      <c r="AE48" s="1776"/>
      <c r="AF48" s="3499"/>
      <c r="AG48" s="2811"/>
      <c r="AH48" s="1776">
        <f t="shared" ref="AH48:AH54" si="12">ROUND(SUM(X48)-SUM(AD48),1)</f>
        <v>0</v>
      </c>
      <c r="AI48" s="2833"/>
      <c r="AJ48" s="1424">
        <f>ROUND(IF(AD48=0,0,-AH48/(AD48)),3)</f>
        <v>0</v>
      </c>
      <c r="AK48" s="1495"/>
      <c r="AL48" s="2780"/>
    </row>
    <row r="49" spans="1:38" ht="18" customHeight="1">
      <c r="A49" s="2798" t="s">
        <v>836</v>
      </c>
      <c r="B49" s="2798"/>
      <c r="C49" s="2798"/>
      <c r="D49" s="1774">
        <f>'Exhibit F'!N46</f>
        <v>108.70000000000012</v>
      </c>
      <c r="E49" s="612"/>
      <c r="F49" s="612">
        <f>'Exhibit F'!AC46</f>
        <v>658.1</v>
      </c>
      <c r="G49" s="612"/>
      <c r="H49" s="1774">
        <v>0</v>
      </c>
      <c r="I49" s="1776"/>
      <c r="J49" s="1775">
        <v>0</v>
      </c>
      <c r="K49" s="612"/>
      <c r="L49" s="1775">
        <v>0</v>
      </c>
      <c r="M49" s="1775"/>
      <c r="N49" s="1775">
        <v>0</v>
      </c>
      <c r="O49" s="612"/>
      <c r="P49" s="1774">
        <v>0</v>
      </c>
      <c r="Q49" s="1776"/>
      <c r="R49" s="1775">
        <v>0</v>
      </c>
      <c r="S49" s="612"/>
      <c r="T49" s="2810"/>
      <c r="U49" s="2810"/>
      <c r="V49" s="1776">
        <f t="shared" si="10"/>
        <v>108.70000000000012</v>
      </c>
      <c r="W49" s="1407"/>
      <c r="X49" s="1776">
        <f t="shared" si="11"/>
        <v>658.1</v>
      </c>
      <c r="Y49" s="2811"/>
      <c r="Z49" s="2812"/>
      <c r="AA49" s="1407"/>
      <c r="AB49" s="1773">
        <v>91.3</v>
      </c>
      <c r="AC49" s="612"/>
      <c r="AD49" s="1789">
        <f>'Cashflow Governmental'!AE51</f>
        <v>566.79999999999995</v>
      </c>
      <c r="AE49" s="1789"/>
      <c r="AF49" s="3499"/>
      <c r="AG49" s="2811"/>
      <c r="AH49" s="1776">
        <f t="shared" si="12"/>
        <v>91.3</v>
      </c>
      <c r="AI49" s="2833"/>
      <c r="AJ49" s="1495">
        <f>ROUND(AH49/AD49,3)</f>
        <v>0.161</v>
      </c>
      <c r="AK49" s="1495"/>
      <c r="AL49" s="2780"/>
    </row>
    <row r="50" spans="1:38" ht="18" customHeight="1">
      <c r="A50" s="2798" t="s">
        <v>837</v>
      </c>
      <c r="B50" s="2798"/>
      <c r="C50" s="2798"/>
      <c r="D50" s="1774">
        <f>'Exhibit F'!N47</f>
        <v>1.7000000000000004</v>
      </c>
      <c r="E50" s="612"/>
      <c r="F50" s="612">
        <f>'Exhibit F'!AC47</f>
        <v>8.4</v>
      </c>
      <c r="G50" s="612"/>
      <c r="H50" s="1774">
        <v>0</v>
      </c>
      <c r="I50" s="1776"/>
      <c r="J50" s="1775">
        <v>0</v>
      </c>
      <c r="K50" s="612"/>
      <c r="L50" s="1775">
        <v>0</v>
      </c>
      <c r="M50" s="1775"/>
      <c r="N50" s="1775">
        <v>0</v>
      </c>
      <c r="O50" s="612"/>
      <c r="P50" s="1774">
        <v>0</v>
      </c>
      <c r="Q50" s="1776"/>
      <c r="R50" s="1775">
        <v>0</v>
      </c>
      <c r="S50" s="612"/>
      <c r="T50" s="2810"/>
      <c r="U50" s="2810"/>
      <c r="V50" s="1776">
        <f t="shared" si="10"/>
        <v>1.7000000000000004</v>
      </c>
      <c r="W50" s="1407"/>
      <c r="X50" s="1776">
        <f t="shared" si="11"/>
        <v>8.4</v>
      </c>
      <c r="Y50" s="2811"/>
      <c r="Z50" s="2812"/>
      <c r="AA50" s="1407"/>
      <c r="AB50" s="1773">
        <v>0.7</v>
      </c>
      <c r="AC50" s="612"/>
      <c r="AD50" s="1789">
        <f>'Cashflow Governmental'!AE52</f>
        <v>4.8</v>
      </c>
      <c r="AE50" s="1789"/>
      <c r="AF50" s="3499"/>
      <c r="AG50" s="2811"/>
      <c r="AH50" s="1776">
        <f t="shared" si="12"/>
        <v>3.6</v>
      </c>
      <c r="AI50" s="2833"/>
      <c r="AJ50" s="1495">
        <f>ROUND(AH50/AD50,3)</f>
        <v>0.75</v>
      </c>
      <c r="AK50" s="1495"/>
      <c r="AL50" s="2780"/>
    </row>
    <row r="51" spans="1:38" ht="18" customHeight="1">
      <c r="A51" s="2798" t="s">
        <v>838</v>
      </c>
      <c r="B51" s="2798"/>
      <c r="C51" s="2798"/>
      <c r="D51" s="1774">
        <f>'Exhibit F'!N48</f>
        <v>0</v>
      </c>
      <c r="E51" s="1776"/>
      <c r="F51" s="612">
        <f>'Exhibit F'!AC48</f>
        <v>0</v>
      </c>
      <c r="G51" s="612"/>
      <c r="H51" s="1774">
        <v>0</v>
      </c>
      <c r="I51" s="1776"/>
      <c r="J51" s="1775">
        <v>0</v>
      </c>
      <c r="K51" s="612"/>
      <c r="L51" s="1776">
        <f>'Exhibit H'!L22</f>
        <v>133.29999999999998</v>
      </c>
      <c r="M51" s="1776"/>
      <c r="N51" s="1776">
        <f>'Exhibit H'!AA22</f>
        <v>727.8</v>
      </c>
      <c r="O51" s="612"/>
      <c r="P51" s="1773">
        <f>'Exhibit I'!O30</f>
        <v>12.000000000000002</v>
      </c>
      <c r="Q51" s="1776"/>
      <c r="R51" s="1789">
        <f>'Exhibit I'!AF30</f>
        <v>47.7</v>
      </c>
      <c r="S51" s="612"/>
      <c r="T51" s="2810"/>
      <c r="U51" s="2810"/>
      <c r="V51" s="1776">
        <f t="shared" si="10"/>
        <v>145.29999999999998</v>
      </c>
      <c r="W51" s="1407"/>
      <c r="X51" s="1776">
        <f t="shared" si="11"/>
        <v>775.5</v>
      </c>
      <c r="Y51" s="2811"/>
      <c r="Z51" s="2812"/>
      <c r="AA51" s="1407"/>
      <c r="AB51" s="1773">
        <v>82.199999999999989</v>
      </c>
      <c r="AC51" s="612"/>
      <c r="AD51" s="1789">
        <f>'Cashflow Governmental'!AE53</f>
        <v>370.8</v>
      </c>
      <c r="AE51" s="1776"/>
      <c r="AF51" s="3499"/>
      <c r="AG51" s="2811"/>
      <c r="AH51" s="1776">
        <f t="shared" si="12"/>
        <v>404.7</v>
      </c>
      <c r="AI51" s="2837"/>
      <c r="AJ51" s="1495">
        <f>ROUND(AH51/AD51,3)</f>
        <v>1.091</v>
      </c>
      <c r="AK51" s="1495"/>
      <c r="AL51" s="2780"/>
    </row>
    <row r="52" spans="1:38" ht="18" customHeight="1">
      <c r="A52" s="2798" t="s">
        <v>839</v>
      </c>
      <c r="B52" s="2798"/>
      <c r="C52" s="2798"/>
      <c r="D52" s="1774">
        <f>'Exhibit F'!N49</f>
        <v>0.19999999999999998</v>
      </c>
      <c r="E52" s="1407"/>
      <c r="F52" s="612">
        <f>'Exhibit F'!AC49</f>
        <v>0.3</v>
      </c>
      <c r="G52" s="612"/>
      <c r="H52" s="1774">
        <v>0</v>
      </c>
      <c r="I52" s="1776"/>
      <c r="J52" s="1775">
        <v>0</v>
      </c>
      <c r="K52" s="612"/>
      <c r="L52" s="1775">
        <v>0</v>
      </c>
      <c r="M52" s="1775"/>
      <c r="N52" s="1775">
        <v>0</v>
      </c>
      <c r="O52" s="612"/>
      <c r="P52" s="1774">
        <v>0</v>
      </c>
      <c r="Q52" s="1776"/>
      <c r="R52" s="1775">
        <v>0</v>
      </c>
      <c r="S52" s="612"/>
      <c r="T52" s="2810"/>
      <c r="U52" s="2810"/>
      <c r="V52" s="1776">
        <f t="shared" si="10"/>
        <v>0.19999999999999998</v>
      </c>
      <c r="W52" s="1407"/>
      <c r="X52" s="1776">
        <f t="shared" si="11"/>
        <v>0.3</v>
      </c>
      <c r="Y52" s="2811"/>
      <c r="Z52" s="2812"/>
      <c r="AA52" s="1407"/>
      <c r="AB52" s="1773">
        <v>0</v>
      </c>
      <c r="AC52" s="612"/>
      <c r="AD52" s="1789">
        <f>'Cashflow Governmental'!AE54</f>
        <v>0.1</v>
      </c>
      <c r="AE52" s="1776"/>
      <c r="AF52" s="3499"/>
      <c r="AG52" s="2811"/>
      <c r="AH52" s="1776">
        <f t="shared" si="12"/>
        <v>0.2</v>
      </c>
      <c r="AI52" s="2837"/>
      <c r="AJ52" s="1424">
        <f>ROUND(IF(AD52=0,0,AH52/(AD52)),3)</f>
        <v>2</v>
      </c>
      <c r="AK52" s="1495"/>
      <c r="AL52" s="2780"/>
    </row>
    <row r="53" spans="1:38" ht="18" customHeight="1">
      <c r="A53" s="2741" t="s">
        <v>1285</v>
      </c>
      <c r="B53" s="2799"/>
      <c r="C53" s="2799"/>
      <c r="D53" s="1774">
        <f>'Exhibit F'!N50</f>
        <v>0.20000000000000007</v>
      </c>
      <c r="E53" s="1407"/>
      <c r="F53" s="612">
        <f>'Exhibit F'!AC50</f>
        <v>0.8</v>
      </c>
      <c r="G53" s="612"/>
      <c r="H53" s="612">
        <v>0</v>
      </c>
      <c r="I53" s="1776"/>
      <c r="J53" s="1776">
        <v>0</v>
      </c>
      <c r="K53" s="612"/>
      <c r="L53" s="1774">
        <f>'Exhibit H'!L23</f>
        <v>0.10000000000000009</v>
      </c>
      <c r="M53" s="1776"/>
      <c r="N53" s="1775">
        <f>'Exhibit H'!AA23</f>
        <v>0.8</v>
      </c>
      <c r="O53" s="612"/>
      <c r="P53" s="1774">
        <v>0</v>
      </c>
      <c r="Q53" s="1776"/>
      <c r="R53" s="1775">
        <v>0</v>
      </c>
      <c r="S53" s="612"/>
      <c r="T53" s="2810"/>
      <c r="U53" s="2810"/>
      <c r="V53" s="1776">
        <f t="shared" ref="V53" si="13">SUM(D53)+SUM(H53)+SUM(L53)+SUM(P53)</f>
        <v>0.30000000000000016</v>
      </c>
      <c r="W53" s="1407"/>
      <c r="X53" s="1776">
        <f t="shared" ref="X53" si="14">SUM(F53)+SUM(J53)+SUM(N53)+SUM(R53)</f>
        <v>1.6</v>
      </c>
      <c r="Y53" s="2811"/>
      <c r="Z53" s="2812"/>
      <c r="AA53" s="1407"/>
      <c r="AB53" s="1773">
        <v>0.2</v>
      </c>
      <c r="AC53" s="612"/>
      <c r="AD53" s="1789">
        <f>'Cashflow Governmental'!AE55</f>
        <v>0.8</v>
      </c>
      <c r="AE53" s="1776"/>
      <c r="AF53" s="3499"/>
      <c r="AG53" s="2811"/>
      <c r="AH53" s="1775">
        <f t="shared" ref="AH53" si="15">ROUND(SUM(X53)-SUM(AD53),1)</f>
        <v>0.8</v>
      </c>
      <c r="AI53" s="2837"/>
      <c r="AJ53" s="1424">
        <f>ROUND(IF(AD53=0,1,AH53/(AD53)),3)</f>
        <v>1</v>
      </c>
      <c r="AK53" s="1495"/>
      <c r="AL53" s="2780"/>
    </row>
    <row r="54" spans="1:38" ht="18" customHeight="1">
      <c r="A54" s="2797" t="s">
        <v>829</v>
      </c>
      <c r="B54" s="2798"/>
      <c r="C54" s="2798"/>
      <c r="D54" s="1496">
        <f>ROUND(SUM(D48:D53),1)</f>
        <v>110.8</v>
      </c>
      <c r="E54" s="2263"/>
      <c r="F54" s="1786">
        <f>ROUND(SUM(F48:F53),1)</f>
        <v>667.6</v>
      </c>
      <c r="G54" s="20"/>
      <c r="H54" s="2817">
        <f>ROUND(SUM(H48:H53),1)</f>
        <v>0</v>
      </c>
      <c r="I54" s="2815"/>
      <c r="J54" s="2817">
        <f>ROUND(SUM(J48:J53),1)</f>
        <v>0</v>
      </c>
      <c r="K54" s="20"/>
      <c r="L54" s="1786">
        <f>ROUND(SUM(L48:L53),1)</f>
        <v>133.4</v>
      </c>
      <c r="M54" s="1464"/>
      <c r="N54" s="1786">
        <f>ROUND(SUM(N48:N53),1)</f>
        <v>728.6</v>
      </c>
      <c r="O54" s="20" t="s">
        <v>14</v>
      </c>
      <c r="P54" s="1786">
        <f>ROUND(SUM(P48:P53),1)</f>
        <v>12</v>
      </c>
      <c r="Q54" s="1464"/>
      <c r="R54" s="1786">
        <f>ROUND(SUM(R48:R53),1)</f>
        <v>47.7</v>
      </c>
      <c r="S54" s="20"/>
      <c r="T54" s="2816"/>
      <c r="U54" s="2816"/>
      <c r="V54" s="2817">
        <f>ROUND(SUM(V48:V53),1)</f>
        <v>256.2</v>
      </c>
      <c r="W54" s="1464"/>
      <c r="X54" s="2817">
        <f>ROUND(SUM(X48:X53),1)</f>
        <v>1443.9</v>
      </c>
      <c r="Y54" s="2826"/>
      <c r="Z54" s="2289"/>
      <c r="AA54" s="1464"/>
      <c r="AB54" s="2817">
        <f>ROUND(SUM(AB48:AB53),1)</f>
        <v>174.4</v>
      </c>
      <c r="AC54" s="20"/>
      <c r="AD54" s="2817">
        <f>ROUND(SUM(AD48:AD53),1)</f>
        <v>943.3</v>
      </c>
      <c r="AE54" s="2815"/>
      <c r="AF54" s="3500"/>
      <c r="AG54" s="2818"/>
      <c r="AH54" s="1818">
        <f t="shared" si="12"/>
        <v>500.6</v>
      </c>
      <c r="AI54" s="2235"/>
      <c r="AJ54" s="1497">
        <f>ROUND(AH54/AD54,3)</f>
        <v>0.53100000000000003</v>
      </c>
      <c r="AK54" s="2835"/>
      <c r="AL54" s="2836"/>
    </row>
    <row r="55" spans="1:38" ht="18" customHeight="1">
      <c r="A55" s="2798"/>
      <c r="B55" s="2798"/>
      <c r="C55" s="2798"/>
      <c r="D55" s="1499"/>
      <c r="E55" s="2235"/>
      <c r="F55" s="3455"/>
      <c r="G55" s="3039"/>
      <c r="H55" s="3455"/>
      <c r="I55" s="2290"/>
      <c r="J55" s="3455"/>
      <c r="K55" s="3039"/>
      <c r="L55" s="3455"/>
      <c r="M55" s="2290"/>
      <c r="N55" s="3455"/>
      <c r="O55" s="3039"/>
      <c r="P55" s="3455"/>
      <c r="Q55" s="2290"/>
      <c r="R55" s="3455"/>
      <c r="S55" s="3039"/>
      <c r="T55" s="3742"/>
      <c r="U55" s="3742"/>
      <c r="V55" s="3455"/>
      <c r="W55" s="3337"/>
      <c r="X55" s="3455"/>
      <c r="Y55" s="2290"/>
      <c r="Z55" s="3743"/>
      <c r="AA55" s="3337"/>
      <c r="AB55" s="3455"/>
      <c r="AC55" s="3039"/>
      <c r="AD55" s="3455"/>
      <c r="AE55" s="2290"/>
      <c r="AF55" s="3501"/>
      <c r="AG55" s="2290"/>
      <c r="AH55" s="3346"/>
      <c r="AI55" s="2235"/>
      <c r="AJ55" s="1500"/>
      <c r="AK55" s="2836"/>
      <c r="AL55" s="2836"/>
    </row>
    <row r="56" spans="1:38" ht="18" customHeight="1" thickBot="1">
      <c r="A56" s="2797" t="s">
        <v>840</v>
      </c>
      <c r="B56" s="2798"/>
      <c r="C56" s="2798"/>
      <c r="D56" s="1501">
        <f>ROUND(SUM(D25)+SUM(D37)+SUM(D45)+SUM(D54),1)</f>
        <v>5503.6</v>
      </c>
      <c r="E56" s="2838"/>
      <c r="F56" s="3744">
        <f>ROUND(SUM(F25)+SUM(F37)+SUM(F45)+SUM(F54),1)</f>
        <v>25342.6</v>
      </c>
      <c r="G56" s="3745"/>
      <c r="H56" s="3744">
        <f>ROUND(SUM(H25)+SUM(H37)+SUM(H45)+SUM(H54),1)</f>
        <v>550.79999999999995</v>
      </c>
      <c r="I56" s="2297"/>
      <c r="J56" s="3744">
        <f>ROUND(SUM(J25)+SUM(J37)+SUM(J45)+SUM(J54),1)</f>
        <v>2187.9</v>
      </c>
      <c r="K56" s="2297"/>
      <c r="L56" s="3744">
        <f>ROUND(SUM(L25)+SUM(L37)+SUM(L45)+SUM(L54),1)</f>
        <v>4581</v>
      </c>
      <c r="M56" s="2297"/>
      <c r="N56" s="3744">
        <f>ROUND(SUM(N25)+SUM(N37)+SUM(N45)+SUM(N54),1)</f>
        <v>24746.3</v>
      </c>
      <c r="O56" s="2297"/>
      <c r="P56" s="3744">
        <f>ROUND(SUM(P25)+SUM(P37)+SUM(P45)+SUM(P54),1)</f>
        <v>131.4</v>
      </c>
      <c r="Q56" s="2297"/>
      <c r="R56" s="3744">
        <f>ROUND(SUM(R25)+SUM(R37)+SUM(R45)+SUM(R54),1)</f>
        <v>667.8</v>
      </c>
      <c r="S56" s="2295"/>
      <c r="T56" s="3746"/>
      <c r="U56" s="2297"/>
      <c r="V56" s="3456">
        <f>ROUND(SUM(V25)+SUM(V37)+SUM(V45)+SUM(V54),1)</f>
        <v>10766.8</v>
      </c>
      <c r="W56" s="2297"/>
      <c r="X56" s="3456">
        <f>ROUND(SUM(X25)+SUM(X37)+SUM(X45)+SUM(X54),1)</f>
        <v>52944.6</v>
      </c>
      <c r="Y56" s="3747"/>
      <c r="Z56" s="2298"/>
      <c r="AA56" s="2297"/>
      <c r="AB56" s="3456">
        <f>ROUND(SUM(AB25)+SUM(AB37)+SUM(AB45)+SUM(AB54),1)</f>
        <v>8802.2999999999993</v>
      </c>
      <c r="AC56" s="2297"/>
      <c r="AD56" s="3456">
        <f>ROUND(SUM(AD25)+SUM(AD37)+SUM(AD45)+SUM(AD54),1)</f>
        <v>39552.800000000003</v>
      </c>
      <c r="AE56" s="2297"/>
      <c r="AF56" s="3502"/>
      <c r="AG56" s="2297"/>
      <c r="AH56" s="22">
        <f>ROUND(SUM(X56)-SUM(AD56),1)</f>
        <v>13391.8</v>
      </c>
      <c r="AI56" s="2235"/>
      <c r="AJ56" s="1502">
        <f>ROUND(AH56/AD56,3)</f>
        <v>0.33900000000000002</v>
      </c>
      <c r="AK56" s="2835"/>
      <c r="AL56" s="2836"/>
    </row>
    <row r="57" spans="1:38" ht="15" customHeight="1" thickTop="1">
      <c r="F57" s="2807" t="s">
        <v>14</v>
      </c>
      <c r="G57" s="2807"/>
      <c r="H57" s="2807"/>
      <c r="I57" s="2807"/>
      <c r="J57" s="2807"/>
      <c r="K57" s="2807"/>
      <c r="L57" s="2807"/>
      <c r="M57" s="2807"/>
      <c r="N57" s="2807" t="s">
        <v>14</v>
      </c>
      <c r="O57" s="2807"/>
      <c r="P57" s="2807"/>
      <c r="Q57" s="2807"/>
      <c r="R57" s="2807" t="s">
        <v>14</v>
      </c>
      <c r="S57" s="2807"/>
      <c r="T57" s="2807"/>
      <c r="U57" s="2807"/>
      <c r="V57" s="2807"/>
      <c r="W57" s="2807"/>
      <c r="X57" s="2807"/>
      <c r="Y57" s="2807"/>
      <c r="Z57" s="2807"/>
      <c r="AA57" s="2807"/>
    </row>
    <row r="58" spans="1:38" ht="15" customHeight="1">
      <c r="F58" s="2807"/>
      <c r="G58" s="2807"/>
      <c r="H58" s="2807"/>
      <c r="I58" s="2807"/>
      <c r="J58" s="2807"/>
      <c r="K58" s="2807"/>
      <c r="L58" s="2807"/>
      <c r="M58" s="2807"/>
      <c r="N58" s="2807"/>
      <c r="O58" s="2807"/>
      <c r="P58" s="2807"/>
      <c r="Q58" s="2807"/>
      <c r="R58" s="2807"/>
      <c r="S58" s="2807"/>
      <c r="T58" s="2807"/>
      <c r="U58" s="2807"/>
      <c r="V58" s="2807"/>
      <c r="W58" s="2807"/>
      <c r="X58" s="2807"/>
      <c r="Y58" s="2807"/>
      <c r="Z58" s="2807"/>
      <c r="AA58" s="2807"/>
    </row>
    <row r="59" spans="1:38">
      <c r="F59" s="2807"/>
      <c r="G59" s="2807"/>
      <c r="H59" s="2807" t="s">
        <v>14</v>
      </c>
      <c r="I59" s="2807"/>
      <c r="J59" s="2807"/>
      <c r="K59" s="2807"/>
      <c r="L59" s="2807"/>
      <c r="M59" s="2807"/>
      <c r="N59" s="2807"/>
      <c r="O59" s="2807"/>
      <c r="P59" s="2807"/>
      <c r="Q59" s="2807"/>
      <c r="R59" s="2807"/>
      <c r="S59" s="2807"/>
      <c r="T59" s="2807"/>
      <c r="U59" s="2807"/>
      <c r="V59" s="2807" t="s">
        <v>14</v>
      </c>
      <c r="W59" s="2807"/>
      <c r="X59" s="2807"/>
      <c r="Y59" s="2807"/>
      <c r="Z59" s="2807"/>
      <c r="AA59" s="2807"/>
    </row>
    <row r="60" spans="1:38">
      <c r="F60" s="2807"/>
      <c r="G60" s="2807"/>
      <c r="H60" s="2807" t="s">
        <v>14</v>
      </c>
      <c r="I60" s="2807"/>
      <c r="J60" s="2807"/>
      <c r="K60" s="2807"/>
      <c r="L60" s="2807"/>
      <c r="M60" s="2807"/>
      <c r="N60" s="2807"/>
      <c r="O60" s="2807"/>
      <c r="P60" s="2807"/>
      <c r="Q60" s="2807"/>
      <c r="R60" s="2807"/>
      <c r="S60" s="2807"/>
      <c r="T60" s="2807"/>
      <c r="U60" s="2807"/>
      <c r="V60" s="2807"/>
      <c r="W60" s="2807"/>
      <c r="X60" s="2807"/>
      <c r="Y60" s="2807"/>
      <c r="Z60" s="2807"/>
      <c r="AA60" s="2807"/>
    </row>
    <row r="61" spans="1:38">
      <c r="F61" s="2807"/>
      <c r="G61" s="2807"/>
      <c r="H61" s="2807" t="s">
        <v>14</v>
      </c>
      <c r="I61" s="2807"/>
      <c r="J61" s="2807"/>
      <c r="K61" s="2807"/>
      <c r="L61" s="2807"/>
      <c r="M61" s="2807"/>
      <c r="N61" s="2807"/>
      <c r="O61" s="2807"/>
      <c r="P61" s="2807"/>
      <c r="Q61" s="2807"/>
      <c r="R61" s="2807"/>
      <c r="S61" s="2807"/>
      <c r="T61" s="2807"/>
      <c r="U61" s="2807"/>
      <c r="V61" s="2807"/>
      <c r="W61" s="2807"/>
      <c r="X61" s="2807"/>
      <c r="Y61" s="2807"/>
      <c r="Z61" s="2807"/>
      <c r="AA61" s="2807"/>
    </row>
    <row r="63" spans="1:38" ht="15" customHeight="1"/>
  </sheetData>
  <pageMargins left="0.4" right="0.25" top="0.5" bottom="0.40277777777777801" header="0" footer="0.25"/>
  <pageSetup scale="40" firstPageNumber="15" orientation="landscape" useFirstPageNumber="1" r:id="rId1"/>
  <headerFooter scaleWithDoc="0" alignWithMargins="0">
    <oddFooter>&amp;C&amp;8&amp;P</oddFooter>
  </headerFooter>
  <ignoredErrors>
    <ignoredError sqref="F37 R37 F45 AJ48 AJ22:AJ23" unlockedFormula="1"/>
    <ignoredError sqref="AH24 AJ19 AH19 V31 V21:X22 AJ21 V23" formula="1"/>
    <ignoredError sqref="AJ31 AJ52" formula="1" unlockedFormula="1"/>
    <ignoredError sqref="AC21 AB23:AD23 AC22:AD22 AB26:AD27 AC24:AD24 AB37:AD39 AB45:AD47 AC40:AD44 AB55:AD56 AC16:AD20 AC49:AD52 J43 H45:I45 K45:M45 O45:Q45 V43 X43 V45:X45 V55:X56 E52:R52 D56:E56 G56:Q56 D55:R55 E48:R50 E51:K51 M51:O51 Q51:R51 V48:X52 E54 G54 I54 K54 M54 O54 Q54 W54 AC54 AC28:AD34 AC48:AD48 AC25:AD25" evalError="1"/>
    <ignoredError sqref="R45 N45 J45 R56 F56"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autoPageBreaks="0"/>
  </sheetPr>
  <dimension ref="A1:BG160"/>
  <sheetViews>
    <sheetView showGridLines="0" zoomScale="80" zoomScaleNormal="50" workbookViewId="0"/>
  </sheetViews>
  <sheetFormatPr defaultColWidth="8.84375" defaultRowHeight="16.5" customHeight="1"/>
  <cols>
    <col min="1" max="1" width="43.84375" style="211" customWidth="1"/>
    <col min="2" max="2" width="1.84375" style="211" customWidth="1"/>
    <col min="3" max="3" width="13.4609375" style="211" customWidth="1"/>
    <col min="4" max="4" width="1.84375" style="211" customWidth="1"/>
    <col min="5" max="5" width="13.07421875" style="211" customWidth="1"/>
    <col min="6" max="6" width="1.84375" style="211" customWidth="1"/>
    <col min="7" max="7" width="15.07421875" style="211" customWidth="1"/>
    <col min="8" max="8" width="1.84375" style="211" customWidth="1"/>
    <col min="9" max="9" width="14.84375" style="211" customWidth="1"/>
    <col min="10" max="10" width="1.84375" style="211" customWidth="1"/>
    <col min="11" max="11" width="13.07421875" style="211" customWidth="1"/>
    <col min="12" max="12" width="1.84375" style="211" customWidth="1"/>
    <col min="13" max="13" width="13.07421875" style="211" customWidth="1"/>
    <col min="14" max="14" width="1.84375" style="211" customWidth="1"/>
    <col min="15" max="15" width="13.07421875" style="294" customWidth="1"/>
    <col min="16" max="16" width="1.84375" style="211" customWidth="1"/>
    <col min="17" max="17" width="13.4609375" style="294" customWidth="1"/>
    <col min="18" max="18" width="1.84375" style="211" customWidth="1"/>
    <col min="19" max="19" width="13.07421875" style="211" customWidth="1"/>
    <col min="20" max="20" width="1.84375" style="211" customWidth="1"/>
    <col min="21" max="21" width="13" style="211" customWidth="1"/>
    <col min="22" max="22" width="1.84375" style="211" customWidth="1"/>
    <col min="23" max="23" width="13.84375" style="211" customWidth="1"/>
    <col min="24" max="24" width="1.84375" style="211" customWidth="1"/>
    <col min="25" max="25" width="12.84375" style="211" customWidth="1"/>
    <col min="26" max="27" width="1.84375" style="211" customWidth="1"/>
    <col min="28" max="28" width="15.07421875" style="294" customWidth="1"/>
    <col min="29" max="30" width="1.84375" style="294" customWidth="1"/>
    <col min="31" max="31" width="17.4609375" style="294" customWidth="1"/>
    <col min="32" max="32" width="0.84375" style="294" customWidth="1"/>
    <col min="33" max="33" width="1.84375" style="294" customWidth="1"/>
    <col min="34" max="34" width="12.84375" style="294" bestFit="1" customWidth="1"/>
    <col min="35" max="35" width="1.07421875" style="294" customWidth="1"/>
    <col min="36" max="36" width="11.07421875" style="294" customWidth="1"/>
    <col min="37" max="37" width="8.84375" style="294"/>
    <col min="38" max="16384" width="8.84375" style="211"/>
  </cols>
  <sheetData>
    <row r="1" spans="1:37" ht="16.5" customHeight="1">
      <c r="A1" s="635" t="s">
        <v>882</v>
      </c>
    </row>
    <row r="2" spans="1:37" ht="16.5" customHeight="1">
      <c r="A2" s="813"/>
    </row>
    <row r="3" spans="1:37" ht="23.15" customHeight="1">
      <c r="A3" s="219" t="s">
        <v>0</v>
      </c>
      <c r="B3" s="222"/>
      <c r="C3" s="222"/>
      <c r="D3" s="222"/>
      <c r="E3" s="222"/>
      <c r="F3" s="222"/>
      <c r="G3" s="222"/>
      <c r="H3" s="222"/>
      <c r="I3" s="222"/>
      <c r="J3" s="222"/>
      <c r="K3" s="222"/>
      <c r="L3" s="222"/>
      <c r="M3" s="222"/>
      <c r="N3" s="222"/>
      <c r="O3" s="3087"/>
      <c r="P3" s="222"/>
      <c r="Q3" s="3087"/>
      <c r="R3" s="222"/>
      <c r="S3" s="222"/>
      <c r="T3" s="222"/>
      <c r="U3" s="222"/>
      <c r="V3" s="222"/>
      <c r="W3" s="222"/>
      <c r="X3" s="222"/>
      <c r="Y3" s="222"/>
      <c r="Z3" s="222"/>
      <c r="AA3" s="222"/>
      <c r="AB3" s="3087"/>
      <c r="AC3" s="3087"/>
      <c r="AD3" s="3087"/>
      <c r="AE3" s="3087"/>
      <c r="AF3" s="3087"/>
      <c r="AG3" s="3087"/>
      <c r="AI3" s="3087"/>
    </row>
    <row r="4" spans="1:37" ht="23.25" customHeight="1">
      <c r="A4" s="219" t="s">
        <v>121</v>
      </c>
      <c r="B4" s="222"/>
      <c r="C4" s="222"/>
      <c r="D4" s="222"/>
      <c r="E4" s="222"/>
      <c r="F4" s="222"/>
      <c r="G4" s="222"/>
      <c r="H4" s="222"/>
      <c r="I4" s="222" t="s">
        <v>14</v>
      </c>
      <c r="J4" s="222"/>
      <c r="K4" s="222"/>
      <c r="L4" s="222"/>
      <c r="M4" s="222"/>
      <c r="N4" s="222"/>
      <c r="O4" s="3087"/>
      <c r="P4" s="222"/>
      <c r="Q4" s="3087"/>
      <c r="R4" s="222"/>
      <c r="S4" s="222"/>
      <c r="T4" s="222"/>
      <c r="U4" s="222"/>
      <c r="V4" s="222"/>
      <c r="W4" s="222"/>
      <c r="X4" s="222"/>
      <c r="Y4" s="222" t="s">
        <v>14</v>
      </c>
      <c r="Z4" s="222"/>
      <c r="AA4" s="222"/>
      <c r="AB4" s="3087"/>
      <c r="AC4" s="3087"/>
      <c r="AD4" s="3087"/>
      <c r="AE4" s="3087"/>
      <c r="AF4" s="3087"/>
      <c r="AG4" s="3087"/>
      <c r="AI4" s="3087"/>
    </row>
    <row r="5" spans="1:37" ht="23.25" customHeight="1">
      <c r="A5" s="221" t="s">
        <v>122</v>
      </c>
      <c r="B5" s="222"/>
      <c r="C5" s="222"/>
      <c r="D5" s="222"/>
      <c r="E5" s="222"/>
      <c r="F5" s="222"/>
      <c r="G5" s="222"/>
      <c r="H5" s="222"/>
      <c r="I5" s="222"/>
      <c r="J5" s="222"/>
      <c r="K5" s="222"/>
      <c r="L5" s="222"/>
      <c r="M5" s="222"/>
      <c r="N5" s="222"/>
      <c r="O5" s="3087"/>
      <c r="P5" s="222"/>
      <c r="Q5" s="3087"/>
      <c r="R5" s="222"/>
      <c r="S5" s="222"/>
      <c r="T5" s="222"/>
      <c r="U5" s="222"/>
      <c r="V5" s="222"/>
      <c r="W5" s="222"/>
      <c r="X5" s="222"/>
      <c r="Y5" s="222"/>
      <c r="Z5" s="222"/>
      <c r="AA5" s="222"/>
      <c r="AC5" s="3960"/>
      <c r="AD5" s="3961"/>
      <c r="AE5" s="3961"/>
      <c r="AF5" s="3961"/>
      <c r="AG5" s="3961"/>
      <c r="AH5" s="3961"/>
      <c r="AI5" s="3961"/>
      <c r="AJ5" s="3961"/>
    </row>
    <row r="6" spans="1:37" ht="23.25" customHeight="1">
      <c r="A6" s="221" t="s">
        <v>1405</v>
      </c>
      <c r="B6" s="222"/>
      <c r="C6" s="222"/>
      <c r="D6" s="222"/>
      <c r="E6" s="222"/>
      <c r="F6" s="222"/>
      <c r="G6" s="222"/>
      <c r="H6" s="222"/>
      <c r="I6" s="222"/>
      <c r="J6" s="222"/>
      <c r="K6" s="222"/>
      <c r="L6" s="222"/>
      <c r="M6" s="222"/>
      <c r="N6" s="222"/>
      <c r="O6" s="3087"/>
      <c r="P6" s="222"/>
      <c r="Q6" s="3087"/>
      <c r="R6" s="222"/>
      <c r="S6" s="222"/>
      <c r="T6" s="222"/>
      <c r="U6" s="222"/>
      <c r="V6" s="222"/>
      <c r="W6" s="222"/>
      <c r="X6" s="222"/>
      <c r="Y6" s="222"/>
      <c r="Z6" s="222"/>
      <c r="AA6" s="222"/>
      <c r="AB6" s="3087"/>
      <c r="AC6" s="3087"/>
      <c r="AD6" s="3087"/>
      <c r="AE6" s="3087"/>
      <c r="AF6" s="3087"/>
      <c r="AG6" s="3087"/>
      <c r="AI6" s="3087"/>
    </row>
    <row r="7" spans="1:37" ht="23.25" customHeight="1">
      <c r="A7" s="219" t="s">
        <v>1277</v>
      </c>
      <c r="B7" s="222"/>
      <c r="C7" s="222"/>
      <c r="D7" s="222"/>
      <c r="E7" s="222"/>
      <c r="F7" s="222"/>
      <c r="G7" s="222"/>
      <c r="H7" s="222"/>
      <c r="I7" s="222"/>
      <c r="J7" s="222"/>
      <c r="K7" s="222"/>
      <c r="L7" s="222"/>
      <c r="M7" s="222"/>
      <c r="N7" s="222"/>
      <c r="O7" s="3087"/>
      <c r="P7" s="222"/>
      <c r="Q7" s="3087"/>
      <c r="R7" s="222"/>
      <c r="S7" s="222"/>
      <c r="T7" s="222"/>
      <c r="U7" s="222"/>
      <c r="V7" s="222"/>
      <c r="W7" s="222"/>
      <c r="X7" s="222"/>
      <c r="Y7" s="222"/>
      <c r="Z7" s="222"/>
      <c r="AA7" s="222"/>
      <c r="AB7" s="3087"/>
      <c r="AC7" s="3087"/>
      <c r="AD7" s="3087"/>
      <c r="AE7" s="3087"/>
      <c r="AF7" s="3087"/>
      <c r="AG7" s="3087"/>
      <c r="AI7" s="3087"/>
    </row>
    <row r="8" spans="1:37" ht="16.5" customHeight="1">
      <c r="A8" s="222"/>
      <c r="B8" s="222"/>
      <c r="C8" s="222"/>
      <c r="D8" s="222"/>
      <c r="E8" s="222"/>
      <c r="F8" s="222"/>
      <c r="G8" s="222"/>
      <c r="H8" s="222"/>
      <c r="I8" s="222"/>
      <c r="J8" s="222"/>
      <c r="K8" s="222"/>
      <c r="L8" s="222"/>
      <c r="M8" s="222"/>
      <c r="N8" s="222"/>
      <c r="O8" s="3087"/>
      <c r="P8" s="222"/>
      <c r="Q8" s="3087"/>
      <c r="R8" s="222"/>
      <c r="S8" s="222"/>
      <c r="T8" s="222"/>
      <c r="U8" s="222"/>
      <c r="V8" s="222"/>
      <c r="W8" s="222"/>
      <c r="X8" s="222"/>
      <c r="Y8" s="222"/>
      <c r="Z8" s="222"/>
      <c r="AA8" s="222"/>
      <c r="AB8" s="3087"/>
      <c r="AC8" s="3087"/>
      <c r="AD8" s="3087"/>
      <c r="AE8" s="3087"/>
      <c r="AF8" s="3087"/>
      <c r="AG8" s="3087"/>
      <c r="AI8" s="3087"/>
    </row>
    <row r="9" spans="1:37" ht="16.5" customHeight="1">
      <c r="A9" s="222"/>
      <c r="B9" s="222"/>
      <c r="C9" s="222"/>
      <c r="D9" s="222"/>
      <c r="E9" s="222"/>
      <c r="F9" s="222"/>
      <c r="G9" s="222"/>
      <c r="H9" s="222"/>
      <c r="I9" s="222"/>
      <c r="J9" s="222"/>
      <c r="K9" s="222"/>
      <c r="L9" s="222"/>
      <c r="M9" s="222"/>
      <c r="N9" s="222"/>
      <c r="O9" s="3087"/>
      <c r="P9" s="222"/>
      <c r="Q9" s="3087"/>
      <c r="R9" s="222"/>
      <c r="S9" s="222"/>
      <c r="T9" s="222"/>
      <c r="U9" s="222"/>
      <c r="V9" s="222"/>
      <c r="W9" s="222"/>
      <c r="X9" s="222"/>
      <c r="Y9" s="222"/>
      <c r="Z9" s="222"/>
      <c r="AA9" s="222"/>
      <c r="AB9" s="3087"/>
      <c r="AC9" s="3087"/>
      <c r="AD9" s="3087"/>
      <c r="AE9" s="3087"/>
      <c r="AF9" s="3087"/>
      <c r="AG9" s="3087"/>
      <c r="AI9" s="3087"/>
    </row>
    <row r="10" spans="1:37" ht="16.5" customHeight="1">
      <c r="A10" s="222"/>
      <c r="B10" s="222"/>
      <c r="C10" s="222"/>
      <c r="D10" s="222"/>
      <c r="E10" s="222"/>
      <c r="F10" s="222"/>
      <c r="G10" s="222"/>
      <c r="H10" s="222"/>
      <c r="I10" s="222"/>
      <c r="J10" s="222"/>
      <c r="K10" s="222"/>
      <c r="L10" s="222"/>
      <c r="M10" s="222"/>
      <c r="N10" s="222"/>
      <c r="O10" s="3087"/>
      <c r="P10" s="222"/>
      <c r="Q10" s="3087"/>
      <c r="R10" s="222"/>
      <c r="S10" s="222"/>
      <c r="T10" s="222"/>
      <c r="U10" s="222"/>
      <c r="V10" s="222"/>
      <c r="W10" s="222"/>
      <c r="X10" s="222"/>
      <c r="Y10" s="222"/>
      <c r="Z10" s="222"/>
      <c r="AA10" s="222"/>
      <c r="AB10" s="3087"/>
      <c r="AC10" s="3087"/>
      <c r="AD10" s="3087"/>
      <c r="AE10" s="3087"/>
      <c r="AF10" s="3087"/>
      <c r="AG10" s="3087"/>
      <c r="AI10" s="3087"/>
    </row>
    <row r="11" spans="1:37" ht="16.5" customHeight="1">
      <c r="A11" s="222"/>
      <c r="B11" s="222"/>
      <c r="C11" s="222"/>
      <c r="D11" s="222"/>
      <c r="E11" s="222"/>
      <c r="F11" s="222"/>
      <c r="G11" s="222"/>
      <c r="H11" s="222"/>
      <c r="I11" s="222"/>
      <c r="J11" s="222"/>
      <c r="K11" s="222"/>
      <c r="L11" s="222"/>
      <c r="M11" s="222"/>
      <c r="N11" s="222"/>
      <c r="O11" s="3087"/>
      <c r="P11" s="222"/>
      <c r="Q11" s="3087"/>
      <c r="R11" s="222"/>
      <c r="S11" s="222"/>
      <c r="T11" s="222"/>
      <c r="U11" s="222"/>
      <c r="V11" s="222"/>
      <c r="W11" s="222"/>
      <c r="X11" s="222"/>
      <c r="Y11" s="222"/>
      <c r="Z11" s="222"/>
      <c r="AA11" s="222"/>
      <c r="AC11" s="3087"/>
      <c r="AD11" s="3087"/>
      <c r="AE11" s="3087"/>
      <c r="AF11" s="3087"/>
      <c r="AG11" s="3087"/>
      <c r="AI11" s="3087"/>
    </row>
    <row r="12" spans="1:37" ht="16.5" customHeight="1">
      <c r="A12" s="222"/>
      <c r="B12" s="222"/>
      <c r="C12" s="222" t="s">
        <v>14</v>
      </c>
      <c r="D12" s="222" t="s">
        <v>14</v>
      </c>
      <c r="E12" s="222"/>
      <c r="F12" s="222"/>
      <c r="G12" s="222"/>
      <c r="H12" s="222"/>
      <c r="I12" s="222"/>
      <c r="J12" s="222"/>
      <c r="K12" s="222"/>
      <c r="L12" s="222"/>
      <c r="M12" s="222"/>
      <c r="N12" s="222"/>
      <c r="O12" s="3087"/>
      <c r="P12" s="222"/>
      <c r="Q12" s="3087"/>
      <c r="R12" s="222"/>
      <c r="S12" s="222"/>
      <c r="T12" s="222"/>
      <c r="U12" s="222"/>
      <c r="V12" s="222"/>
      <c r="W12" s="222"/>
      <c r="X12" s="222"/>
      <c r="Z12" s="222"/>
      <c r="AA12" s="513"/>
      <c r="AB12" s="3962" t="s">
        <v>1563</v>
      </c>
      <c r="AC12" s="3963"/>
      <c r="AD12" s="3963"/>
      <c r="AE12" s="3963"/>
      <c r="AF12" s="3963"/>
      <c r="AG12" s="3963"/>
      <c r="AH12" s="3963"/>
      <c r="AI12" s="3963"/>
      <c r="AJ12" s="3963"/>
    </row>
    <row r="13" spans="1:37" ht="16.5" customHeight="1">
      <c r="A13" s="222"/>
      <c r="B13" s="222"/>
      <c r="C13" s="1531" t="s">
        <v>1406</v>
      </c>
      <c r="D13" s="511"/>
      <c r="E13" s="511"/>
      <c r="F13" s="511"/>
      <c r="G13" s="511"/>
      <c r="H13" s="511"/>
      <c r="I13" s="511"/>
      <c r="J13" s="511"/>
      <c r="K13" s="511"/>
      <c r="L13" s="511"/>
      <c r="M13" s="511"/>
      <c r="N13" s="511"/>
      <c r="O13" s="3088"/>
      <c r="P13" s="511"/>
      <c r="Q13" s="3088"/>
      <c r="R13" s="511"/>
      <c r="S13" s="511"/>
      <c r="T13" s="511"/>
      <c r="U13" s="1531">
        <v>2022</v>
      </c>
      <c r="V13" s="511"/>
      <c r="W13" s="511"/>
      <c r="X13" s="511"/>
      <c r="Y13" s="511"/>
      <c r="Z13" s="511"/>
      <c r="AA13" s="511"/>
      <c r="AB13" s="3088"/>
      <c r="AC13" s="3089"/>
      <c r="AD13" s="3089"/>
      <c r="AE13" s="3089"/>
      <c r="AF13" s="3088"/>
      <c r="AG13" s="3088"/>
      <c r="AH13" s="3282" t="s">
        <v>7</v>
      </c>
      <c r="AI13" s="3283"/>
      <c r="AJ13" s="3282" t="s">
        <v>8</v>
      </c>
    </row>
    <row r="14" spans="1:37" ht="16.5" customHeight="1">
      <c r="A14" s="222"/>
      <c r="B14" s="222"/>
      <c r="C14" s="734" t="s">
        <v>123</v>
      </c>
      <c r="D14" s="511"/>
      <c r="E14" s="734" t="s">
        <v>124</v>
      </c>
      <c r="F14" s="511"/>
      <c r="G14" s="734" t="s">
        <v>125</v>
      </c>
      <c r="H14" s="511"/>
      <c r="I14" s="734" t="s">
        <v>126</v>
      </c>
      <c r="J14" s="511"/>
      <c r="K14" s="734" t="s">
        <v>127</v>
      </c>
      <c r="L14" s="511"/>
      <c r="M14" s="734" t="s">
        <v>128</v>
      </c>
      <c r="N14" s="511"/>
      <c r="O14" s="3282" t="s">
        <v>129</v>
      </c>
      <c r="P14" s="511"/>
      <c r="Q14" s="3282" t="s">
        <v>130</v>
      </c>
      <c r="R14" s="511"/>
      <c r="S14" s="734" t="s">
        <v>131</v>
      </c>
      <c r="T14" s="511"/>
      <c r="U14" s="734" t="s">
        <v>132</v>
      </c>
      <c r="V14" s="511"/>
      <c r="W14" s="734" t="s">
        <v>133</v>
      </c>
      <c r="X14" s="511"/>
      <c r="Y14" s="734" t="s">
        <v>134</v>
      </c>
      <c r="Z14" s="511"/>
      <c r="AA14" s="511"/>
      <c r="AB14" s="3090">
        <v>2021</v>
      </c>
      <c r="AC14" s="3088"/>
      <c r="AD14" s="3088"/>
      <c r="AE14" s="3090">
        <v>2020</v>
      </c>
      <c r="AF14" s="3088"/>
      <c r="AG14" s="3088"/>
      <c r="AH14" s="3284" t="s">
        <v>11</v>
      </c>
      <c r="AI14" s="3283"/>
      <c r="AJ14" s="3284" t="s">
        <v>12</v>
      </c>
    </row>
    <row r="15" spans="1:37" ht="6" customHeight="1">
      <c r="A15" s="222"/>
      <c r="B15" s="222"/>
      <c r="C15" s="514"/>
      <c r="D15" s="222"/>
      <c r="E15" s="514"/>
      <c r="F15" s="222"/>
      <c r="G15" s="514"/>
      <c r="H15" s="222"/>
      <c r="I15" s="514"/>
      <c r="J15" s="222"/>
      <c r="K15" s="514"/>
      <c r="L15" s="222"/>
      <c r="M15" s="514"/>
      <c r="N15" s="222"/>
      <c r="O15" s="3091" t="s">
        <v>14</v>
      </c>
      <c r="P15" s="222"/>
      <c r="Q15" s="3091"/>
      <c r="R15" s="222"/>
      <c r="S15" s="514"/>
      <c r="T15" s="222"/>
      <c r="U15" s="514" t="s">
        <v>14</v>
      </c>
      <c r="V15" s="222"/>
      <c r="W15" s="514"/>
      <c r="X15" s="222"/>
      <c r="Y15" s="514"/>
      <c r="Z15" s="222"/>
      <c r="AA15" s="222"/>
      <c r="AB15" s="3091"/>
      <c r="AC15" s="3087"/>
      <c r="AD15" s="3087"/>
      <c r="AE15" s="3091"/>
      <c r="AF15" s="3087"/>
      <c r="AG15" s="3087"/>
      <c r="AI15" s="3087"/>
    </row>
    <row r="16" spans="1:37" ht="16.5" customHeight="1">
      <c r="A16" s="512" t="s">
        <v>135</v>
      </c>
      <c r="B16" s="222"/>
      <c r="C16" s="1716">
        <f>'Exhibit F'!D12+'Exhibit G'!D13+'Exhibit H'!B12+'Exhibit I'!E15</f>
        <v>18751.099999999999</v>
      </c>
      <c r="D16" s="515"/>
      <c r="E16" s="515">
        <f>'Exhibit F'!F12+'Exhibit G'!F13+'Exhibit H'!D12+'Exhibit I'!G15</f>
        <v>24932.2</v>
      </c>
      <c r="F16" s="515"/>
      <c r="G16" s="515">
        <f>'Exhibit F'!H12+'Exhibit G'!H13+'Exhibit H'!F12+'Exhibit I'!I15</f>
        <v>39815.199999999997</v>
      </c>
      <c r="H16" s="515"/>
      <c r="I16" s="515">
        <f>'Exhibit F'!J12+'Exhibit G'!J13+'Exhibit H'!H12+'Exhibit I'!K15</f>
        <v>41256.400000000001</v>
      </c>
      <c r="J16" s="515"/>
      <c r="K16" s="515">
        <f>'Exhibit F'!L12+'Exhibit G'!L13+'Exhibit H'!J12+'Exhibit I'!M15</f>
        <v>41722</v>
      </c>
      <c r="L16" s="515"/>
      <c r="M16" s="515">
        <f>'Exhibit F'!N12+'Exhibit G'!N13+'Exhibit H'!L12+'Exhibit I'!O15</f>
        <v>41672.800000000003</v>
      </c>
      <c r="N16" s="515"/>
      <c r="O16" s="1716"/>
      <c r="P16" s="515"/>
      <c r="Q16" s="1716"/>
      <c r="R16" s="515"/>
      <c r="S16" s="515"/>
      <c r="T16" s="515"/>
      <c r="U16" s="515"/>
      <c r="V16" s="515"/>
      <c r="W16" s="515"/>
      <c r="X16" s="515"/>
      <c r="Y16" s="515"/>
      <c r="Z16" s="515"/>
      <c r="AA16" s="516"/>
      <c r="AB16" s="1716">
        <f>C16</f>
        <v>18751.099999999999</v>
      </c>
      <c r="AC16" s="1716"/>
      <c r="AD16" s="3285"/>
      <c r="AE16" s="1716">
        <f>'Exhibit F'!AF12+'Exhibit G'!AG13+'Exhibit H'!AD12+'Exhibit I'!AI15</f>
        <v>14284.800000000001</v>
      </c>
      <c r="AF16" s="1716"/>
      <c r="AG16" s="1716"/>
      <c r="AH16" s="1716">
        <f>ROUND(SUM(AB16-AE16),1)</f>
        <v>4466.3</v>
      </c>
      <c r="AI16" s="3088"/>
      <c r="AJ16" s="3286">
        <f>ROUND(SUM(AH16/AE16),3)</f>
        <v>0.313</v>
      </c>
      <c r="AK16" s="3287"/>
    </row>
    <row r="17" spans="1:36" ht="16.5" customHeight="1">
      <c r="A17" s="222"/>
      <c r="B17" s="222"/>
      <c r="C17" s="222" t="s">
        <v>14</v>
      </c>
      <c r="D17" s="222"/>
      <c r="E17" s="517"/>
      <c r="F17" s="222"/>
      <c r="G17" s="517"/>
      <c r="H17" s="222"/>
      <c r="I17" s="517"/>
      <c r="J17" s="222"/>
      <c r="K17" s="517"/>
      <c r="L17" s="222"/>
      <c r="M17" s="517"/>
      <c r="N17" s="222"/>
      <c r="O17" s="3291"/>
      <c r="P17" s="222"/>
      <c r="Q17" s="3291"/>
      <c r="R17" s="222"/>
      <c r="S17" s="517"/>
      <c r="T17" s="222"/>
      <c r="U17" s="517"/>
      <c r="V17" s="222"/>
      <c r="W17" s="517"/>
      <c r="X17" s="222"/>
      <c r="Y17" s="517"/>
      <c r="Z17" s="222"/>
      <c r="AA17" s="518"/>
      <c r="AB17" s="3087" t="s">
        <v>14</v>
      </c>
      <c r="AC17" s="3087"/>
      <c r="AD17" s="3288"/>
      <c r="AE17" s="3087" t="s">
        <v>14</v>
      </c>
      <c r="AF17" s="3087"/>
      <c r="AG17" s="3087"/>
      <c r="AH17" s="880"/>
      <c r="AI17" s="3087"/>
      <c r="AJ17" s="880"/>
    </row>
    <row r="18" spans="1:36" ht="16.5" customHeight="1">
      <c r="A18" s="204" t="s">
        <v>13</v>
      </c>
      <c r="B18" s="222"/>
      <c r="C18" s="222"/>
      <c r="D18" s="222"/>
      <c r="E18" s="517"/>
      <c r="F18" s="222"/>
      <c r="G18" s="517"/>
      <c r="H18" s="222"/>
      <c r="I18" s="517"/>
      <c r="J18" s="222"/>
      <c r="K18" s="517"/>
      <c r="L18" s="222"/>
      <c r="M18" s="517"/>
      <c r="N18" s="222"/>
      <c r="O18" s="3291"/>
      <c r="P18" s="222"/>
      <c r="Q18" s="3291"/>
      <c r="R18" s="222"/>
      <c r="S18" s="517"/>
      <c r="T18" s="222"/>
      <c r="U18" s="517"/>
      <c r="V18" s="222"/>
      <c r="W18" s="517"/>
      <c r="X18" s="222"/>
      <c r="Y18" s="517"/>
      <c r="Z18" s="222"/>
      <c r="AA18" s="518"/>
      <c r="AB18" s="3087"/>
      <c r="AC18" s="3087"/>
      <c r="AD18" s="3288"/>
      <c r="AE18" s="3087"/>
      <c r="AF18" s="3087"/>
      <c r="AG18" s="3087"/>
      <c r="AH18" s="880"/>
      <c r="AI18" s="3087"/>
      <c r="AJ18" s="880"/>
    </row>
    <row r="19" spans="1:36" ht="16.5" customHeight="1">
      <c r="A19" s="258" t="s">
        <v>994</v>
      </c>
      <c r="B19" s="222"/>
      <c r="C19" s="222"/>
      <c r="D19" s="222"/>
      <c r="E19" s="517"/>
      <c r="F19" s="222"/>
      <c r="G19" s="517"/>
      <c r="H19" s="222"/>
      <c r="I19" s="517"/>
      <c r="J19" s="222"/>
      <c r="K19" s="517"/>
      <c r="L19" s="222"/>
      <c r="M19" s="517"/>
      <c r="N19" s="222"/>
      <c r="O19" s="3291"/>
      <c r="P19" s="222"/>
      <c r="Q19" s="3291"/>
      <c r="R19" s="222"/>
      <c r="S19" s="517"/>
      <c r="T19" s="222"/>
      <c r="U19" s="517"/>
      <c r="V19" s="222"/>
      <c r="W19" s="517"/>
      <c r="X19" s="222"/>
      <c r="Y19" s="517"/>
      <c r="Z19" s="222"/>
      <c r="AA19" s="518"/>
      <c r="AB19" s="3087"/>
      <c r="AC19" s="3087"/>
      <c r="AD19" s="3288"/>
      <c r="AE19" s="3087"/>
      <c r="AF19" s="3087"/>
      <c r="AG19" s="3087"/>
      <c r="AH19" s="880"/>
      <c r="AI19" s="3087"/>
      <c r="AJ19" s="880"/>
    </row>
    <row r="20" spans="1:36" ht="16.5" customHeight="1">
      <c r="A20" s="1040" t="s">
        <v>1269</v>
      </c>
      <c r="B20" s="661"/>
      <c r="C20" s="605"/>
      <c r="D20" s="605"/>
      <c r="E20" s="605"/>
      <c r="F20" s="605"/>
      <c r="G20" s="605"/>
      <c r="H20" s="222"/>
      <c r="I20" s="517"/>
      <c r="J20" s="222"/>
      <c r="K20" s="517"/>
      <c r="L20" s="222"/>
      <c r="M20" s="517"/>
      <c r="N20" s="222"/>
      <c r="O20" s="3291"/>
      <c r="P20" s="222"/>
      <c r="Q20" s="3291"/>
      <c r="R20" s="222"/>
      <c r="S20" s="517"/>
      <c r="T20" s="222"/>
      <c r="U20" s="517"/>
      <c r="V20" s="222"/>
      <c r="W20" s="517"/>
      <c r="X20" s="222"/>
      <c r="Y20" s="517"/>
      <c r="Z20" s="222"/>
      <c r="AA20" s="949"/>
      <c r="AB20" s="3087"/>
      <c r="AC20" s="3087"/>
      <c r="AD20" s="3288"/>
      <c r="AE20" s="3087"/>
      <c r="AF20" s="3087"/>
      <c r="AG20" s="3087"/>
      <c r="AH20" s="880"/>
      <c r="AI20" s="3087"/>
      <c r="AJ20" s="880"/>
    </row>
    <row r="21" spans="1:36" ht="16.5" customHeight="1">
      <c r="A21" s="661" t="s">
        <v>1000</v>
      </c>
      <c r="B21" s="661"/>
      <c r="C21" s="358">
        <f>+'Exhibit F'!D17</f>
        <v>3601.8</v>
      </c>
      <c r="D21" s="607"/>
      <c r="E21" s="358">
        <f>+'Exhibit F'!F17</f>
        <v>3217.7</v>
      </c>
      <c r="F21" s="607"/>
      <c r="G21" s="358">
        <f>+'Exhibit F'!H17</f>
        <v>3702.6000000000004</v>
      </c>
      <c r="H21" s="519"/>
      <c r="I21" s="358">
        <f>+'Exhibit F'!J17</f>
        <v>3408.2</v>
      </c>
      <c r="J21" s="519"/>
      <c r="K21" s="358">
        <f>+'Exhibit F'!L17</f>
        <v>3778.4000000000005</v>
      </c>
      <c r="L21" s="222"/>
      <c r="M21" s="358">
        <f>+'Exhibit F'!N17</f>
        <v>3634.7999999999984</v>
      </c>
      <c r="N21" s="222"/>
      <c r="O21" s="3289"/>
      <c r="P21" s="222"/>
      <c r="Q21" s="3289"/>
      <c r="R21" s="222"/>
      <c r="S21" s="358"/>
      <c r="T21" s="222"/>
      <c r="U21" s="358"/>
      <c r="V21" s="222"/>
      <c r="W21" s="358"/>
      <c r="X21" s="222"/>
      <c r="Y21" s="358"/>
      <c r="Z21" s="222"/>
      <c r="AA21" s="949"/>
      <c r="AB21" s="1620">
        <f>ROUND(SUM(C21:Y21),1)</f>
        <v>21343.5</v>
      </c>
      <c r="AC21" s="3087"/>
      <c r="AD21" s="3288"/>
      <c r="AE21" s="3289">
        <f>+'Exhibit F'!AF17</f>
        <v>18636</v>
      </c>
      <c r="AF21" s="3087"/>
      <c r="AG21" s="3087"/>
      <c r="AH21" s="884">
        <f>ROUND(SUM(+AB21-AE21),1)</f>
        <v>2707.5</v>
      </c>
      <c r="AI21" s="3290"/>
      <c r="AJ21" s="1709">
        <f>ROUND(IF(AE21=0,0,AH21/ABS(AE21)),3)</f>
        <v>0.14499999999999999</v>
      </c>
    </row>
    <row r="22" spans="1:36" ht="16.5" customHeight="1">
      <c r="A22" s="661" t="s">
        <v>1267</v>
      </c>
      <c r="B22" s="665"/>
      <c r="C22" s="358">
        <f>+'Exhibit F'!D18</f>
        <v>3342.2000000000003</v>
      </c>
      <c r="D22" s="607"/>
      <c r="E22" s="358">
        <f>+'Exhibit F'!F18</f>
        <v>6128.6999999999989</v>
      </c>
      <c r="F22" s="607"/>
      <c r="G22" s="358">
        <f>+'Exhibit F'!H18</f>
        <v>2740.7000000000007</v>
      </c>
      <c r="H22" s="519"/>
      <c r="I22" s="358">
        <f>+'Exhibit F'!J18</f>
        <v>147.10000000000036</v>
      </c>
      <c r="J22" s="519"/>
      <c r="K22" s="358">
        <f>+'Exhibit F'!L18</f>
        <v>131.09999999999854</v>
      </c>
      <c r="L22" s="222"/>
      <c r="M22" s="358">
        <f>+'Exhibit F'!N18</f>
        <v>3241.9000000000015</v>
      </c>
      <c r="N22" s="222"/>
      <c r="O22" s="3289"/>
      <c r="P22" s="222"/>
      <c r="Q22" s="358"/>
      <c r="R22" s="222"/>
      <c r="S22" s="358"/>
      <c r="T22" s="222"/>
      <c r="U22" s="358"/>
      <c r="V22" s="222"/>
      <c r="W22" s="358"/>
      <c r="X22" s="222"/>
      <c r="Y22" s="358"/>
      <c r="Z22" s="222"/>
      <c r="AA22" s="949"/>
      <c r="AB22" s="1620">
        <f>ROUND(SUM(C22:Y22),1)</f>
        <v>15731.7</v>
      </c>
      <c r="AC22" s="3087"/>
      <c r="AD22" s="3288"/>
      <c r="AE22" s="3289">
        <f>+'Exhibit F'!AF18</f>
        <v>10735.8</v>
      </c>
      <c r="AF22" s="3087"/>
      <c r="AG22" s="3087"/>
      <c r="AH22" s="884">
        <f>ROUND(SUM(+AB22-AE22),1)</f>
        <v>4995.8999999999996</v>
      </c>
      <c r="AI22" s="3290"/>
      <c r="AJ22" s="3293">
        <f>ROUND(IF(AE22=0,0,AH22/ABS(AE22)),3)</f>
        <v>0.46500000000000002</v>
      </c>
    </row>
    <row r="23" spans="1:36" ht="16.5" customHeight="1">
      <c r="A23" s="661" t="s">
        <v>1001</v>
      </c>
      <c r="B23" s="661"/>
      <c r="C23" s="358">
        <f>+'Exhibit F'!D19</f>
        <v>913.6</v>
      </c>
      <c r="D23" s="607"/>
      <c r="E23" s="358">
        <f>+'Exhibit F'!F19</f>
        <v>2184.3000000000002</v>
      </c>
      <c r="F23" s="607"/>
      <c r="G23" s="358">
        <f>+'Exhibit F'!H19</f>
        <v>139.59999999999991</v>
      </c>
      <c r="H23" s="519"/>
      <c r="I23" s="358">
        <f>+'Exhibit F'!J19</f>
        <v>65</v>
      </c>
      <c r="J23" s="519"/>
      <c r="K23" s="358">
        <f>+'Exhibit F'!L19</f>
        <v>59.900000000000091</v>
      </c>
      <c r="L23" s="222"/>
      <c r="M23" s="358">
        <f>+'Exhibit F'!N19</f>
        <v>77.5</v>
      </c>
      <c r="N23" s="222"/>
      <c r="O23" s="3289"/>
      <c r="P23" s="222"/>
      <c r="Q23" s="358"/>
      <c r="R23" s="222"/>
      <c r="S23" s="358"/>
      <c r="T23" s="222"/>
      <c r="U23" s="358"/>
      <c r="V23" s="222"/>
      <c r="W23" s="358"/>
      <c r="X23" s="222"/>
      <c r="Y23" s="358"/>
      <c r="Z23" s="222"/>
      <c r="AA23" s="949"/>
      <c r="AB23" s="1620">
        <f>ROUND(SUM(C23:Y23),1)</f>
        <v>3439.9</v>
      </c>
      <c r="AC23" s="3087"/>
      <c r="AD23" s="3288"/>
      <c r="AE23" s="3289">
        <f>+'Exhibit F'!AF19</f>
        <v>2642.5</v>
      </c>
      <c r="AF23" s="3087"/>
      <c r="AG23" s="3087"/>
      <c r="AH23" s="884">
        <f>ROUND(SUM(+AB23-AE23),1)</f>
        <v>797.4</v>
      </c>
      <c r="AI23" s="3290"/>
      <c r="AJ23" s="1709">
        <f>ROUND(IF(AE23=0,0,AH23/ABS(AE23)),3)</f>
        <v>0.30199999999999999</v>
      </c>
    </row>
    <row r="24" spans="1:36" ht="16.5" customHeight="1">
      <c r="A24" s="1065" t="s">
        <v>1002</v>
      </c>
      <c r="B24" s="661"/>
      <c r="C24" s="358">
        <f>+'Exhibit F'!D20</f>
        <v>-203</v>
      </c>
      <c r="D24" s="607"/>
      <c r="E24" s="358">
        <f>+'Exhibit F'!F20</f>
        <v>-264.7</v>
      </c>
      <c r="F24" s="607"/>
      <c r="G24" s="358">
        <f>+'Exhibit F'!H20</f>
        <v>-21.600000000000023</v>
      </c>
      <c r="H24" s="519"/>
      <c r="I24" s="358">
        <f>+'Exhibit F'!J20</f>
        <v>-31.800000000000011</v>
      </c>
      <c r="J24" s="519"/>
      <c r="K24" s="358">
        <f>+'Exhibit F'!L20</f>
        <v>-19.100000000000023</v>
      </c>
      <c r="L24" s="222"/>
      <c r="M24" s="358">
        <f>+'Exhibit F'!N20</f>
        <v>-28.099999999999909</v>
      </c>
      <c r="N24" s="222"/>
      <c r="O24" s="3289"/>
      <c r="P24" s="222"/>
      <c r="Q24" s="358"/>
      <c r="R24" s="222"/>
      <c r="S24" s="358"/>
      <c r="T24" s="222"/>
      <c r="U24" s="358"/>
      <c r="V24" s="222"/>
      <c r="W24" s="358"/>
      <c r="X24" s="222"/>
      <c r="Y24" s="358"/>
      <c r="Z24" s="222"/>
      <c r="AA24" s="949"/>
      <c r="AB24" s="1620">
        <f t="shared" ref="AB24:AB30" si="0">ROUND(SUM(C24:Y24),1)</f>
        <v>-568.29999999999995</v>
      </c>
      <c r="AC24" s="3087"/>
      <c r="AD24" s="3288"/>
      <c r="AE24" s="3289">
        <f>+'Exhibit F'!AF20</f>
        <v>-454.8</v>
      </c>
      <c r="AF24" s="3087"/>
      <c r="AG24" s="3087"/>
      <c r="AH24" s="884">
        <f>-ROUND(SUM(+AB24-AE24),1)</f>
        <v>113.5</v>
      </c>
      <c r="AI24" s="3290"/>
      <c r="AJ24" s="1708">
        <f>ROUND(IF(AE24=0,0,AH24/ABS(AE24)),3)</f>
        <v>0.25</v>
      </c>
    </row>
    <row r="25" spans="1:36" ht="16.5" customHeight="1">
      <c r="A25" s="1065" t="s">
        <v>1266</v>
      </c>
      <c r="B25" s="661"/>
      <c r="C25" s="358">
        <f>+'Exhibit F'!D21</f>
        <v>154.1</v>
      </c>
      <c r="D25" s="607"/>
      <c r="E25" s="358">
        <f>+'Exhibit F'!F21</f>
        <v>87.200000000000017</v>
      </c>
      <c r="F25" s="607"/>
      <c r="G25" s="358">
        <f>+'Exhibit F'!H21</f>
        <v>111.30000000000001</v>
      </c>
      <c r="H25" s="519"/>
      <c r="I25" s="358">
        <f>+'Exhibit F'!J21</f>
        <v>91.899999999999949</v>
      </c>
      <c r="J25" s="519"/>
      <c r="K25" s="358">
        <f>+'Exhibit F'!L21</f>
        <v>112.39999999999995</v>
      </c>
      <c r="L25" s="222"/>
      <c r="M25" s="358">
        <f>+'Exhibit F'!N21</f>
        <v>104.20000000000002</v>
      </c>
      <c r="N25" s="222"/>
      <c r="O25" s="3289"/>
      <c r="P25" s="222"/>
      <c r="Q25" s="358"/>
      <c r="R25" s="222"/>
      <c r="S25" s="358"/>
      <c r="T25" s="222"/>
      <c r="U25" s="358"/>
      <c r="V25" s="222"/>
      <c r="W25" s="358"/>
      <c r="X25" s="222"/>
      <c r="Y25" s="358"/>
      <c r="Z25" s="222"/>
      <c r="AA25" s="949"/>
      <c r="AB25" s="1620">
        <f t="shared" si="0"/>
        <v>661.1</v>
      </c>
      <c r="AC25" s="3087"/>
      <c r="AD25" s="3288"/>
      <c r="AE25" s="3289">
        <f>+'Exhibit F'!AF21</f>
        <v>506.5</v>
      </c>
      <c r="AF25" s="3087"/>
      <c r="AG25" s="3087"/>
      <c r="AH25" s="884">
        <f>ROUND(SUM(+AB25-AE25),1)</f>
        <v>154.6</v>
      </c>
      <c r="AI25" s="3290"/>
      <c r="AJ25" s="1708">
        <f t="shared" ref="AJ25:AJ30" si="1">ROUND(IF(AE25=0,0,AH25/ABS(AE25)),3)</f>
        <v>0.30499999999999999</v>
      </c>
    </row>
    <row r="26" spans="1:36" ht="16.5" customHeight="1">
      <c r="A26" s="662" t="s">
        <v>1003</v>
      </c>
      <c r="B26" s="662"/>
      <c r="C26" s="664">
        <f>ROUND(SUM(C21:C25),1)</f>
        <v>7808.7</v>
      </c>
      <c r="D26" s="23"/>
      <c r="E26" s="664">
        <f>ROUND(SUM(E21:E25),1)</f>
        <v>11353.2</v>
      </c>
      <c r="F26" s="23"/>
      <c r="G26" s="664">
        <f>ROUND(SUM(G21:G25),1)</f>
        <v>6672.6</v>
      </c>
      <c r="H26" s="222"/>
      <c r="I26" s="875">
        <f>ROUND(SUM(I21:I25),1)</f>
        <v>3680.4</v>
      </c>
      <c r="J26" s="222"/>
      <c r="K26" s="875">
        <f>ROUND(SUM(K21:K25),1)</f>
        <v>4062.7</v>
      </c>
      <c r="L26" s="222"/>
      <c r="M26" s="875">
        <f>ROUND(SUM(M21:M25),1)</f>
        <v>7030.3</v>
      </c>
      <c r="N26" s="222"/>
      <c r="O26" s="3093">
        <f>ROUND(SUM(O21:O25),1)</f>
        <v>0</v>
      </c>
      <c r="P26" s="222"/>
      <c r="Q26" s="3093">
        <f>ROUND(SUM(Q21:Q25),1)</f>
        <v>0</v>
      </c>
      <c r="R26" s="222"/>
      <c r="S26" s="875">
        <f>ROUND(SUM(S21:S25),1)</f>
        <v>0</v>
      </c>
      <c r="T26" s="222"/>
      <c r="U26" s="875">
        <f>ROUND(SUM(U21:U25),1)</f>
        <v>0</v>
      </c>
      <c r="V26" s="222"/>
      <c r="W26" s="875">
        <f>ROUND(SUM(W21:W25),1)</f>
        <v>0</v>
      </c>
      <c r="X26" s="222"/>
      <c r="Y26" s="875">
        <f>ROUND(SUM(Y21:Y25),1)</f>
        <v>0</v>
      </c>
      <c r="Z26" s="222"/>
      <c r="AA26" s="949"/>
      <c r="AB26" s="3092">
        <f>ROUND(SUM(C26:Y26),1)</f>
        <v>40607.9</v>
      </c>
      <c r="AC26" s="3087"/>
      <c r="AD26" s="3288"/>
      <c r="AE26" s="3093">
        <f>ROUND(SUM(AE21:AE25),1)</f>
        <v>32066</v>
      </c>
      <c r="AF26" s="3087"/>
      <c r="AG26" s="3087"/>
      <c r="AH26" s="1523">
        <f>ROUND(SUM(AB26-AE26),1)</f>
        <v>8541.9</v>
      </c>
      <c r="AI26" s="3290"/>
      <c r="AJ26" s="2180">
        <f t="shared" si="1"/>
        <v>0.26600000000000001</v>
      </c>
    </row>
    <row r="27" spans="1:36" ht="16.5" customHeight="1">
      <c r="A27" s="1065" t="s">
        <v>1005</v>
      </c>
      <c r="B27" s="661"/>
      <c r="C27" s="1354">
        <v>0</v>
      </c>
      <c r="D27" s="608"/>
      <c r="E27" s="1354">
        <v>0</v>
      </c>
      <c r="F27" s="608"/>
      <c r="G27" s="1354">
        <v>0</v>
      </c>
      <c r="H27" s="1425"/>
      <c r="I27" s="358">
        <f>+'Exhibit F'!J23</f>
        <v>0</v>
      </c>
      <c r="J27" s="1425"/>
      <c r="K27" s="358">
        <f>+'Exhibit F'!L23</f>
        <v>0</v>
      </c>
      <c r="L27" s="1426"/>
      <c r="M27" s="358">
        <f>+'Exhibit F'!N23</f>
        <v>0</v>
      </c>
      <c r="N27" s="1426"/>
      <c r="O27" s="3802"/>
      <c r="P27" s="222"/>
      <c r="Q27" s="1354"/>
      <c r="R27" s="222"/>
      <c r="S27" s="1354"/>
      <c r="T27" s="222"/>
      <c r="U27" s="1354"/>
      <c r="V27" s="222"/>
      <c r="W27" s="1354"/>
      <c r="X27" s="222"/>
      <c r="Y27" s="1354"/>
      <c r="Z27" s="222"/>
      <c r="AA27" s="949"/>
      <c r="AB27" s="1620">
        <f t="shared" si="0"/>
        <v>0</v>
      </c>
      <c r="AC27" s="3087"/>
      <c r="AD27" s="3288"/>
      <c r="AE27" s="3802">
        <f>+'Exhibit F'!AF23+'Exhibit G'!AG17</f>
        <v>0</v>
      </c>
      <c r="AF27" s="3087"/>
      <c r="AG27" s="3087"/>
      <c r="AH27" s="884">
        <f>ROUND(SUM(+AB27-AE27),1)</f>
        <v>0</v>
      </c>
      <c r="AI27" s="3290"/>
      <c r="AJ27" s="1708">
        <f t="shared" si="1"/>
        <v>0</v>
      </c>
    </row>
    <row r="28" spans="1:36" ht="16.5" customHeight="1">
      <c r="A28" s="1065" t="s">
        <v>1006</v>
      </c>
      <c r="B28" s="661"/>
      <c r="C28" s="610">
        <f>'Exhibit F'!D24+'Exhibit H'!B16</f>
        <v>0</v>
      </c>
      <c r="D28" s="608"/>
      <c r="E28" s="610">
        <f>'Exhibit F'!F24+'Exhibit H'!D16</f>
        <v>0</v>
      </c>
      <c r="F28" s="608"/>
      <c r="G28" s="610">
        <f>'Exhibit F'!H24+'Exhibit H'!F16</f>
        <v>0</v>
      </c>
      <c r="H28" s="1425"/>
      <c r="I28" s="358">
        <f>+'Exhibit F'!J24+'Exhibit H'!H16</f>
        <v>0</v>
      </c>
      <c r="J28" s="1425"/>
      <c r="K28" s="358">
        <f>+'Exhibit F'!L24+'Exhibit H'!J16</f>
        <v>0</v>
      </c>
      <c r="L28" s="1426"/>
      <c r="M28" s="358">
        <f>+'Exhibit F'!N24+'Exhibit H'!L16</f>
        <v>0</v>
      </c>
      <c r="N28" s="1426"/>
      <c r="O28" s="1774"/>
      <c r="P28" s="222"/>
      <c r="Q28" s="610"/>
      <c r="R28" s="222"/>
      <c r="S28" s="610"/>
      <c r="T28" s="222"/>
      <c r="U28" s="610"/>
      <c r="V28" s="222"/>
      <c r="W28" s="610"/>
      <c r="X28" s="222"/>
      <c r="Y28" s="610"/>
      <c r="Z28" s="222"/>
      <c r="AA28" s="949"/>
      <c r="AB28" s="1620">
        <f t="shared" si="0"/>
        <v>0</v>
      </c>
      <c r="AC28" s="3087"/>
      <c r="AD28" s="3288"/>
      <c r="AE28" s="1774">
        <f>+'Exhibit F'!AF24+'Exhibit H'!AD16</f>
        <v>0</v>
      </c>
      <c r="AF28" s="3087"/>
      <c r="AG28" s="3087"/>
      <c r="AH28" s="884">
        <f>ROUND(SUM(+AB28-AE28),1)</f>
        <v>0</v>
      </c>
      <c r="AI28" s="3290"/>
      <c r="AJ28" s="1708">
        <f>ROUND(IF(AE28=0,0,AH28/ABS(AE28)),3)</f>
        <v>0</v>
      </c>
    </row>
    <row r="29" spans="1:36" ht="16.5" customHeight="1">
      <c r="A29" s="661" t="s">
        <v>1268</v>
      </c>
      <c r="B29" s="661"/>
      <c r="C29" s="358">
        <f>+'Exhibit F'!D25</f>
        <v>-1282.9000000000001</v>
      </c>
      <c r="D29" s="607"/>
      <c r="E29" s="358">
        <f>+'Exhibit F'!F25</f>
        <v>-1520.1999999999998</v>
      </c>
      <c r="F29" s="607"/>
      <c r="G29" s="358">
        <f>+'Exhibit F'!H25</f>
        <v>-852</v>
      </c>
      <c r="H29" s="519"/>
      <c r="I29" s="358">
        <f>+'Exhibit F'!J25</f>
        <v>-315.80000000000018</v>
      </c>
      <c r="J29" s="519"/>
      <c r="K29" s="358">
        <f>+'Exhibit F'!L25</f>
        <v>-261.29999999999973</v>
      </c>
      <c r="L29" s="222"/>
      <c r="M29" s="358">
        <f>+'Exhibit F'!N25</f>
        <v>-580.5</v>
      </c>
      <c r="N29" s="222"/>
      <c r="O29" s="3289"/>
      <c r="P29" s="222"/>
      <c r="Q29" s="358"/>
      <c r="R29" s="222"/>
      <c r="S29" s="358"/>
      <c r="T29" s="222"/>
      <c r="U29" s="358"/>
      <c r="V29" s="222"/>
      <c r="W29" s="358"/>
      <c r="X29" s="222"/>
      <c r="Y29" s="358"/>
      <c r="Z29" s="222"/>
      <c r="AA29" s="949"/>
      <c r="AB29" s="1620">
        <f t="shared" si="0"/>
        <v>-4812.7</v>
      </c>
      <c r="AC29" s="3087"/>
      <c r="AD29" s="3288"/>
      <c r="AE29" s="3289">
        <f>+'Exhibit F'!AF25</f>
        <v>-5207</v>
      </c>
      <c r="AF29" s="3087"/>
      <c r="AG29" s="3087"/>
      <c r="AH29" s="884">
        <f>-ROUND(SUM(+AB29-AE29),1)</f>
        <v>-394.3</v>
      </c>
      <c r="AI29" s="3290"/>
      <c r="AJ29" s="1708">
        <f t="shared" si="1"/>
        <v>-7.5999999999999998E-2</v>
      </c>
    </row>
    <row r="30" spans="1:36" ht="16.5" customHeight="1">
      <c r="A30" s="307" t="s">
        <v>1004</v>
      </c>
      <c r="B30" s="661"/>
      <c r="C30" s="875">
        <f>ROUND(SUM(C26)+SUM(C27)+SUM(C28)+SUM(C29),1)</f>
        <v>6525.8</v>
      </c>
      <c r="D30" s="23"/>
      <c r="E30" s="875">
        <f>ROUND(SUM(E26)+SUM(E27)+SUM(E28)+SUM(E29),1)</f>
        <v>9833</v>
      </c>
      <c r="F30" s="23"/>
      <c r="G30" s="875">
        <f>ROUND(SUM(G26)+SUM(G27)+SUM(G28)+SUM(G29),1)</f>
        <v>5820.6</v>
      </c>
      <c r="H30" s="222"/>
      <c r="I30" s="875">
        <f>ROUND(SUM(I26)+SUM(I27)+SUM(I28)+SUM(I29),1)</f>
        <v>3364.6</v>
      </c>
      <c r="J30" s="222"/>
      <c r="K30" s="875">
        <f>ROUND(SUM(K26)+SUM(K27)+SUM(K28)+SUM(K29),1)</f>
        <v>3801.4</v>
      </c>
      <c r="L30" s="222"/>
      <c r="M30" s="875">
        <f>ROUND(SUM(M26)+SUM(M27)+SUM(M28)+SUM(M29),1)</f>
        <v>6449.8</v>
      </c>
      <c r="N30" s="222"/>
      <c r="O30" s="3093">
        <f>ROUND(SUM(O26)+SUM(O27)+SUM(O28)+SUM(O29),1)</f>
        <v>0</v>
      </c>
      <c r="P30" s="222"/>
      <c r="Q30" s="3093">
        <f>ROUND(SUM(Q26)+SUM(Q27)+SUM(Q28)+SUM(Q29),1)</f>
        <v>0</v>
      </c>
      <c r="R30" s="222"/>
      <c r="S30" s="875">
        <f>ROUND(SUM(S26)+SUM(S27)+SUM(S28)+SUM(S29),1)</f>
        <v>0</v>
      </c>
      <c r="T30" s="222"/>
      <c r="U30" s="875">
        <f>ROUND(SUM(U26)+SUM(U27)+SUM(U28)+SUM(U29),1)</f>
        <v>0</v>
      </c>
      <c r="V30" s="222"/>
      <c r="W30" s="875">
        <f>ROUND(SUM(W26)+SUM(W27)+SUM(W28)+SUM(W29),1)</f>
        <v>0</v>
      </c>
      <c r="X30" s="222"/>
      <c r="Y30" s="875">
        <f>ROUND(SUM(Y26)+SUM(Y27)+SUM(Y28)+SUM(Y29),1)</f>
        <v>0</v>
      </c>
      <c r="Z30" s="222"/>
      <c r="AA30" s="949"/>
      <c r="AB30" s="3092">
        <f t="shared" si="0"/>
        <v>35795.199999999997</v>
      </c>
      <c r="AC30" s="3087"/>
      <c r="AD30" s="3288"/>
      <c r="AE30" s="3093">
        <f>ROUND(SUM(AE26)+SUM(AE27)+SUM(AE28)+SUM(AE29),1)</f>
        <v>26859</v>
      </c>
      <c r="AF30" s="3087"/>
      <c r="AG30" s="3087"/>
      <c r="AH30" s="1523">
        <f>ROUND(SUM(AH26+AH27+AH28-AH29),1)</f>
        <v>8936.2000000000007</v>
      </c>
      <c r="AI30" s="1013"/>
      <c r="AJ30" s="2180">
        <f t="shared" si="1"/>
        <v>0.33300000000000002</v>
      </c>
    </row>
    <row r="31" spans="1:36" ht="16.5" customHeight="1">
      <c r="A31" s="1040" t="s">
        <v>1056</v>
      </c>
      <c r="B31" s="665"/>
      <c r="C31" s="604"/>
      <c r="D31" s="604"/>
      <c r="E31" s="604"/>
      <c r="F31" s="604"/>
      <c r="G31" s="604"/>
      <c r="H31" s="222"/>
      <c r="I31" s="604"/>
      <c r="J31" s="222"/>
      <c r="K31" s="604"/>
      <c r="L31" s="222"/>
      <c r="M31" s="604"/>
      <c r="N31" s="222"/>
      <c r="O31" s="3373"/>
      <c r="P31" s="222"/>
      <c r="Q31" s="3373"/>
      <c r="R31" s="222"/>
      <c r="S31" s="604"/>
      <c r="T31" s="222"/>
      <c r="U31" s="604"/>
      <c r="V31" s="222"/>
      <c r="W31" s="604"/>
      <c r="X31" s="222"/>
      <c r="Y31" s="604"/>
      <c r="Z31" s="222"/>
      <c r="AA31" s="949"/>
      <c r="AB31" s="3087"/>
      <c r="AC31" s="3087"/>
      <c r="AD31" s="3288"/>
      <c r="AE31" s="3291"/>
      <c r="AF31" s="3087"/>
      <c r="AG31" s="3087"/>
      <c r="AH31" s="112"/>
      <c r="AI31" s="1013"/>
      <c r="AJ31" s="3292"/>
    </row>
    <row r="32" spans="1:36" ht="16.5" customHeight="1">
      <c r="A32" s="661" t="s">
        <v>1009</v>
      </c>
      <c r="B32" s="665"/>
      <c r="C32" s="358">
        <f>+'Exhibit F'!D28+'Exhibit G'!D20+'Exhibit H'!B19</f>
        <v>1297.4000000000001</v>
      </c>
      <c r="D32" s="607"/>
      <c r="E32" s="358">
        <f>+'Exhibit F'!F28+'Exhibit G'!F20+'Exhibit H'!D19</f>
        <v>1261.4000000000001</v>
      </c>
      <c r="F32" s="607"/>
      <c r="G32" s="358">
        <f>+'Exhibit F'!H28+'Exhibit G'!H20+'Exhibit H'!F19</f>
        <v>1711.6999999999998</v>
      </c>
      <c r="H32" s="519"/>
      <c r="I32" s="358">
        <f>+'Exhibit F'!J28+'Exhibit G'!J20+'Exhibit H'!H19</f>
        <v>1382.9000000000003</v>
      </c>
      <c r="J32" s="519"/>
      <c r="K32" s="358">
        <f>+'Exhibit F'!L28+'Exhibit G'!L20+'Exhibit H'!J19</f>
        <v>1334.7999999999993</v>
      </c>
      <c r="L32" s="222"/>
      <c r="M32" s="358">
        <f>+'Exhibit F'!N28+'Exhibit G'!N20+'Exhibit H'!L19</f>
        <v>1739.7000000000012</v>
      </c>
      <c r="N32" s="222"/>
      <c r="O32" s="3289"/>
      <c r="P32" s="222"/>
      <c r="Q32" s="358"/>
      <c r="R32" s="222"/>
      <c r="S32" s="358"/>
      <c r="T32" s="222"/>
      <c r="U32" s="358"/>
      <c r="V32" s="222"/>
      <c r="W32" s="358"/>
      <c r="X32" s="222"/>
      <c r="Y32" s="358"/>
      <c r="Z32" s="222"/>
      <c r="AA32" s="949"/>
      <c r="AB32" s="1620">
        <f t="shared" ref="AB32:AB40" si="2">ROUND(SUM(C32:Y32),1)</f>
        <v>8727.9</v>
      </c>
      <c r="AC32" s="3087"/>
      <c r="AD32" s="3288"/>
      <c r="AE32" s="3289">
        <f>+'Exhibit F'!AF28+'Exhibit G'!AG20+'Exhibit H'!AD19</f>
        <v>6689.2</v>
      </c>
      <c r="AF32" s="3087"/>
      <c r="AG32" s="3087"/>
      <c r="AH32" s="884">
        <f t="shared" ref="AH32:AH38" si="3">ROUND(SUM(+AB32-AE32),1)</f>
        <v>2038.7</v>
      </c>
      <c r="AI32" s="1013"/>
      <c r="AJ32" s="1709">
        <f t="shared" ref="AJ32:AJ41" si="4">ROUND(IF(AE32=0,0,AH32/ABS(AE32)),3)</f>
        <v>0.30499999999999999</v>
      </c>
    </row>
    <row r="33" spans="1:36" ht="16.5" customHeight="1">
      <c r="A33" s="661" t="s">
        <v>1010</v>
      </c>
      <c r="B33" s="665"/>
      <c r="C33" s="358">
        <f>+'Exhibit F'!D29+'Exhibit G'!D21+'Exhibit I'!E20</f>
        <v>1.9000000000000001</v>
      </c>
      <c r="D33" s="607"/>
      <c r="E33" s="358">
        <f>+'Exhibit F'!F29+'Exhibit G'!F21+'Exhibit I'!G20</f>
        <v>0</v>
      </c>
      <c r="F33" s="607"/>
      <c r="G33" s="358">
        <f>+'Exhibit F'!H29+'Exhibit G'!H21+'Exhibit I'!I20</f>
        <v>22.6</v>
      </c>
      <c r="H33" s="519"/>
      <c r="I33" s="358">
        <f>+'Exhibit F'!J29+'Exhibit G'!J21+'Exhibit I'!K20</f>
        <v>0.10000000000000142</v>
      </c>
      <c r="J33" s="519"/>
      <c r="K33" s="358">
        <f>+'Exhibit F'!L29+'Exhibit G'!L21+'Exhibit I'!M20</f>
        <v>-0.10000000000000142</v>
      </c>
      <c r="L33" s="222"/>
      <c r="M33" s="358">
        <f>+'Exhibit F'!N29+'Exhibit G'!N21+'Exhibit I'!O20</f>
        <v>33.999999999999993</v>
      </c>
      <c r="N33" s="222"/>
      <c r="O33" s="3289"/>
      <c r="P33" s="222"/>
      <c r="Q33" s="358"/>
      <c r="R33" s="222"/>
      <c r="S33" s="358"/>
      <c r="T33" s="222"/>
      <c r="U33" s="358"/>
      <c r="V33" s="222"/>
      <c r="W33" s="358"/>
      <c r="X33" s="222"/>
      <c r="Y33" s="358"/>
      <c r="Z33" s="222"/>
      <c r="AA33" s="949"/>
      <c r="AB33" s="1620">
        <f>ROUND(SUM(C33:Y33),1)</f>
        <v>58.5</v>
      </c>
      <c r="AC33" s="3087"/>
      <c r="AD33" s="3288"/>
      <c r="AE33" s="3289">
        <f>+'Exhibit F'!AF29+'Exhibit G'!AG21+'Exhibit I'!AI20</f>
        <v>31.299999999999997</v>
      </c>
      <c r="AF33" s="3087"/>
      <c r="AG33" s="3087"/>
      <c r="AH33" s="884">
        <f t="shared" si="3"/>
        <v>27.2</v>
      </c>
      <c r="AI33" s="1013"/>
      <c r="AJ33" s="1709">
        <f t="shared" si="4"/>
        <v>0.86899999999999999</v>
      </c>
    </row>
    <row r="34" spans="1:36" ht="16.5" customHeight="1">
      <c r="A34" s="661" t="s">
        <v>1011</v>
      </c>
      <c r="B34" s="661"/>
      <c r="C34" s="358">
        <f>+'Exhibit F'!D30+'Exhibit G'!D22</f>
        <v>98.300000000000011</v>
      </c>
      <c r="D34" s="607"/>
      <c r="E34" s="358">
        <f>+'Exhibit F'!F30+'Exhibit G'!F22</f>
        <v>76.599999999999994</v>
      </c>
      <c r="F34" s="607"/>
      <c r="G34" s="358">
        <f>+'Exhibit F'!H30+'Exhibit G'!H22</f>
        <v>90.6</v>
      </c>
      <c r="H34" s="519"/>
      <c r="I34" s="358">
        <f>+'Exhibit F'!J30+'Exhibit G'!J22</f>
        <v>85.4</v>
      </c>
      <c r="J34" s="519"/>
      <c r="K34" s="358">
        <f>+'Exhibit F'!L30+'Exhibit G'!L22</f>
        <v>88.3</v>
      </c>
      <c r="L34" s="222"/>
      <c r="M34" s="358">
        <f>+'Exhibit F'!N30+'Exhibit G'!N22</f>
        <v>82.80000000000004</v>
      </c>
      <c r="N34" s="222"/>
      <c r="O34" s="3289"/>
      <c r="P34" s="222"/>
      <c r="Q34" s="358"/>
      <c r="R34" s="222"/>
      <c r="S34" s="358"/>
      <c r="T34" s="222"/>
      <c r="U34" s="358"/>
      <c r="V34" s="222"/>
      <c r="W34" s="358"/>
      <c r="X34" s="222"/>
      <c r="Y34" s="358"/>
      <c r="Z34" s="222"/>
      <c r="AA34" s="949"/>
      <c r="AB34" s="1620">
        <f t="shared" si="2"/>
        <v>522</v>
      </c>
      <c r="AC34" s="3087"/>
      <c r="AD34" s="3288"/>
      <c r="AE34" s="3289">
        <f>+'Exhibit F'!AF30+'Exhibit G'!AG22</f>
        <v>547.1</v>
      </c>
      <c r="AF34" s="3087"/>
      <c r="AG34" s="3087"/>
      <c r="AH34" s="884">
        <f t="shared" si="3"/>
        <v>-25.1</v>
      </c>
      <c r="AI34" s="1013"/>
      <c r="AJ34" s="1709">
        <f t="shared" si="4"/>
        <v>-4.5999999999999999E-2</v>
      </c>
    </row>
    <row r="35" spans="1:36" ht="16.5" customHeight="1">
      <c r="A35" s="661" t="s">
        <v>1153</v>
      </c>
      <c r="B35" s="661"/>
      <c r="C35" s="358">
        <f>+'Exhibit G'!D23</f>
        <v>1.5</v>
      </c>
      <c r="D35" s="607"/>
      <c r="E35" s="358">
        <f>+'Exhibit G'!F23</f>
        <v>1.1000000000000001</v>
      </c>
      <c r="F35" s="607"/>
      <c r="G35" s="358">
        <f>+'Exhibit G'!H23</f>
        <v>1.1000000000000001</v>
      </c>
      <c r="H35" s="519"/>
      <c r="I35" s="358">
        <f>+'Exhibit G'!J23</f>
        <v>0.90000000000000036</v>
      </c>
      <c r="J35" s="519"/>
      <c r="K35" s="358">
        <f>+'Exhibit G'!L23</f>
        <v>1.0999999999999996</v>
      </c>
      <c r="L35" s="1517"/>
      <c r="M35" s="358">
        <f>+'Exhibit G'!N23</f>
        <v>0.99999999999999956</v>
      </c>
      <c r="N35" s="1517"/>
      <c r="O35" s="3289"/>
      <c r="P35" s="1517"/>
      <c r="Q35" s="358"/>
      <c r="R35" s="1517"/>
      <c r="S35" s="358"/>
      <c r="T35" s="1517"/>
      <c r="U35" s="358"/>
      <c r="V35" s="1517"/>
      <c r="W35" s="358"/>
      <c r="X35" s="1517"/>
      <c r="Y35" s="358"/>
      <c r="Z35" s="1517"/>
      <c r="AA35" s="949"/>
      <c r="AB35" s="1620">
        <f>ROUND(SUM(C35:Y35),1)</f>
        <v>6.7</v>
      </c>
      <c r="AC35" s="3087"/>
      <c r="AD35" s="3288"/>
      <c r="AE35" s="3289">
        <f>'Exhibit G'!AG23</f>
        <v>3.9</v>
      </c>
      <c r="AF35" s="3087"/>
      <c r="AG35" s="3087"/>
      <c r="AH35" s="884">
        <f>ROUND(SUM(+AB35-AE35),1)</f>
        <v>2.8</v>
      </c>
      <c r="AI35" s="1013"/>
      <c r="AJ35" s="1709">
        <f>ROUND(IF(AE35=0,0,AH35/ABS(AE35)),3)</f>
        <v>0.71799999999999997</v>
      </c>
    </row>
    <row r="36" spans="1:36" ht="16.5" customHeight="1">
      <c r="A36" s="661" t="s">
        <v>1012</v>
      </c>
      <c r="B36" s="661"/>
      <c r="C36" s="358">
        <f>+'Exhibit F'!D31+'Exhibit G'!D24+'Exhibit I'!E21</f>
        <v>34.1</v>
      </c>
      <c r="D36" s="607"/>
      <c r="E36" s="358">
        <f>+'Exhibit F'!F31+'Exhibit G'!F24+'Exhibit I'!G21</f>
        <v>40.300000000000004</v>
      </c>
      <c r="F36" s="607"/>
      <c r="G36" s="358">
        <f>+'Exhibit F'!H31+'Exhibit G'!H24+'Exhibit I'!I21</f>
        <v>46.6</v>
      </c>
      <c r="H36" s="519"/>
      <c r="I36" s="358">
        <f>+'Exhibit F'!J31+'Exhibit G'!J24+'Exhibit I'!K21</f>
        <v>44.5</v>
      </c>
      <c r="J36" s="519"/>
      <c r="K36" s="358">
        <f>+'Exhibit F'!L31+'Exhibit G'!L24+'Exhibit I'!M21</f>
        <v>46.099999999999966</v>
      </c>
      <c r="L36" s="222"/>
      <c r="M36" s="358">
        <f>+'Exhibit F'!N31+'Exhibit G'!N24+'Exhibit I'!O21</f>
        <v>47.800000000000011</v>
      </c>
      <c r="N36" s="222"/>
      <c r="O36" s="3289"/>
      <c r="P36" s="222"/>
      <c r="Q36" s="358"/>
      <c r="R36" s="222"/>
      <c r="S36" s="358"/>
      <c r="T36" s="222"/>
      <c r="U36" s="358"/>
      <c r="V36" s="222"/>
      <c r="W36" s="358"/>
      <c r="X36" s="222"/>
      <c r="Y36" s="358"/>
      <c r="Z36" s="222"/>
      <c r="AA36" s="949"/>
      <c r="AB36" s="1620">
        <f t="shared" si="2"/>
        <v>259.39999999999998</v>
      </c>
      <c r="AC36" s="3087"/>
      <c r="AD36" s="3288"/>
      <c r="AE36" s="3289">
        <f>+'Exhibit F'!AF31+'Exhibit G'!AG24+'Exhibit I'!AI21</f>
        <v>207</v>
      </c>
      <c r="AF36" s="3087"/>
      <c r="AG36" s="3087"/>
      <c r="AH36" s="884">
        <f t="shared" si="3"/>
        <v>52.4</v>
      </c>
      <c r="AI36" s="1013"/>
      <c r="AJ36" s="1709">
        <f t="shared" si="4"/>
        <v>0.253</v>
      </c>
    </row>
    <row r="37" spans="1:36" ht="16.5" customHeight="1">
      <c r="A37" s="661" t="s">
        <v>1013</v>
      </c>
      <c r="B37" s="661"/>
      <c r="C37" s="358">
        <f>+'Exhibit F'!D32+'Exhibit G'!D25</f>
        <v>23</v>
      </c>
      <c r="D37" s="607"/>
      <c r="E37" s="358">
        <f>+'Exhibit F'!F32+'Exhibit G'!F25</f>
        <v>21.799999999999997</v>
      </c>
      <c r="F37" s="607"/>
      <c r="G37" s="358">
        <f>+'Exhibit F'!H32+'Exhibit G'!H25</f>
        <v>21.700000000000003</v>
      </c>
      <c r="H37" s="519"/>
      <c r="I37" s="358">
        <f>+'Exhibit F'!J32+'Exhibit G'!J25</f>
        <v>29.700000000000003</v>
      </c>
      <c r="J37" s="519"/>
      <c r="K37" s="358">
        <f>+'Exhibit F'!L32+'Exhibit G'!L25</f>
        <v>22.700000000000003</v>
      </c>
      <c r="L37" s="222"/>
      <c r="M37" s="358">
        <f>+'Exhibit F'!N32+'Exhibit G'!N25</f>
        <v>25.299999999999983</v>
      </c>
      <c r="N37" s="222"/>
      <c r="O37" s="3289"/>
      <c r="P37" s="222"/>
      <c r="Q37" s="358"/>
      <c r="R37" s="222"/>
      <c r="S37" s="358"/>
      <c r="T37" s="222"/>
      <c r="U37" s="358"/>
      <c r="V37" s="222"/>
      <c r="W37" s="358"/>
      <c r="X37" s="222"/>
      <c r="Y37" s="358"/>
      <c r="Z37" s="222"/>
      <c r="AA37" s="949"/>
      <c r="AB37" s="1620">
        <f t="shared" si="2"/>
        <v>144.19999999999999</v>
      </c>
      <c r="AC37" s="3087"/>
      <c r="AD37" s="3288"/>
      <c r="AE37" s="3289">
        <f>+'Exhibit F'!AF32+'Exhibit G'!AG25</f>
        <v>143.30000000000001</v>
      </c>
      <c r="AF37" s="3087"/>
      <c r="AG37" s="3087"/>
      <c r="AH37" s="884">
        <f t="shared" si="3"/>
        <v>0.9</v>
      </c>
      <c r="AI37" s="1013"/>
      <c r="AJ37" s="1709">
        <f t="shared" si="4"/>
        <v>6.0000000000000001E-3</v>
      </c>
    </row>
    <row r="38" spans="1:36" ht="16.5" customHeight="1">
      <c r="A38" s="661" t="s">
        <v>1014</v>
      </c>
      <c r="B38" s="661"/>
      <c r="C38" s="358">
        <f>+'Exhibit F'!D33+'Exhibit G'!D26+'Exhibit I'!E22</f>
        <v>14.6</v>
      </c>
      <c r="D38" s="607"/>
      <c r="E38" s="358">
        <f>+'Exhibit F'!F33+'Exhibit G'!F26+'Exhibit I'!G22</f>
        <v>10.5</v>
      </c>
      <c r="F38" s="607"/>
      <c r="G38" s="358">
        <f>+'Exhibit F'!H33+'Exhibit G'!H26+'Exhibit I'!I22</f>
        <v>11.600000000000001</v>
      </c>
      <c r="H38" s="519"/>
      <c r="I38" s="358">
        <f>+'Exhibit F'!J33+'Exhibit G'!J26+'Exhibit I'!K22</f>
        <v>12.200000000000001</v>
      </c>
      <c r="J38" s="519"/>
      <c r="K38" s="358">
        <f>+'Exhibit F'!L33+'Exhibit G'!L26+'Exhibit I'!M22</f>
        <v>13.299999999999997</v>
      </c>
      <c r="L38" s="222"/>
      <c r="M38" s="358">
        <f>+'Exhibit F'!N33+'Exhibit G'!N26+'Exhibit I'!O22</f>
        <v>10.699999999999994</v>
      </c>
      <c r="N38" s="222"/>
      <c r="O38" s="3289"/>
      <c r="P38" s="222"/>
      <c r="Q38" s="358"/>
      <c r="R38" s="222"/>
      <c r="S38" s="358"/>
      <c r="T38" s="222"/>
      <c r="U38" s="358"/>
      <c r="V38" s="222"/>
      <c r="W38" s="358"/>
      <c r="X38" s="222"/>
      <c r="Y38" s="358"/>
      <c r="Z38" s="222"/>
      <c r="AA38" s="949"/>
      <c r="AB38" s="1620">
        <f t="shared" si="2"/>
        <v>72.900000000000006</v>
      </c>
      <c r="AC38" s="3087"/>
      <c r="AD38" s="3288"/>
      <c r="AE38" s="3289">
        <f>+'Exhibit F'!AF33+'Exhibit G'!AG26+'Exhibit I'!AI22</f>
        <v>68.3</v>
      </c>
      <c r="AF38" s="3087"/>
      <c r="AG38" s="3087"/>
      <c r="AH38" s="884">
        <f t="shared" si="3"/>
        <v>4.5999999999999996</v>
      </c>
      <c r="AI38" s="1013"/>
      <c r="AJ38" s="3293">
        <f t="shared" si="4"/>
        <v>6.7000000000000004E-2</v>
      </c>
    </row>
    <row r="39" spans="1:36" ht="16.5" customHeight="1">
      <c r="A39" s="661" t="s">
        <v>1349</v>
      </c>
      <c r="B39" s="661"/>
      <c r="C39" s="358">
        <f>'Exhibit F'!D34+'Exhibit G'!D27</f>
        <v>0.2</v>
      </c>
      <c r="D39" s="607"/>
      <c r="E39" s="358">
        <f>'Exhibit F'!F34+'Exhibit G'!F27</f>
        <v>0</v>
      </c>
      <c r="F39" s="607"/>
      <c r="G39" s="358">
        <f>'Exhibit F'!H34+'Exhibit G'!H27</f>
        <v>6.6</v>
      </c>
      <c r="H39" s="519"/>
      <c r="I39" s="358">
        <f>'Exhibit F'!J34+'Exhibit G'!J27</f>
        <v>0.20000000000000018</v>
      </c>
      <c r="J39" s="519"/>
      <c r="K39" s="358">
        <f>'Exhibit F'!L34+'Exhibit G'!L27</f>
        <v>0</v>
      </c>
      <c r="L39" s="1517"/>
      <c r="M39" s="358">
        <f>'Exhibit F'!N34+'Exhibit G'!N27</f>
        <v>7.8000000000000016</v>
      </c>
      <c r="N39" s="1517"/>
      <c r="O39" s="3289"/>
      <c r="P39" s="1517"/>
      <c r="Q39" s="358"/>
      <c r="R39" s="1517"/>
      <c r="S39" s="358"/>
      <c r="T39" s="1517"/>
      <c r="U39" s="358"/>
      <c r="V39" s="1517"/>
      <c r="W39" s="358"/>
      <c r="X39" s="1517"/>
      <c r="Y39" s="358"/>
      <c r="Z39" s="1517"/>
      <c r="AA39" s="949"/>
      <c r="AB39" s="1620">
        <f>ROUND(SUM(C39:Y39),1)</f>
        <v>14.8</v>
      </c>
      <c r="AC39" s="3087"/>
      <c r="AD39" s="3288"/>
      <c r="AE39" s="3289">
        <f>+'Exhibit F'!AF34+'Exhibit G'!AG27</f>
        <v>18.7</v>
      </c>
      <c r="AF39" s="3087"/>
      <c r="AG39" s="3087"/>
      <c r="AH39" s="884">
        <f>ROUND(SUM(+AB39-AE39),1)</f>
        <v>-3.9</v>
      </c>
      <c r="AI39" s="1013"/>
      <c r="AJ39" s="3293">
        <f>ROUND(IF(AE39=0,1,AH39/ABS(AE39)),3)</f>
        <v>-0.20899999999999999</v>
      </c>
    </row>
    <row r="40" spans="1:36" ht="16.5" customHeight="1">
      <c r="A40" s="661" t="s">
        <v>1351</v>
      </c>
      <c r="B40" s="661"/>
      <c r="C40" s="358">
        <f>'Exhibit F'!D35</f>
        <v>6.7</v>
      </c>
      <c r="D40" s="607"/>
      <c r="E40" s="358">
        <f>'Exhibit F'!F35</f>
        <v>9.9999999999999645E-2</v>
      </c>
      <c r="F40" s="607"/>
      <c r="G40" s="358">
        <f>'Exhibit F'!H35</f>
        <v>0</v>
      </c>
      <c r="H40" s="519"/>
      <c r="I40" s="358">
        <f>'Exhibit F'!J35</f>
        <v>7.5000000000000009</v>
      </c>
      <c r="J40" s="519"/>
      <c r="K40" s="358">
        <f>'Exhibit F'!L35</f>
        <v>0</v>
      </c>
      <c r="L40" s="1517"/>
      <c r="M40" s="358">
        <f>'Exhibit F'!N35</f>
        <v>0</v>
      </c>
      <c r="N40" s="1517"/>
      <c r="O40" s="3289"/>
      <c r="P40" s="1517"/>
      <c r="Q40" s="358"/>
      <c r="R40" s="1517"/>
      <c r="S40" s="358"/>
      <c r="T40" s="1517"/>
      <c r="U40" s="358"/>
      <c r="V40" s="1517"/>
      <c r="W40" s="358"/>
      <c r="X40" s="1517"/>
      <c r="Y40" s="358"/>
      <c r="Z40" s="1517"/>
      <c r="AA40" s="518"/>
      <c r="AB40" s="1620">
        <f t="shared" si="2"/>
        <v>14.3</v>
      </c>
      <c r="AC40" s="3087"/>
      <c r="AD40" s="3288"/>
      <c r="AE40" s="3289">
        <f>+'Exhibit F'!AF35</f>
        <v>16.399999999999999</v>
      </c>
      <c r="AF40" s="3087"/>
      <c r="AG40" s="3087"/>
      <c r="AH40" s="884">
        <f t="shared" ref="AH40" si="5">ROUND(SUM(+AB40-AE40),1)</f>
        <v>-2.1</v>
      </c>
      <c r="AI40" s="1013"/>
      <c r="AJ40" s="3293">
        <f>ROUND(IF(AE40=0,1,AH40/ABS(AE40)),3)</f>
        <v>-0.128</v>
      </c>
    </row>
    <row r="41" spans="1:36" ht="16.5" customHeight="1">
      <c r="A41" s="307" t="s">
        <v>1008</v>
      </c>
      <c r="B41" s="661"/>
      <c r="C41" s="875">
        <f>ROUND(SUM(C32:C40),1)</f>
        <v>1477.7</v>
      </c>
      <c r="D41" s="23"/>
      <c r="E41" s="875">
        <f>ROUND(SUM(E32:E40),1)</f>
        <v>1411.8</v>
      </c>
      <c r="F41" s="23"/>
      <c r="G41" s="875">
        <f>ROUND(SUM(G32:G40),1)</f>
        <v>1912.5</v>
      </c>
      <c r="H41" s="222"/>
      <c r="I41" s="875">
        <f>ROUND(SUM(I32:I40),1)</f>
        <v>1563.4</v>
      </c>
      <c r="J41" s="222"/>
      <c r="K41" s="875">
        <f>ROUND(SUM(K32:K40),1)</f>
        <v>1506.2</v>
      </c>
      <c r="L41" s="222"/>
      <c r="M41" s="875">
        <f>ROUND(SUM(M32:M40),1)</f>
        <v>1949.1</v>
      </c>
      <c r="N41" s="222"/>
      <c r="O41" s="3093">
        <f>ROUND(SUM(O32:O40),1)</f>
        <v>0</v>
      </c>
      <c r="P41" s="222"/>
      <c r="Q41" s="3093">
        <f>ROUND(SUM(Q32:Q40),1)</f>
        <v>0</v>
      </c>
      <c r="R41" s="222"/>
      <c r="S41" s="875">
        <f>ROUND(SUM(S32:S40),1)</f>
        <v>0</v>
      </c>
      <c r="T41" s="222"/>
      <c r="U41" s="875">
        <f>ROUND(SUM(U32:U40),1)</f>
        <v>0</v>
      </c>
      <c r="V41" s="222"/>
      <c r="W41" s="875">
        <f>ROUND(SUM(W32:W40),1)</f>
        <v>0</v>
      </c>
      <c r="X41" s="222"/>
      <c r="Y41" s="875">
        <f>ROUND(SUM(Y32:Y40),1)</f>
        <v>0</v>
      </c>
      <c r="Z41" s="222"/>
      <c r="AA41" s="949"/>
      <c r="AB41" s="3093">
        <f>ROUND(SUM(AB32:AB40),1)</f>
        <v>9820.7000000000007</v>
      </c>
      <c r="AC41" s="3087"/>
      <c r="AD41" s="3288"/>
      <c r="AE41" s="3093">
        <f>ROUND(SUM(AE32:AE40),1)</f>
        <v>7725.2</v>
      </c>
      <c r="AF41" s="3087"/>
      <c r="AG41" s="3087"/>
      <c r="AH41" s="1523">
        <f>ROUND(SUM(AH32:AH40),1)</f>
        <v>2095.5</v>
      </c>
      <c r="AI41" s="112"/>
      <c r="AJ41" s="3294">
        <f t="shared" si="4"/>
        <v>0.27100000000000002</v>
      </c>
    </row>
    <row r="42" spans="1:36" ht="16.5" customHeight="1">
      <c r="A42" s="1040" t="s">
        <v>1057</v>
      </c>
      <c r="B42" s="661"/>
      <c r="C42" s="604"/>
      <c r="D42" s="604"/>
      <c r="E42" s="604"/>
      <c r="F42" s="604"/>
      <c r="G42" s="604"/>
      <c r="H42" s="222"/>
      <c r="I42" s="604"/>
      <c r="J42" s="222"/>
      <c r="K42" s="604"/>
      <c r="L42" s="222"/>
      <c r="M42" s="604"/>
      <c r="N42" s="222"/>
      <c r="O42" s="3373"/>
      <c r="P42" s="222"/>
      <c r="Q42" s="3373"/>
      <c r="R42" s="222"/>
      <c r="S42" s="604"/>
      <c r="T42" s="222"/>
      <c r="U42" s="604"/>
      <c r="V42" s="222"/>
      <c r="W42" s="604"/>
      <c r="X42" s="222"/>
      <c r="Y42" s="604"/>
      <c r="Z42" s="222"/>
      <c r="AA42" s="949"/>
      <c r="AB42" s="3087"/>
      <c r="AC42" s="3087"/>
      <c r="AD42" s="3288"/>
      <c r="AE42" s="3291"/>
      <c r="AF42" s="3087"/>
      <c r="AG42" s="3087"/>
      <c r="AH42" s="112"/>
      <c r="AI42" s="112"/>
      <c r="AJ42" s="3292"/>
    </row>
    <row r="43" spans="1:36" ht="16.5" customHeight="1">
      <c r="A43" s="661" t="s">
        <v>1016</v>
      </c>
      <c r="B43" s="661"/>
      <c r="C43" s="358">
        <f>+'Exhibit F'!D38+'Exhibit G'!D30+'Exhibit I'!E25</f>
        <v>768.4</v>
      </c>
      <c r="D43" s="607"/>
      <c r="E43" s="358">
        <f>+'Exhibit F'!F38+'Exhibit G'!F30+'Exhibit I'!G25</f>
        <v>106.00000000000006</v>
      </c>
      <c r="F43" s="607"/>
      <c r="G43" s="358">
        <f>+'Exhibit F'!H38+'Exhibit G'!H30+'Exhibit I'!I25</f>
        <v>1452.1</v>
      </c>
      <c r="H43" s="519"/>
      <c r="I43" s="358">
        <f>+'Exhibit F'!J38+'Exhibit G'!J30+'Exhibit I'!K25</f>
        <v>274.00000000000011</v>
      </c>
      <c r="J43" s="519"/>
      <c r="K43" s="358">
        <f>+'Exhibit F'!L38+'Exhibit G'!L30+'Exhibit I'!M25</f>
        <v>28.500000000000114</v>
      </c>
      <c r="L43" s="222"/>
      <c r="M43" s="358">
        <f>+'Exhibit F'!N38+'Exhibit G'!N30+'Exhibit I'!O25</f>
        <v>1477.1</v>
      </c>
      <c r="N43" s="222"/>
      <c r="O43" s="3289"/>
      <c r="P43" s="222"/>
      <c r="Q43" s="358"/>
      <c r="R43" s="222"/>
      <c r="S43" s="358"/>
      <c r="T43" s="222"/>
      <c r="U43" s="358"/>
      <c r="V43" s="222"/>
      <c r="W43" s="358"/>
      <c r="X43" s="222"/>
      <c r="Y43" s="358"/>
      <c r="Z43" s="222"/>
      <c r="AA43" s="949"/>
      <c r="AB43" s="1620">
        <f>ROUND(SUM(C43:Y43),1)</f>
        <v>4106.1000000000004</v>
      </c>
      <c r="AC43" s="3087"/>
      <c r="AD43" s="3288"/>
      <c r="AE43" s="3289">
        <f>+'Exhibit F'!AF38+'Exhibit G'!AG30+'Exhibit I'!AI25</f>
        <v>2270.8000000000002</v>
      </c>
      <c r="AF43" s="3087"/>
      <c r="AG43" s="3087"/>
      <c r="AH43" s="884">
        <f>ROUND(SUM(+AB43-AE43),1)</f>
        <v>1835.3</v>
      </c>
      <c r="AI43" s="112"/>
      <c r="AJ43" s="1709">
        <f t="shared" ref="AJ43:AJ48" si="6">ROUND(IF(AE43=0,0,AH43/ABS(AE43)),3)</f>
        <v>0.80800000000000005</v>
      </c>
    </row>
    <row r="44" spans="1:36" ht="16.5" customHeight="1">
      <c r="A44" s="661" t="s">
        <v>1017</v>
      </c>
      <c r="B44" s="661"/>
      <c r="C44" s="358">
        <f>+'Exhibit F'!D39+'Exhibit G'!D31+'Exhibit I'!E26</f>
        <v>51.000000000000007</v>
      </c>
      <c r="D44" s="607"/>
      <c r="E44" s="358">
        <f>+'Exhibit F'!F39+'Exhibit G'!F31+'Exhibit I'!G26</f>
        <v>1.0999999999999979</v>
      </c>
      <c r="F44" s="607"/>
      <c r="G44" s="358">
        <f>+'Exhibit F'!H39+'Exhibit G'!H31+'Exhibit I'!I26</f>
        <v>83.200000000000017</v>
      </c>
      <c r="H44" s="519"/>
      <c r="I44" s="358">
        <f>+'Exhibit F'!J39+'Exhibit G'!J31+'Exhibit I'!K26</f>
        <v>-7.6999999999999993</v>
      </c>
      <c r="J44" s="519"/>
      <c r="K44" s="358">
        <f>+'Exhibit F'!L39+'Exhibit G'!L31+'Exhibit I'!M26</f>
        <v>-1.0000000000000093</v>
      </c>
      <c r="L44" s="222"/>
      <c r="M44" s="358">
        <f>+'Exhibit F'!N39+'Exhibit G'!N31+'Exhibit I'!O26</f>
        <v>104.2</v>
      </c>
      <c r="N44" s="222"/>
      <c r="O44" s="3289"/>
      <c r="P44" s="222"/>
      <c r="Q44" s="358"/>
      <c r="R44" s="222"/>
      <c r="S44" s="358"/>
      <c r="T44" s="222"/>
      <c r="U44" s="358"/>
      <c r="V44" s="222"/>
      <c r="W44" s="358"/>
      <c r="X44" s="222"/>
      <c r="Y44" s="358"/>
      <c r="Z44" s="222"/>
      <c r="AA44" s="949"/>
      <c r="AB44" s="1620">
        <f>ROUND(SUM(C44:Y44),1)</f>
        <v>230.8</v>
      </c>
      <c r="AC44" s="3087"/>
      <c r="AD44" s="3288"/>
      <c r="AE44" s="3289">
        <f>+'Exhibit F'!AF39+'Exhibit G'!AG31+'Exhibit I'!AI26</f>
        <v>241.4</v>
      </c>
      <c r="AF44" s="3087"/>
      <c r="AG44" s="3087"/>
      <c r="AH44" s="884">
        <f>ROUND(SUM(+AB44-AE44),1)</f>
        <v>-10.6</v>
      </c>
      <c r="AI44" s="112"/>
      <c r="AJ44" s="3293">
        <f t="shared" si="6"/>
        <v>-4.3999999999999997E-2</v>
      </c>
    </row>
    <row r="45" spans="1:36" ht="16.5" customHeight="1">
      <c r="A45" s="661" t="s">
        <v>1018</v>
      </c>
      <c r="B45" s="661"/>
      <c r="C45" s="358">
        <f>+'Exhibit F'!D40+'Exhibit G'!D32</f>
        <v>64.2</v>
      </c>
      <c r="D45" s="607"/>
      <c r="E45" s="358">
        <f>+'Exhibit F'!F40+'Exhibit G'!F32</f>
        <v>57.3</v>
      </c>
      <c r="F45" s="607"/>
      <c r="G45" s="358">
        <f>+'Exhibit F'!H40+'Exhibit G'!H32</f>
        <v>373.2</v>
      </c>
      <c r="H45" s="519"/>
      <c r="I45" s="358">
        <f>+'Exhibit F'!J40+'Exhibit G'!J32</f>
        <v>15.900000000000034</v>
      </c>
      <c r="J45" s="519"/>
      <c r="K45" s="358">
        <f>+'Exhibit F'!L40+'Exhibit G'!L32</f>
        <v>52.800000000000011</v>
      </c>
      <c r="L45" s="222"/>
      <c r="M45" s="358">
        <f>+'Exhibit F'!N40+'Exhibit G'!N32</f>
        <v>453.60000000000014</v>
      </c>
      <c r="N45" s="222"/>
      <c r="O45" s="3289"/>
      <c r="P45" s="222"/>
      <c r="Q45" s="358"/>
      <c r="R45" s="222"/>
      <c r="S45" s="358"/>
      <c r="T45" s="222"/>
      <c r="U45" s="358"/>
      <c r="V45" s="222"/>
      <c r="W45" s="358"/>
      <c r="X45" s="222"/>
      <c r="Y45" s="358"/>
      <c r="Z45" s="222"/>
      <c r="AA45" s="949"/>
      <c r="AB45" s="1620">
        <f>ROUND(SUM(C45:Y45),1)</f>
        <v>1017</v>
      </c>
      <c r="AC45" s="3087"/>
      <c r="AD45" s="3288"/>
      <c r="AE45" s="3289">
        <f>+'Exhibit F'!AF40+'Exhibit G'!AG32</f>
        <v>881.7</v>
      </c>
      <c r="AF45" s="3087"/>
      <c r="AG45" s="3087"/>
      <c r="AH45" s="884">
        <f>ROUND(SUM(+AB45-AE45),1)</f>
        <v>135.30000000000001</v>
      </c>
      <c r="AI45" s="112"/>
      <c r="AJ45" s="1709">
        <f t="shared" si="6"/>
        <v>0.153</v>
      </c>
    </row>
    <row r="46" spans="1:36" ht="16.5" customHeight="1">
      <c r="A46" s="661" t="s">
        <v>1019</v>
      </c>
      <c r="B46" s="661"/>
      <c r="C46" s="358">
        <f>+'Exhibit F'!D41+'Exhibit G'!D33</f>
        <v>17.3</v>
      </c>
      <c r="D46" s="607"/>
      <c r="E46" s="358">
        <f>+'Exhibit F'!F41+'Exhibit G'!F33</f>
        <v>-20.099999999999998</v>
      </c>
      <c r="F46" s="607"/>
      <c r="G46" s="358">
        <f>+'Exhibit F'!H41+'Exhibit G'!H33</f>
        <v>10.199999999999998</v>
      </c>
      <c r="H46" s="519"/>
      <c r="I46" s="358">
        <f>+'Exhibit F'!J41+'Exhibit G'!J33</f>
        <v>0.20000000000000107</v>
      </c>
      <c r="J46" s="519"/>
      <c r="K46" s="358">
        <f>+'Exhibit F'!L41+'Exhibit G'!L33</f>
        <v>0</v>
      </c>
      <c r="L46" s="222"/>
      <c r="M46" s="358">
        <f>+'Exhibit F'!N41+'Exhibit G'!N33</f>
        <v>-0.70000000000000107</v>
      </c>
      <c r="N46" s="222"/>
      <c r="O46" s="3289"/>
      <c r="P46" s="222"/>
      <c r="Q46" s="358"/>
      <c r="R46" s="222"/>
      <c r="S46" s="358"/>
      <c r="T46" s="222"/>
      <c r="U46" s="358"/>
      <c r="V46" s="222"/>
      <c r="W46" s="358"/>
      <c r="X46" s="222"/>
      <c r="Y46" s="358"/>
      <c r="Z46" s="222"/>
      <c r="AA46" s="949"/>
      <c r="AB46" s="1620">
        <f>ROUND(SUM(C46:Y46),1)</f>
        <v>6.9</v>
      </c>
      <c r="AC46" s="3087"/>
      <c r="AD46" s="3288"/>
      <c r="AE46" s="3289">
        <f>+'Exhibit F'!AF41+'Exhibit G'!AG33</f>
        <v>164.3</v>
      </c>
      <c r="AF46" s="3087"/>
      <c r="AG46" s="3087"/>
      <c r="AH46" s="884">
        <f>ROUND(SUM(+AB46-AE46),1)</f>
        <v>-157.4</v>
      </c>
      <c r="AI46" s="112"/>
      <c r="AJ46" s="1713">
        <f>ROUND(IF(AE46=0,0,AH46/ABS(AE46)),3)</f>
        <v>-0.95799999999999996</v>
      </c>
    </row>
    <row r="47" spans="1:36" ht="16.5" customHeight="1">
      <c r="A47" s="661" t="s">
        <v>1020</v>
      </c>
      <c r="B47" s="661"/>
      <c r="C47" s="358">
        <f>+'Exhibit F'!D42+'Exhibit G'!D34+'Exhibit I'!E27</f>
        <v>68.900000000000006</v>
      </c>
      <c r="D47" s="607"/>
      <c r="E47" s="358">
        <f>+'Exhibit F'!F42+'Exhibit G'!F34+'Exhibit I'!G27</f>
        <v>90.199999999999989</v>
      </c>
      <c r="F47" s="607"/>
      <c r="G47" s="358">
        <f>+'Exhibit F'!H42+'Exhibit G'!H34+'Exhibit I'!I27</f>
        <v>92.6</v>
      </c>
      <c r="H47" s="519"/>
      <c r="I47" s="358">
        <f>+'Exhibit F'!J42+'Exhibit G'!J34+'Exhibit I'!K27</f>
        <v>99.000000000000014</v>
      </c>
      <c r="J47" s="519"/>
      <c r="K47" s="358">
        <f>+'Exhibit F'!L42+'Exhibit G'!L34+'Exhibit I'!M27</f>
        <v>95.80000000000004</v>
      </c>
      <c r="L47" s="222"/>
      <c r="M47" s="358">
        <f>+'Exhibit F'!N42+'Exhibit G'!N34+'Exhibit I'!O27</f>
        <v>77.499999999999986</v>
      </c>
      <c r="N47" s="222"/>
      <c r="O47" s="3289"/>
      <c r="P47" s="222"/>
      <c r="Q47" s="358"/>
      <c r="R47" s="222"/>
      <c r="S47" s="358"/>
      <c r="T47" s="222"/>
      <c r="U47" s="358"/>
      <c r="V47" s="222"/>
      <c r="W47" s="358"/>
      <c r="X47" s="222"/>
      <c r="Y47" s="358"/>
      <c r="Z47" s="222"/>
      <c r="AA47" s="949"/>
      <c r="AB47" s="1620">
        <f>ROUND(SUM(C47:Y47),1)</f>
        <v>524</v>
      </c>
      <c r="AC47" s="3087"/>
      <c r="AD47" s="3288"/>
      <c r="AE47" s="3289">
        <f>+'Exhibit F'!AF42+'Exhibit G'!AG34+'Exhibit I'!AI27</f>
        <v>467.1</v>
      </c>
      <c r="AF47" s="3087"/>
      <c r="AG47" s="3087"/>
      <c r="AH47" s="884">
        <f>ROUND(SUM(+AB47-AE47),1)</f>
        <v>56.9</v>
      </c>
      <c r="AI47" s="112"/>
      <c r="AJ47" s="1709">
        <f t="shared" si="6"/>
        <v>0.122</v>
      </c>
    </row>
    <row r="48" spans="1:36" ht="16.5" customHeight="1">
      <c r="A48" s="307" t="s">
        <v>1015</v>
      </c>
      <c r="B48" s="661"/>
      <c r="C48" s="875">
        <f>ROUND(SUM(C43:C47),1)</f>
        <v>969.8</v>
      </c>
      <c r="D48" s="23"/>
      <c r="E48" s="875">
        <f>ROUND(SUM(E43:E47),1)</f>
        <v>234.5</v>
      </c>
      <c r="F48" s="23"/>
      <c r="G48" s="875">
        <f>ROUND(SUM(G43:G47),1)</f>
        <v>2011.3</v>
      </c>
      <c r="H48" s="222"/>
      <c r="I48" s="875">
        <f>ROUND(SUM(I43:I47),1)</f>
        <v>381.4</v>
      </c>
      <c r="J48" s="222"/>
      <c r="K48" s="875">
        <f>ROUND(SUM(K43:K47),1)</f>
        <v>176.1</v>
      </c>
      <c r="L48" s="222"/>
      <c r="M48" s="875">
        <f>ROUND(SUM(M43:M47),1)</f>
        <v>2111.6999999999998</v>
      </c>
      <c r="N48" s="222"/>
      <c r="O48" s="3093">
        <f>ROUND(SUM(O43:O47),1)</f>
        <v>0</v>
      </c>
      <c r="P48" s="222"/>
      <c r="Q48" s="3093">
        <f>ROUND(SUM(Q43:Q47),1)</f>
        <v>0</v>
      </c>
      <c r="R48" s="222"/>
      <c r="S48" s="875">
        <f>ROUND(SUM(S43:S47),1)</f>
        <v>0</v>
      </c>
      <c r="T48" s="222"/>
      <c r="U48" s="875">
        <f>ROUND(SUM(U43:U47),1)</f>
        <v>0</v>
      </c>
      <c r="V48" s="222"/>
      <c r="W48" s="875">
        <f>ROUND(SUM(W43:W47),1)</f>
        <v>0</v>
      </c>
      <c r="X48" s="222"/>
      <c r="Y48" s="875">
        <f>ROUND(SUM(Y43:Y47),1)</f>
        <v>0</v>
      </c>
      <c r="Z48" s="222"/>
      <c r="AA48" s="949"/>
      <c r="AB48" s="3093">
        <f>ROUND(SUM(AB43:AB47),1)</f>
        <v>5884.8</v>
      </c>
      <c r="AC48" s="3087"/>
      <c r="AD48" s="3288"/>
      <c r="AE48" s="3093">
        <f>ROUND(SUM(AE43:AE47),1)</f>
        <v>4025.3</v>
      </c>
      <c r="AF48" s="3087"/>
      <c r="AG48" s="3087"/>
      <c r="AH48" s="3093">
        <f>ROUND(SUM(AH43:AH47),1)</f>
        <v>1859.5</v>
      </c>
      <c r="AI48" s="112"/>
      <c r="AJ48" s="3294">
        <f t="shared" si="6"/>
        <v>0.46200000000000002</v>
      </c>
    </row>
    <row r="49" spans="1:36" ht="16.5" customHeight="1">
      <c r="A49" s="1040" t="s">
        <v>1058</v>
      </c>
      <c r="B49" s="661"/>
      <c r="C49" s="604"/>
      <c r="D49" s="604"/>
      <c r="E49" s="604"/>
      <c r="F49" s="604"/>
      <c r="G49" s="604"/>
      <c r="H49" s="222"/>
      <c r="I49" s="604"/>
      <c r="J49" s="222"/>
      <c r="K49" s="604"/>
      <c r="L49" s="222"/>
      <c r="M49" s="604"/>
      <c r="N49" s="222"/>
      <c r="O49" s="3373"/>
      <c r="P49" s="222"/>
      <c r="Q49" s="3373"/>
      <c r="R49" s="222"/>
      <c r="S49" s="604"/>
      <c r="T49" s="222"/>
      <c r="U49" s="604"/>
      <c r="V49" s="222"/>
      <c r="W49" s="604"/>
      <c r="X49" s="222"/>
      <c r="Y49" s="604"/>
      <c r="Z49" s="222"/>
      <c r="AA49" s="949"/>
      <c r="AB49" s="3087"/>
      <c r="AC49" s="3087"/>
      <c r="AD49" s="3288"/>
      <c r="AE49" s="3291"/>
      <c r="AF49" s="3087"/>
      <c r="AG49" s="3087"/>
      <c r="AH49" s="112"/>
      <c r="AI49" s="112"/>
      <c r="AJ49" s="3292"/>
    </row>
    <row r="50" spans="1:36" ht="16.5" customHeight="1">
      <c r="A50" s="661" t="s">
        <v>1023</v>
      </c>
      <c r="B50" s="661"/>
      <c r="C50" s="1353">
        <f>+'Exhibit F'!D45</f>
        <v>0</v>
      </c>
      <c r="D50" s="607"/>
      <c r="E50" s="1353">
        <f>+'Exhibit F'!F45</f>
        <v>0</v>
      </c>
      <c r="F50" s="607"/>
      <c r="G50" s="1353">
        <f>+'Exhibit F'!H45</f>
        <v>0</v>
      </c>
      <c r="H50" s="519"/>
      <c r="I50" s="1353">
        <f>+'Exhibit F'!J45</f>
        <v>0</v>
      </c>
      <c r="J50" s="519"/>
      <c r="K50" s="1353">
        <f>+'Exhibit F'!L45</f>
        <v>0</v>
      </c>
      <c r="L50" s="222"/>
      <c r="M50" s="1353">
        <f>+'Exhibit F'!N45</f>
        <v>0</v>
      </c>
      <c r="N50" s="222"/>
      <c r="O50" s="1773"/>
      <c r="P50" s="222"/>
      <c r="Q50" s="1353"/>
      <c r="R50" s="222"/>
      <c r="S50" s="1353"/>
      <c r="T50" s="222"/>
      <c r="U50" s="1353"/>
      <c r="V50" s="222"/>
      <c r="W50" s="1353"/>
      <c r="X50" s="222"/>
      <c r="Y50" s="1353"/>
      <c r="Z50" s="222"/>
      <c r="AA50" s="949"/>
      <c r="AB50" s="1620">
        <f t="shared" ref="AB50:AB54" si="7">ROUND(SUM(C50:Y50),1)</f>
        <v>0</v>
      </c>
      <c r="AC50" s="3087"/>
      <c r="AD50" s="3288"/>
      <c r="AE50" s="1773">
        <f>+'Exhibit F'!AF45</f>
        <v>0</v>
      </c>
      <c r="AF50" s="3065"/>
      <c r="AG50" s="3065"/>
      <c r="AH50" s="1984">
        <f t="shared" ref="AH50:AH54" si="8">ROUND(SUM(+AB50-AE50),1)</f>
        <v>0</v>
      </c>
      <c r="AI50" s="1448"/>
      <c r="AJ50" s="1708">
        <f>-ROUND(IF(AE50=0,0,AH50/ABS(AE50)),3)</f>
        <v>0</v>
      </c>
    </row>
    <row r="51" spans="1:36" ht="16.5" customHeight="1">
      <c r="A51" s="661" t="s">
        <v>1024</v>
      </c>
      <c r="B51" s="661"/>
      <c r="C51" s="358">
        <f>+'Exhibit F'!D46</f>
        <v>119.8</v>
      </c>
      <c r="D51" s="607"/>
      <c r="E51" s="358">
        <f>+'Exhibit F'!F46</f>
        <v>117.00000000000001</v>
      </c>
      <c r="F51" s="607"/>
      <c r="G51" s="358">
        <f>+'Exhibit F'!H46</f>
        <v>108.89999999999996</v>
      </c>
      <c r="H51" s="519"/>
      <c r="I51" s="358">
        <f>+'Exhibit F'!J46</f>
        <v>103.10000000000004</v>
      </c>
      <c r="J51" s="519"/>
      <c r="K51" s="358">
        <f>+'Exhibit F'!L46</f>
        <v>100.59999999999998</v>
      </c>
      <c r="L51" s="519"/>
      <c r="M51" s="358">
        <f>+'Exhibit F'!N46</f>
        <v>108.70000000000012</v>
      </c>
      <c r="N51" s="222"/>
      <c r="O51" s="3289"/>
      <c r="P51" s="222"/>
      <c r="Q51" s="358"/>
      <c r="R51" s="222"/>
      <c r="S51" s="358"/>
      <c r="T51" s="222"/>
      <c r="U51" s="358"/>
      <c r="V51" s="222"/>
      <c r="W51" s="358"/>
      <c r="X51" s="222"/>
      <c r="Y51" s="358"/>
      <c r="Z51" s="222"/>
      <c r="AA51" s="949"/>
      <c r="AB51" s="1620">
        <f t="shared" si="7"/>
        <v>658.1</v>
      </c>
      <c r="AC51" s="3087"/>
      <c r="AD51" s="3288"/>
      <c r="AE51" s="3289">
        <f>+'Exhibit F'!AF46</f>
        <v>566.79999999999995</v>
      </c>
      <c r="AF51" s="3087"/>
      <c r="AG51" s="3087"/>
      <c r="AH51" s="884">
        <f t="shared" si="8"/>
        <v>91.3</v>
      </c>
      <c r="AI51" s="112"/>
      <c r="AJ51" s="1709">
        <f t="shared" ref="AJ51:AJ56" si="9">ROUND(IF(AE51=0,0,AH51/ABS(AE51)),3)</f>
        <v>0.161</v>
      </c>
    </row>
    <row r="52" spans="1:36" ht="16.5" customHeight="1">
      <c r="A52" s="661" t="s">
        <v>1025</v>
      </c>
      <c r="B52" s="661"/>
      <c r="C52" s="358">
        <f>+'Exhibit F'!D47</f>
        <v>1.3</v>
      </c>
      <c r="D52" s="607"/>
      <c r="E52" s="358">
        <f>+'Exhibit F'!F47</f>
        <v>1.0999999999999999</v>
      </c>
      <c r="F52" s="607"/>
      <c r="G52" s="358">
        <f>+'Exhibit F'!H47</f>
        <v>1.1000000000000003</v>
      </c>
      <c r="H52" s="519"/>
      <c r="I52" s="358">
        <f>+'Exhibit F'!J47</f>
        <v>1.0999999999999999</v>
      </c>
      <c r="J52" s="519"/>
      <c r="K52" s="358">
        <f>+'Exhibit F'!L47</f>
        <v>2.1000000000000005</v>
      </c>
      <c r="L52" s="519"/>
      <c r="M52" s="358">
        <f>+'Exhibit F'!N47</f>
        <v>1.7000000000000004</v>
      </c>
      <c r="N52" s="222"/>
      <c r="O52" s="3289"/>
      <c r="P52" s="222"/>
      <c r="Q52" s="358"/>
      <c r="R52" s="222"/>
      <c r="S52" s="358"/>
      <c r="T52" s="222"/>
      <c r="U52" s="358"/>
      <c r="V52" s="222"/>
      <c r="W52" s="358"/>
      <c r="X52" s="222"/>
      <c r="Y52" s="358"/>
      <c r="Z52" s="222"/>
      <c r="AA52" s="949"/>
      <c r="AB52" s="1620">
        <f t="shared" si="7"/>
        <v>8.4</v>
      </c>
      <c r="AC52" s="3087"/>
      <c r="AD52" s="3288"/>
      <c r="AE52" s="3289">
        <f>+'Exhibit F'!AF47</f>
        <v>4.8</v>
      </c>
      <c r="AF52" s="3087"/>
      <c r="AG52" s="3087"/>
      <c r="AH52" s="884">
        <f t="shared" si="8"/>
        <v>3.6</v>
      </c>
      <c r="AI52" s="112"/>
      <c r="AJ52" s="1709">
        <f t="shared" si="9"/>
        <v>0.75</v>
      </c>
    </row>
    <row r="53" spans="1:36" ht="16.5" customHeight="1">
      <c r="A53" s="661" t="s">
        <v>1026</v>
      </c>
      <c r="B53" s="661"/>
      <c r="C53" s="358">
        <f>+'Exhibit F'!D48+'Exhibit H'!B22+'Exhibit I'!E30</f>
        <v>97.4</v>
      </c>
      <c r="D53" s="607"/>
      <c r="E53" s="358">
        <f>+'Exhibit F'!F48+'Exhibit H'!D22+'Exhibit I'!G30</f>
        <v>110</v>
      </c>
      <c r="F53" s="607"/>
      <c r="G53" s="358">
        <f>+'Exhibit F'!H48+'Exhibit H'!F22+'Exhibit I'!I30</f>
        <v>127</v>
      </c>
      <c r="H53" s="519"/>
      <c r="I53" s="358">
        <f>+'Exhibit F'!J48+'Exhibit H'!H22+'Exhibit I'!K30</f>
        <v>143.90000000000003</v>
      </c>
      <c r="J53" s="519"/>
      <c r="K53" s="358">
        <f>+'Exhibit F'!L48+'Exhibit H'!J22+'Exhibit I'!M30</f>
        <v>151.89999999999998</v>
      </c>
      <c r="L53" s="519"/>
      <c r="M53" s="358">
        <f>+'Exhibit F'!N48+'Exhibit H'!L22+'Exhibit I'!O30</f>
        <v>145.29999999999998</v>
      </c>
      <c r="N53" s="222"/>
      <c r="O53" s="3289"/>
      <c r="P53" s="222"/>
      <c r="Q53" s="358"/>
      <c r="R53" s="222"/>
      <c r="S53" s="358"/>
      <c r="T53" s="222"/>
      <c r="U53" s="358"/>
      <c r="V53" s="222"/>
      <c r="W53" s="358"/>
      <c r="X53" s="222"/>
      <c r="Y53" s="358"/>
      <c r="Z53" s="222"/>
      <c r="AA53" s="949"/>
      <c r="AB53" s="1620">
        <f t="shared" si="7"/>
        <v>775.5</v>
      </c>
      <c r="AC53" s="3087"/>
      <c r="AD53" s="3288"/>
      <c r="AE53" s="3289">
        <f>+'Exhibit F'!AF48+'Exhibit H'!AD22+'Exhibit I'!AI30</f>
        <v>370.8</v>
      </c>
      <c r="AF53" s="3087"/>
      <c r="AG53" s="3087"/>
      <c r="AH53" s="884">
        <f t="shared" si="8"/>
        <v>404.7</v>
      </c>
      <c r="AI53" s="112"/>
      <c r="AJ53" s="1709">
        <f t="shared" si="9"/>
        <v>1.091</v>
      </c>
    </row>
    <row r="54" spans="1:36" ht="16.5" customHeight="1">
      <c r="A54" s="661" t="s">
        <v>1027</v>
      </c>
      <c r="B54" s="661"/>
      <c r="C54" s="358">
        <f>+'Exhibit F'!D49</f>
        <v>0</v>
      </c>
      <c r="D54" s="607"/>
      <c r="E54" s="358">
        <f>+'Exhibit F'!F49</f>
        <v>0</v>
      </c>
      <c r="F54" s="607"/>
      <c r="G54" s="358">
        <f>+'Exhibit F'!H49</f>
        <v>0</v>
      </c>
      <c r="H54" s="519"/>
      <c r="I54" s="358">
        <f>+'Exhibit F'!J49</f>
        <v>0</v>
      </c>
      <c r="J54" s="519"/>
      <c r="K54" s="358">
        <f>+'Exhibit F'!L49</f>
        <v>0.1</v>
      </c>
      <c r="L54" s="519"/>
      <c r="M54" s="358">
        <f>+'Exhibit F'!N49</f>
        <v>0.19999999999999998</v>
      </c>
      <c r="N54" s="222"/>
      <c r="O54" s="3289"/>
      <c r="P54" s="222"/>
      <c r="Q54" s="358"/>
      <c r="R54" s="222"/>
      <c r="S54" s="358"/>
      <c r="T54" s="222"/>
      <c r="U54" s="358"/>
      <c r="V54" s="222"/>
      <c r="W54" s="358"/>
      <c r="X54" s="222"/>
      <c r="Y54" s="358"/>
      <c r="Z54" s="222"/>
      <c r="AA54" s="949"/>
      <c r="AB54" s="1620">
        <f t="shared" si="7"/>
        <v>0.3</v>
      </c>
      <c r="AC54" s="3087"/>
      <c r="AD54" s="3288"/>
      <c r="AE54" s="3289">
        <f>+'Exhibit F'!AF49</f>
        <v>0.1</v>
      </c>
      <c r="AF54" s="3087"/>
      <c r="AG54" s="3087"/>
      <c r="AH54" s="884">
        <f t="shared" si="8"/>
        <v>0.2</v>
      </c>
      <c r="AI54" s="112"/>
      <c r="AJ54" s="1709">
        <f>ROUND(IF(AE54=0,0,AH54/ABS(AE54)),3)</f>
        <v>2</v>
      </c>
    </row>
    <row r="55" spans="1:36" ht="16.5" customHeight="1">
      <c r="A55" s="2741" t="s">
        <v>1284</v>
      </c>
      <c r="B55" s="661"/>
      <c r="C55" s="358">
        <f>+'Exhibit F'!D50+'Exhibit H'!B23</f>
        <v>0.2</v>
      </c>
      <c r="D55" s="607"/>
      <c r="E55" s="358">
        <f>+'Exhibit F'!F50+'Exhibit H'!D23</f>
        <v>0.2</v>
      </c>
      <c r="F55" s="607"/>
      <c r="G55" s="358">
        <f>+'Exhibit F'!H50+'Exhibit H'!F23</f>
        <v>0.19999999999999996</v>
      </c>
      <c r="H55" s="519"/>
      <c r="I55" s="358">
        <f>+'Exhibit F'!J50+'Exhibit H'!H23</f>
        <v>0.40000000000000013</v>
      </c>
      <c r="J55" s="519"/>
      <c r="K55" s="358">
        <f>+'Exhibit F'!L50+'Exhibit H'!J23</f>
        <v>0.29999999999999993</v>
      </c>
      <c r="L55" s="1517"/>
      <c r="M55" s="358">
        <f>+'Exhibit F'!N50+'Exhibit H'!L23</f>
        <v>0.30000000000000016</v>
      </c>
      <c r="N55" s="1517"/>
      <c r="O55" s="3289"/>
      <c r="P55" s="1517"/>
      <c r="Q55" s="358"/>
      <c r="R55" s="1517"/>
      <c r="S55" s="358"/>
      <c r="T55" s="1517"/>
      <c r="U55" s="358"/>
      <c r="V55" s="1517"/>
      <c r="W55" s="358"/>
      <c r="X55" s="1517"/>
      <c r="Y55" s="358"/>
      <c r="Z55" s="1517"/>
      <c r="AA55" s="949"/>
      <c r="AB55" s="1620">
        <f t="shared" ref="AB55" si="10">ROUND(SUM(C55:Y55),1)</f>
        <v>1.6</v>
      </c>
      <c r="AC55" s="3087"/>
      <c r="AD55" s="3288"/>
      <c r="AE55" s="3289">
        <f>+'Exhibit F'!AF50+'Exhibit H'!AD23</f>
        <v>0.8</v>
      </c>
      <c r="AF55" s="3087"/>
      <c r="AG55" s="3087"/>
      <c r="AH55" s="884">
        <f>ROUND(SUM(+AB55-AE55),1)</f>
        <v>0.8</v>
      </c>
      <c r="AI55" s="3290"/>
      <c r="AJ55" s="1796">
        <f>ROUND(IF(AE55=0,1,AH55/ABS(AE55)),3)</f>
        <v>1</v>
      </c>
    </row>
    <row r="56" spans="1:36" ht="16.5" customHeight="1">
      <c r="A56" s="307" t="s">
        <v>1021</v>
      </c>
      <c r="B56" s="661"/>
      <c r="C56" s="875">
        <f>ROUND(SUM(C50:C55),1)</f>
        <v>218.7</v>
      </c>
      <c r="D56" s="23"/>
      <c r="E56" s="875">
        <f>ROUND(SUM(E50:E55),1)</f>
        <v>228.3</v>
      </c>
      <c r="F56" s="23"/>
      <c r="G56" s="875">
        <f>ROUND(SUM(G50:G55),1)</f>
        <v>237.2</v>
      </c>
      <c r="H56" s="222"/>
      <c r="I56" s="875">
        <f>ROUND(SUM(I50:I55),1)</f>
        <v>248.5</v>
      </c>
      <c r="J56" s="222"/>
      <c r="K56" s="875">
        <f>ROUND(SUM(K50:K55),1)</f>
        <v>255</v>
      </c>
      <c r="L56" s="222"/>
      <c r="M56" s="875">
        <f>ROUND(SUM(M50:M55),1)</f>
        <v>256.2</v>
      </c>
      <c r="N56" s="222"/>
      <c r="O56" s="3093">
        <f>ROUND(SUM(O50:O55),1)</f>
        <v>0</v>
      </c>
      <c r="P56" s="222"/>
      <c r="Q56" s="3093">
        <f>ROUND(SUM(Q50:Q55),1)</f>
        <v>0</v>
      </c>
      <c r="R56" s="222"/>
      <c r="S56" s="875">
        <f>ROUND(SUM(S50:S55),1)</f>
        <v>0</v>
      </c>
      <c r="T56" s="222"/>
      <c r="U56" s="875">
        <f>ROUND(SUM(U50:U55),1)</f>
        <v>0</v>
      </c>
      <c r="V56" s="222"/>
      <c r="W56" s="875">
        <f>ROUND(SUM(W50:W55),1)</f>
        <v>0</v>
      </c>
      <c r="X56" s="222"/>
      <c r="Y56" s="875">
        <f>ROUND(SUM(Y50:Y55),1)</f>
        <v>0</v>
      </c>
      <c r="Z56" s="222"/>
      <c r="AA56" s="949"/>
      <c r="AB56" s="3093">
        <f>ROUND(SUM(AB50:AB55),1)</f>
        <v>1443.9</v>
      </c>
      <c r="AC56" s="3087"/>
      <c r="AD56" s="3288"/>
      <c r="AE56" s="3093">
        <f>ROUND(SUM(AE50:AE55),1)</f>
        <v>943.3</v>
      </c>
      <c r="AF56" s="3087"/>
      <c r="AG56" s="3087"/>
      <c r="AH56" s="3093">
        <f>ROUND(SUM(AH50:AH55),1)</f>
        <v>500.6</v>
      </c>
      <c r="AI56" s="112"/>
      <c r="AJ56" s="3294">
        <f t="shared" si="9"/>
        <v>0.53100000000000003</v>
      </c>
    </row>
    <row r="57" spans="1:36" ht="16.5" customHeight="1">
      <c r="A57" s="307"/>
      <c r="B57" s="661"/>
      <c r="C57" s="24"/>
      <c r="D57" s="24"/>
      <c r="E57" s="24"/>
      <c r="F57" s="24"/>
      <c r="G57" s="24"/>
      <c r="H57" s="1064"/>
      <c r="I57" s="24"/>
      <c r="J57" s="1064"/>
      <c r="K57" s="24"/>
      <c r="L57" s="1064"/>
      <c r="M57" s="24"/>
      <c r="N57" s="1064"/>
      <c r="O57" s="3374"/>
      <c r="P57" s="1064"/>
      <c r="Q57" s="3374"/>
      <c r="R57" s="1064"/>
      <c r="S57" s="24"/>
      <c r="T57" s="1064"/>
      <c r="U57" s="24"/>
      <c r="V57" s="1064"/>
      <c r="W57" s="24"/>
      <c r="X57" s="1064"/>
      <c r="Y57" s="24"/>
      <c r="Z57" s="222"/>
      <c r="AA57" s="518"/>
      <c r="AB57" s="3094"/>
      <c r="AC57" s="3087"/>
      <c r="AD57" s="3288"/>
      <c r="AE57" s="3094"/>
      <c r="AF57" s="3087"/>
      <c r="AG57" s="3087"/>
      <c r="AH57" s="640"/>
      <c r="AI57" s="3087"/>
      <c r="AJ57" s="640"/>
    </row>
    <row r="58" spans="1:36" ht="16.5" customHeight="1">
      <c r="A58" s="307" t="s">
        <v>1022</v>
      </c>
      <c r="B58" s="27"/>
      <c r="C58" s="25">
        <f>ROUND(SUM(C56+C48+C41+C30),1)</f>
        <v>9192</v>
      </c>
      <c r="D58" s="63"/>
      <c r="E58" s="25">
        <f>ROUND(SUM(E56+E48+E41+E30),1)</f>
        <v>11707.6</v>
      </c>
      <c r="F58" s="63"/>
      <c r="G58" s="25">
        <f>ROUND(SUM(G56+G48+G41+G30),1)</f>
        <v>9981.6</v>
      </c>
      <c r="H58" s="63"/>
      <c r="I58" s="25">
        <f>ROUND(SUM(I56+I48+I41+I30),1)</f>
        <v>5557.9</v>
      </c>
      <c r="J58" s="63"/>
      <c r="K58" s="25">
        <f>ROUND(SUM(K56+K48+K41+K30),1)</f>
        <v>5738.7</v>
      </c>
      <c r="L58" s="63"/>
      <c r="M58" s="25">
        <f>ROUND(SUM(M56+M48+M41+M30),1)</f>
        <v>10766.8</v>
      </c>
      <c r="N58" s="63"/>
      <c r="O58" s="3375">
        <f>ROUND(SUM(O56+O48+O41+O30),1)</f>
        <v>0</v>
      </c>
      <c r="P58" s="63"/>
      <c r="Q58" s="3375">
        <f>ROUND(SUM(Q56+Q48+Q41+Q30),1)</f>
        <v>0</v>
      </c>
      <c r="R58" s="63"/>
      <c r="S58" s="25">
        <f>ROUND(SUM(S56+S48+S41+S30),1)</f>
        <v>0</v>
      </c>
      <c r="T58" s="63"/>
      <c r="U58" s="25">
        <f>ROUND(SUM(U56+U48+U41+U30),1)</f>
        <v>0</v>
      </c>
      <c r="V58" s="63"/>
      <c r="W58" s="25">
        <f>ROUND(SUM(W56+W48+W41+W30),1)</f>
        <v>0</v>
      </c>
      <c r="X58" s="162"/>
      <c r="Y58" s="25">
        <f>ROUND(SUM(Y56+Y48+Y41+Y30),1)</f>
        <v>0</v>
      </c>
      <c r="Z58" s="162"/>
      <c r="AA58" s="42"/>
      <c r="AB58" s="310">
        <f>ROUND(+AB56+AB48+AB41+AB30,1)</f>
        <v>52944.6</v>
      </c>
      <c r="AC58" s="115"/>
      <c r="AD58" s="668"/>
      <c r="AE58" s="310">
        <f>ROUND(+AE56+AE48+AE41+AE30,1)</f>
        <v>39552.800000000003</v>
      </c>
      <c r="AF58" s="64"/>
      <c r="AG58" s="3295"/>
      <c r="AH58" s="310">
        <f>ROUND(+AH56+AH48+AH41+AH30,1)</f>
        <v>13391.8</v>
      </c>
      <c r="AI58" s="1013"/>
      <c r="AJ58" s="3296">
        <f>ROUND(IF(AE58=0,0,AH58/ABS(AE58)),3)</f>
        <v>0.33900000000000002</v>
      </c>
    </row>
    <row r="59" spans="1:36" ht="16.5" customHeight="1">
      <c r="A59" s="222"/>
      <c r="B59" s="222"/>
      <c r="C59" s="519"/>
      <c r="D59" s="519"/>
      <c r="E59" s="519"/>
      <c r="F59" s="519"/>
      <c r="G59" s="519"/>
      <c r="H59" s="519"/>
      <c r="I59" s="519"/>
      <c r="J59" s="519"/>
      <c r="K59" s="519"/>
      <c r="L59" s="519"/>
      <c r="M59" s="519"/>
      <c r="N59" s="519"/>
      <c r="O59" s="1620"/>
      <c r="P59" s="519"/>
      <c r="Q59" s="1620"/>
      <c r="R59" s="519"/>
      <c r="S59" s="519"/>
      <c r="T59" s="519"/>
      <c r="U59" s="519"/>
      <c r="V59" s="519"/>
      <c r="W59" s="519"/>
      <c r="X59" s="519"/>
      <c r="Y59" s="519"/>
      <c r="Z59" s="519"/>
      <c r="AA59" s="520"/>
      <c r="AB59" s="1620"/>
      <c r="AC59" s="1620"/>
      <c r="AD59" s="3297"/>
      <c r="AE59" s="1620"/>
      <c r="AF59" s="1620"/>
      <c r="AG59" s="1620"/>
      <c r="AH59" s="1620"/>
      <c r="AI59" s="3087"/>
      <c r="AJ59" s="3298"/>
    </row>
    <row r="60" spans="1:36" ht="16.5" customHeight="1">
      <c r="A60" s="258" t="s">
        <v>930</v>
      </c>
      <c r="B60" s="879"/>
      <c r="C60" s="519"/>
      <c r="D60" s="519"/>
      <c r="E60" s="519"/>
      <c r="F60" s="519"/>
      <c r="G60" s="519" t="s">
        <v>14</v>
      </c>
      <c r="H60" s="519"/>
      <c r="I60" s="519" t="s">
        <v>14</v>
      </c>
      <c r="J60" s="519"/>
      <c r="K60" s="519" t="s">
        <v>14</v>
      </c>
      <c r="L60" s="519"/>
      <c r="M60" s="519"/>
      <c r="N60" s="519"/>
      <c r="O60" s="1620"/>
      <c r="P60" s="519"/>
      <c r="Q60" s="1620"/>
      <c r="R60" s="519"/>
      <c r="S60" s="519"/>
      <c r="T60" s="519"/>
      <c r="U60" s="519"/>
      <c r="V60" s="519"/>
      <c r="W60" s="519"/>
      <c r="X60" s="519"/>
      <c r="Y60" s="519"/>
      <c r="Z60" s="519"/>
      <c r="AA60" s="520"/>
      <c r="AB60" s="1620"/>
      <c r="AC60" s="1620"/>
      <c r="AD60" s="3297"/>
      <c r="AE60" s="1620"/>
      <c r="AF60" s="1620"/>
      <c r="AG60" s="1620"/>
      <c r="AH60" s="1620"/>
      <c r="AI60" s="3087"/>
      <c r="AJ60" s="3298"/>
    </row>
    <row r="61" spans="1:36" ht="16.5" customHeight="1">
      <c r="A61" s="881" t="s">
        <v>1049</v>
      </c>
      <c r="B61" s="879"/>
      <c r="C61" s="519"/>
      <c r="D61" s="519"/>
      <c r="E61" s="519"/>
      <c r="F61" s="519"/>
      <c r="G61" s="519"/>
      <c r="H61" s="519"/>
      <c r="I61" s="519"/>
      <c r="J61" s="519"/>
      <c r="K61" s="519"/>
      <c r="L61" s="519"/>
      <c r="M61" s="519"/>
      <c r="N61" s="519"/>
      <c r="O61" s="1620"/>
      <c r="P61" s="519"/>
      <c r="Q61" s="1620"/>
      <c r="R61" s="519"/>
      <c r="S61" s="519"/>
      <c r="T61" s="519"/>
      <c r="U61" s="519"/>
      <c r="V61" s="519"/>
      <c r="W61" s="519"/>
      <c r="X61" s="519"/>
      <c r="Y61" s="519"/>
      <c r="Z61" s="519"/>
      <c r="AA61" s="520"/>
      <c r="AB61" s="1620"/>
      <c r="AC61" s="1620"/>
      <c r="AD61" s="3297"/>
      <c r="AE61" s="1620"/>
      <c r="AF61" s="1620"/>
      <c r="AG61" s="1620"/>
      <c r="AH61" s="1620"/>
      <c r="AI61" s="3087"/>
      <c r="AJ61" s="3298"/>
    </row>
    <row r="62" spans="1:36" ht="16.5" customHeight="1">
      <c r="A62" s="881" t="s">
        <v>928</v>
      </c>
      <c r="B62" s="881"/>
      <c r="C62" s="519">
        <f>+'Exhibit F'!D57+'Exhibit G'!D41</f>
        <v>1.3</v>
      </c>
      <c r="D62" s="519"/>
      <c r="E62" s="519">
        <f>+'Exhibit F'!F57+'Exhibit G'!F41</f>
        <v>0.99999999999999989</v>
      </c>
      <c r="F62" s="519"/>
      <c r="G62" s="519">
        <f>+'Exhibit F'!H57+'Exhibit G'!H41</f>
        <v>0.80000000000000038</v>
      </c>
      <c r="H62" s="519"/>
      <c r="I62" s="519">
        <f>+'Exhibit F'!J57+'Exhibit G'!J41</f>
        <v>0.8999999999999998</v>
      </c>
      <c r="J62" s="519"/>
      <c r="K62" s="519">
        <f>+'Exhibit F'!L57+'Exhibit G'!L41</f>
        <v>10.9</v>
      </c>
      <c r="L62" s="519"/>
      <c r="M62" s="519">
        <f>+'Exhibit F'!N57+'Exhibit G'!N41</f>
        <v>101.2</v>
      </c>
      <c r="N62" s="519"/>
      <c r="O62" s="1620"/>
      <c r="P62" s="519"/>
      <c r="Q62" s="519"/>
      <c r="R62" s="519"/>
      <c r="S62" s="519"/>
      <c r="T62" s="519"/>
      <c r="U62" s="519"/>
      <c r="V62" s="519"/>
      <c r="W62" s="519"/>
      <c r="X62" s="519"/>
      <c r="Y62" s="519"/>
      <c r="Z62" s="519"/>
      <c r="AA62" s="520"/>
      <c r="AB62" s="1620">
        <f t="shared" ref="AB62:AB102" si="11">ROUND(SUM(C62:Y62),1)</f>
        <v>116.1</v>
      </c>
      <c r="AC62" s="1620"/>
      <c r="AD62" s="3297"/>
      <c r="AE62" s="1620">
        <f>+'Exhibit F'!AF57+'Exhibit G'!AG41</f>
        <v>115.89999999999998</v>
      </c>
      <c r="AF62" s="1620"/>
      <c r="AG62" s="1620"/>
      <c r="AH62" s="1620">
        <f t="shared" ref="AH62:AH102" si="12">ROUND(SUM(AB62-AE62),1)</f>
        <v>0.2</v>
      </c>
      <c r="AI62" s="3087"/>
      <c r="AJ62" s="1709">
        <f>ROUND(IF(AE62=0,0,AH62/ABS(AE62)),3)</f>
        <v>2E-3</v>
      </c>
    </row>
    <row r="63" spans="1:36" ht="16.5" customHeight="1">
      <c r="A63" s="881" t="s">
        <v>929</v>
      </c>
      <c r="B63" s="881"/>
      <c r="C63" s="519">
        <f>+'Exhibit F'!D58+'Exhibit I'!E37</f>
        <v>1</v>
      </c>
      <c r="D63" s="519"/>
      <c r="E63" s="519">
        <f>+'Exhibit F'!F58+'Exhibit I'!G37</f>
        <v>0.30000000000000004</v>
      </c>
      <c r="F63" s="519"/>
      <c r="G63" s="519">
        <f>+'Exhibit F'!H58+'Exhibit I'!I37</f>
        <v>31.1</v>
      </c>
      <c r="H63" s="519"/>
      <c r="I63" s="519">
        <f>+'Exhibit F'!J58+'Exhibit I'!K37</f>
        <v>2</v>
      </c>
      <c r="J63" s="519"/>
      <c r="K63" s="519">
        <f>+'Exhibit F'!L58+'Exhibit I'!M37</f>
        <v>0.19999999999999929</v>
      </c>
      <c r="L63" s="519"/>
      <c r="M63" s="519">
        <f>+'Exhibit F'!N58+'Exhibit I'!O37</f>
        <v>34.9</v>
      </c>
      <c r="N63" s="519"/>
      <c r="O63" s="1620"/>
      <c r="P63" s="519"/>
      <c r="Q63" s="519"/>
      <c r="R63" s="519"/>
      <c r="S63" s="519"/>
      <c r="T63" s="519"/>
      <c r="U63" s="519"/>
      <c r="V63" s="519"/>
      <c r="W63" s="519"/>
      <c r="X63" s="519"/>
      <c r="Y63" s="519"/>
      <c r="Z63" s="519"/>
      <c r="AA63" s="520"/>
      <c r="AB63" s="1620">
        <f t="shared" si="11"/>
        <v>69.5</v>
      </c>
      <c r="AC63" s="1620"/>
      <c r="AD63" s="3297"/>
      <c r="AE63" s="1620">
        <f>+'Exhibit F'!AF58+'Exhibit I'!AI37</f>
        <v>83.3</v>
      </c>
      <c r="AF63" s="1620"/>
      <c r="AG63" s="1620"/>
      <c r="AH63" s="1620">
        <f t="shared" si="12"/>
        <v>-13.8</v>
      </c>
      <c r="AI63" s="3087"/>
      <c r="AJ63" s="1709">
        <f>ROUND(IF(AE63=0,0,AH63/ABS(AE63)),3)</f>
        <v>-0.16600000000000001</v>
      </c>
    </row>
    <row r="64" spans="1:36" ht="16.5" customHeight="1">
      <c r="A64" s="881" t="s">
        <v>1050</v>
      </c>
      <c r="B64" s="881"/>
      <c r="C64" s="519"/>
      <c r="D64" s="519"/>
      <c r="E64" s="519"/>
      <c r="F64" s="519"/>
      <c r="G64" s="519"/>
      <c r="H64" s="519"/>
      <c r="I64" s="519"/>
      <c r="J64" s="519"/>
      <c r="K64" s="519"/>
      <c r="L64" s="519"/>
      <c r="M64" s="519"/>
      <c r="N64" s="519"/>
      <c r="O64" s="1620"/>
      <c r="P64" s="519"/>
      <c r="Q64" s="519"/>
      <c r="R64" s="519"/>
      <c r="S64" s="519"/>
      <c r="T64" s="519"/>
      <c r="U64" s="519"/>
      <c r="V64" s="519"/>
      <c r="W64" s="519"/>
      <c r="X64" s="519"/>
      <c r="Y64" s="519"/>
      <c r="Z64" s="519"/>
      <c r="AA64" s="520"/>
      <c r="AB64" s="1620"/>
      <c r="AC64" s="1620"/>
      <c r="AD64" s="3297"/>
      <c r="AE64" s="1620"/>
      <c r="AF64" s="1620"/>
      <c r="AG64" s="1620"/>
      <c r="AH64" s="1620"/>
      <c r="AI64" s="3087"/>
      <c r="AJ64" s="1709"/>
    </row>
    <row r="65" spans="1:36" ht="16.5" customHeight="1">
      <c r="A65" s="881" t="s">
        <v>933</v>
      </c>
      <c r="B65" s="881"/>
      <c r="C65" s="519">
        <f>+'Exhibit F'!D60+'Exhibit G'!D43+'Exhibit I'!E39</f>
        <v>79.2</v>
      </c>
      <c r="D65" s="519"/>
      <c r="E65" s="519">
        <f>+'Exhibit F'!F60+'Exhibit G'!F43+'Exhibit I'!G39</f>
        <v>48.3</v>
      </c>
      <c r="F65" s="519"/>
      <c r="G65" s="519">
        <f>+'Exhibit F'!H60+'Exhibit G'!H43+'Exhibit I'!I39</f>
        <v>67.400000000000006</v>
      </c>
      <c r="H65" s="519"/>
      <c r="I65" s="519">
        <f>+'Exhibit F'!J60+'Exhibit G'!J43+'Exhibit I'!K39</f>
        <v>101.89999999999998</v>
      </c>
      <c r="J65" s="519"/>
      <c r="K65" s="519">
        <f>+'Exhibit F'!L60+'Exhibit G'!L43+'Exhibit I'!M39</f>
        <v>37.200000000000024</v>
      </c>
      <c r="L65" s="519"/>
      <c r="M65" s="519">
        <f>+'Exhibit F'!N60+'Exhibit G'!N43+'Exhibit I'!O39</f>
        <v>35.799999999999997</v>
      </c>
      <c r="N65" s="519"/>
      <c r="O65" s="1620"/>
      <c r="P65" s="519"/>
      <c r="Q65" s="519"/>
      <c r="R65" s="519"/>
      <c r="S65" s="519"/>
      <c r="T65" s="519"/>
      <c r="U65" s="519"/>
      <c r="V65" s="519"/>
      <c r="W65" s="519"/>
      <c r="X65" s="519"/>
      <c r="Y65" s="519"/>
      <c r="Z65" s="519"/>
      <c r="AA65" s="520"/>
      <c r="AB65" s="1620">
        <f>ROUND(SUM(C65:Y65),1)</f>
        <v>369.8</v>
      </c>
      <c r="AC65" s="1620"/>
      <c r="AD65" s="3297"/>
      <c r="AE65" s="1620">
        <f>+'Exhibit F'!AF60+'Exhibit G'!AG43+'Exhibit I'!AI39</f>
        <v>408.40000000000003</v>
      </c>
      <c r="AF65" s="1620"/>
      <c r="AG65" s="1620"/>
      <c r="AH65" s="1620">
        <f t="shared" si="12"/>
        <v>-38.6</v>
      </c>
      <c r="AI65" s="3087"/>
      <c r="AJ65" s="1709">
        <f>ROUND(IF(AE65=0,0,AH65/ABS(AE65)),3)</f>
        <v>-9.5000000000000001E-2</v>
      </c>
    </row>
    <row r="66" spans="1:36" ht="16.5" customHeight="1">
      <c r="A66" s="881" t="s">
        <v>934</v>
      </c>
      <c r="B66" s="881"/>
      <c r="C66" s="519">
        <f>+'Exhibit F'!D61+'Exhibit G'!D44</f>
        <v>484.5</v>
      </c>
      <c r="D66" s="519"/>
      <c r="E66" s="519">
        <f>+'Exhibit F'!F61+'Exhibit G'!F44</f>
        <v>533.89999999999986</v>
      </c>
      <c r="F66" s="519"/>
      <c r="G66" s="519">
        <f>+'Exhibit F'!H61+'Exhibit G'!H44</f>
        <v>544.90000000000009</v>
      </c>
      <c r="H66" s="519"/>
      <c r="I66" s="519">
        <f>+'Exhibit F'!J61+'Exhibit G'!J44</f>
        <v>526.30000000000018</v>
      </c>
      <c r="J66" s="519"/>
      <c r="K66" s="519">
        <f>+'Exhibit F'!L61+'Exhibit G'!L44</f>
        <v>536.0999999999998</v>
      </c>
      <c r="L66" s="519"/>
      <c r="M66" s="519">
        <f>+'Exhibit F'!N61+'Exhibit G'!N44</f>
        <v>530.40000000000032</v>
      </c>
      <c r="N66" s="519"/>
      <c r="O66" s="1620"/>
      <c r="P66" s="519"/>
      <c r="Q66" s="519"/>
      <c r="R66" s="519"/>
      <c r="S66" s="519"/>
      <c r="T66" s="519"/>
      <c r="U66" s="519"/>
      <c r="V66" s="519"/>
      <c r="W66" s="519"/>
      <c r="X66" s="519"/>
      <c r="Y66" s="519"/>
      <c r="Z66" s="519"/>
      <c r="AA66" s="520"/>
      <c r="AB66" s="1620">
        <f t="shared" si="11"/>
        <v>3156.1</v>
      </c>
      <c r="AC66" s="1620"/>
      <c r="AD66" s="3297"/>
      <c r="AE66" s="1620">
        <f>+'Exhibit F'!AF61+'Exhibit G'!AG44+'Exhibit H'!AD30</f>
        <v>2970.3</v>
      </c>
      <c r="AF66" s="1620"/>
      <c r="AG66" s="1620"/>
      <c r="AH66" s="1620">
        <f t="shared" si="12"/>
        <v>185.8</v>
      </c>
      <c r="AI66" s="3087"/>
      <c r="AJ66" s="1709">
        <f>ROUND(IF(AE66=0,0,AH66/ABS(AE66)),3)</f>
        <v>6.3E-2</v>
      </c>
    </row>
    <row r="67" spans="1:36" ht="16.5" customHeight="1">
      <c r="A67" s="881" t="s">
        <v>935</v>
      </c>
      <c r="B67" s="881"/>
      <c r="C67" s="519">
        <f>+'Exhibit F'!D62+'Exhibit G'!D45</f>
        <v>1.5</v>
      </c>
      <c r="D67" s="519"/>
      <c r="E67" s="519">
        <f>+'Exhibit F'!F62+'Exhibit G'!F45</f>
        <v>0</v>
      </c>
      <c r="F67" s="519"/>
      <c r="G67" s="519">
        <f>+'Exhibit F'!H62+'Exhibit G'!H45</f>
        <v>0.70000000000000018</v>
      </c>
      <c r="H67" s="519"/>
      <c r="I67" s="519">
        <f>+'Exhibit F'!J62+'Exhibit G'!J45</f>
        <v>0</v>
      </c>
      <c r="J67" s="519"/>
      <c r="K67" s="519">
        <f>+'Exhibit F'!L62+'Exhibit G'!L45</f>
        <v>9.9999999999999645E-2</v>
      </c>
      <c r="L67" s="519"/>
      <c r="M67" s="519">
        <f>+'Exhibit F'!N62+'Exhibit G'!N45</f>
        <v>44.4</v>
      </c>
      <c r="N67" s="519"/>
      <c r="O67" s="1620"/>
      <c r="P67" s="519"/>
      <c r="Q67" s="519"/>
      <c r="R67" s="519"/>
      <c r="S67" s="519"/>
      <c r="T67" s="519"/>
      <c r="U67" s="519"/>
      <c r="V67" s="519"/>
      <c r="W67" s="519"/>
      <c r="X67" s="519"/>
      <c r="Y67" s="519"/>
      <c r="Z67" s="519"/>
      <c r="AA67" s="520"/>
      <c r="AB67" s="1620">
        <f t="shared" si="11"/>
        <v>46.7</v>
      </c>
      <c r="AC67" s="1620"/>
      <c r="AD67" s="3297"/>
      <c r="AE67" s="1620">
        <f>+'Exhibit F'!AF62+'Exhibit G'!AG45</f>
        <v>50.7</v>
      </c>
      <c r="AF67" s="1620"/>
      <c r="AG67" s="1620"/>
      <c r="AH67" s="1620">
        <f t="shared" si="12"/>
        <v>-4</v>
      </c>
      <c r="AI67" s="3087"/>
      <c r="AJ67" s="3293">
        <f>ROUND(IF(AE67=0,0,AH67/ABS(AE67)),3)</f>
        <v>-7.9000000000000001E-2</v>
      </c>
    </row>
    <row r="68" spans="1:36" ht="16.5" customHeight="1">
      <c r="A68" s="881" t="s">
        <v>936</v>
      </c>
      <c r="B68" s="881"/>
      <c r="C68" s="519">
        <f>+'Exhibit F'!D63+'Exhibit G'!D46</f>
        <v>0</v>
      </c>
      <c r="D68" s="519"/>
      <c r="E68" s="519">
        <f>+'Exhibit F'!F63+'Exhibit G'!F46</f>
        <v>0.1</v>
      </c>
      <c r="F68" s="519"/>
      <c r="G68" s="519">
        <f>+'Exhibit F'!H63+'Exhibit G'!H46</f>
        <v>0</v>
      </c>
      <c r="H68" s="519"/>
      <c r="I68" s="519">
        <f>+'Exhibit F'!J63+'Exhibit G'!J46</f>
        <v>0.1</v>
      </c>
      <c r="J68" s="519"/>
      <c r="K68" s="519">
        <f>+'Exhibit F'!L63+'Exhibit G'!L46</f>
        <v>9.9999999999999978E-2</v>
      </c>
      <c r="L68" s="519"/>
      <c r="M68" s="519">
        <f>+'Exhibit F'!N63+'Exhibit G'!N46</f>
        <v>0.1</v>
      </c>
      <c r="N68" s="519"/>
      <c r="O68" s="1620"/>
      <c r="P68" s="519"/>
      <c r="Q68" s="519"/>
      <c r="R68" s="519"/>
      <c r="S68" s="519"/>
      <c r="T68" s="519"/>
      <c r="U68" s="519"/>
      <c r="V68" s="519"/>
      <c r="W68" s="519"/>
      <c r="X68" s="519"/>
      <c r="Y68" s="519"/>
      <c r="Z68" s="519"/>
      <c r="AA68" s="520"/>
      <c r="AB68" s="1620">
        <f t="shared" si="11"/>
        <v>0.4</v>
      </c>
      <c r="AC68" s="1620"/>
      <c r="AD68" s="3297"/>
      <c r="AE68" s="1620">
        <f>+'Exhibit F'!AF63+'Exhibit G'!AG46</f>
        <v>0.1</v>
      </c>
      <c r="AF68" s="1620"/>
      <c r="AG68" s="1620"/>
      <c r="AH68" s="1620">
        <f t="shared" si="12"/>
        <v>0.3</v>
      </c>
      <c r="AI68" s="3087"/>
      <c r="AJ68" s="1709">
        <f>ROUND(IF(AE68=0,0,AH68/ABS(AE68)),3)</f>
        <v>3</v>
      </c>
    </row>
    <row r="69" spans="1:36" ht="16.5" customHeight="1">
      <c r="A69" s="881" t="s">
        <v>1055</v>
      </c>
      <c r="B69" s="881"/>
      <c r="C69" s="519"/>
      <c r="D69" s="519"/>
      <c r="E69" s="519"/>
      <c r="F69" s="519"/>
      <c r="G69" s="519"/>
      <c r="H69" s="519"/>
      <c r="I69" s="519"/>
      <c r="J69" s="519"/>
      <c r="K69" s="519"/>
      <c r="L69" s="519"/>
      <c r="M69" s="519"/>
      <c r="N69" s="519"/>
      <c r="O69" s="1620"/>
      <c r="P69" s="519"/>
      <c r="Q69" s="519"/>
      <c r="R69" s="519"/>
      <c r="S69" s="519"/>
      <c r="T69" s="519"/>
      <c r="U69" s="519"/>
      <c r="V69" s="519"/>
      <c r="W69" s="519"/>
      <c r="X69" s="519"/>
      <c r="Y69" s="519"/>
      <c r="Z69" s="519"/>
      <c r="AA69" s="520"/>
      <c r="AB69" s="1620"/>
      <c r="AC69" s="1620"/>
      <c r="AD69" s="3297"/>
      <c r="AE69" s="1620"/>
      <c r="AF69" s="1620"/>
      <c r="AG69" s="1620"/>
      <c r="AH69" s="1620"/>
      <c r="AI69" s="3087"/>
      <c r="AJ69" s="1709"/>
    </row>
    <row r="70" spans="1:36" ht="16.5" customHeight="1">
      <c r="A70" s="881" t="s">
        <v>937</v>
      </c>
      <c r="B70" s="881"/>
      <c r="C70" s="519">
        <f>+'Exhibit F'!D65+'Exhibit H'!B32</f>
        <v>5.3</v>
      </c>
      <c r="D70" s="519"/>
      <c r="E70" s="519">
        <f>+'Exhibit F'!F65+'Exhibit H'!D32</f>
        <v>5.5000000000000009</v>
      </c>
      <c r="F70" s="519"/>
      <c r="G70" s="519">
        <f>+'Exhibit F'!H65+'Exhibit H'!F32</f>
        <v>6.9999999999999991</v>
      </c>
      <c r="H70" s="519"/>
      <c r="I70" s="519">
        <f>+'Exhibit F'!J65+'Exhibit H'!H32</f>
        <v>6.2</v>
      </c>
      <c r="J70" s="519"/>
      <c r="K70" s="519">
        <f>+'Exhibit F'!L65+'Exhibit H'!J32</f>
        <v>6.2</v>
      </c>
      <c r="L70" s="519"/>
      <c r="M70" s="519">
        <f>+'Exhibit F'!N65+'Exhibit H'!L32</f>
        <v>5.0000000000000044</v>
      </c>
      <c r="N70" s="519"/>
      <c r="O70" s="1620"/>
      <c r="P70" s="519"/>
      <c r="Q70" s="519"/>
      <c r="R70" s="519"/>
      <c r="S70" s="519"/>
      <c r="T70" s="519"/>
      <c r="U70" s="519"/>
      <c r="V70" s="519"/>
      <c r="W70" s="519"/>
      <c r="X70" s="519"/>
      <c r="Y70" s="519"/>
      <c r="Z70" s="519"/>
      <c r="AA70" s="520"/>
      <c r="AB70" s="1620">
        <f t="shared" si="11"/>
        <v>35.200000000000003</v>
      </c>
      <c r="AC70" s="1620"/>
      <c r="AD70" s="3297"/>
      <c r="AE70" s="1620">
        <f>+'Exhibit F'!AF65+'Exhibit H'!AD32</f>
        <v>23.1</v>
      </c>
      <c r="AF70" s="1620"/>
      <c r="AG70" s="1620"/>
      <c r="AH70" s="1620">
        <f t="shared" si="12"/>
        <v>12.1</v>
      </c>
      <c r="AI70" s="3087"/>
      <c r="AJ70" s="1709">
        <f t="shared" ref="AJ70:AJ77" si="13">ROUND(IF(AE70=0,0,AH70/ABS(AE70)),3)</f>
        <v>0.52400000000000002</v>
      </c>
    </row>
    <row r="71" spans="1:36" ht="16.5" customHeight="1">
      <c r="A71" s="881" t="s">
        <v>1147</v>
      </c>
      <c r="B71" s="881"/>
      <c r="C71" s="519">
        <f>'Exhibit G'!D48</f>
        <v>0</v>
      </c>
      <c r="D71" s="519"/>
      <c r="E71" s="519">
        <f>'Exhibit G'!F48</f>
        <v>0</v>
      </c>
      <c r="F71" s="519"/>
      <c r="G71" s="519">
        <f>'Exhibit G'!H48</f>
        <v>0</v>
      </c>
      <c r="H71" s="519"/>
      <c r="I71" s="519">
        <f>'Exhibit G'!J48</f>
        <v>0.7</v>
      </c>
      <c r="J71" s="519"/>
      <c r="K71" s="519">
        <f>'Exhibit G'!L48</f>
        <v>1.5000000000000002</v>
      </c>
      <c r="L71" s="519"/>
      <c r="M71" s="519">
        <f>'Exhibit G'!N48</f>
        <v>9.9999999999999645E-2</v>
      </c>
      <c r="N71" s="519"/>
      <c r="O71" s="1620"/>
      <c r="P71" s="519"/>
      <c r="Q71" s="519"/>
      <c r="R71" s="519"/>
      <c r="S71" s="519"/>
      <c r="T71" s="519"/>
      <c r="U71" s="519"/>
      <c r="V71" s="519"/>
      <c r="W71" s="519"/>
      <c r="X71" s="519"/>
      <c r="Y71" s="519"/>
      <c r="Z71" s="519"/>
      <c r="AA71" s="950"/>
      <c r="AB71" s="1620">
        <f t="shared" si="11"/>
        <v>2.2999999999999998</v>
      </c>
      <c r="AC71" s="1620"/>
      <c r="AD71" s="3297"/>
      <c r="AE71" s="1620">
        <f>'Exhibit G'!AG48</f>
        <v>1.7</v>
      </c>
      <c r="AF71" s="1620"/>
      <c r="AG71" s="1620"/>
      <c r="AH71" s="1620">
        <f>ROUND(SUM(AB71-AE71),1)</f>
        <v>0.6</v>
      </c>
      <c r="AI71" s="3087"/>
      <c r="AJ71" s="1708">
        <f>ROUND(IF(AE71=0,0,AH71/ABS(AE71)),3)</f>
        <v>0.35299999999999998</v>
      </c>
    </row>
    <row r="72" spans="1:36" ht="16.5" customHeight="1">
      <c r="A72" s="881" t="s">
        <v>1051</v>
      </c>
      <c r="B72" s="881"/>
      <c r="C72" s="519">
        <f>+'Exhibit F'!D67+'Exhibit G'!D49+'Exhibit I'!E41+'Exhibit H'!B33</f>
        <v>53.9</v>
      </c>
      <c r="D72" s="519"/>
      <c r="E72" s="519">
        <f>+'Exhibit F'!F67+'Exhibit G'!F49+'Exhibit I'!G41+'Exhibit H'!D33</f>
        <v>49.1</v>
      </c>
      <c r="F72" s="519"/>
      <c r="G72" s="519">
        <f>+'Exhibit F'!H67+'Exhibit G'!H49+'Exhibit I'!I41+'Exhibit H'!F33</f>
        <v>127.10000000000001</v>
      </c>
      <c r="H72" s="519"/>
      <c r="I72" s="519">
        <f>+'Exhibit F'!J67+'Exhibit G'!J49+'Exhibit I'!K41+'Exhibit H'!H33</f>
        <v>52.20000000000001</v>
      </c>
      <c r="J72" s="519"/>
      <c r="K72" s="519">
        <f>+'Exhibit F'!L67+'Exhibit G'!L49+'Exhibit I'!M41+'Exhibit H'!J33</f>
        <v>65.399999999999991</v>
      </c>
      <c r="L72" s="519"/>
      <c r="M72" s="519">
        <f>+'Exhibit F'!N67+'Exhibit G'!N49+'Exhibit I'!O41+'Exhibit H'!L33</f>
        <v>131.69999999999999</v>
      </c>
      <c r="N72" s="519"/>
      <c r="O72" s="1620"/>
      <c r="P72" s="519"/>
      <c r="Q72" s="519"/>
      <c r="R72" s="519"/>
      <c r="S72" s="519"/>
      <c r="T72" s="519"/>
      <c r="U72" s="519"/>
      <c r="V72" s="519"/>
      <c r="W72" s="519"/>
      <c r="X72" s="519"/>
      <c r="Y72" s="519"/>
      <c r="Z72" s="519"/>
      <c r="AA72" s="520"/>
      <c r="AB72" s="1620">
        <f t="shared" si="11"/>
        <v>479.4</v>
      </c>
      <c r="AC72" s="1620"/>
      <c r="AD72" s="3297"/>
      <c r="AE72" s="1620">
        <f>+'Exhibit F'!AF67+'Exhibit G'!AG49+'Exhibit I'!AI41+'Exhibit H'!AD33</f>
        <v>496.4</v>
      </c>
      <c r="AF72" s="1620"/>
      <c r="AG72" s="1620"/>
      <c r="AH72" s="1620">
        <f>ROUND(SUM(AB72-AE72),1)</f>
        <v>-17</v>
      </c>
      <c r="AI72" s="3087"/>
      <c r="AJ72" s="1709">
        <f>ROUND(IF(AE72=0,0,AH72/ABS(AE72)),3)</f>
        <v>-3.4000000000000002E-2</v>
      </c>
    </row>
    <row r="73" spans="1:36" ht="16.5" customHeight="1">
      <c r="A73" s="881" t="s">
        <v>939</v>
      </c>
      <c r="B73" s="881"/>
      <c r="C73" s="519">
        <f>+'Exhibit F'!D68+'Exhibit G'!D50+'Exhibit H'!B34</f>
        <v>25.9</v>
      </c>
      <c r="D73" s="519"/>
      <c r="E73" s="519">
        <f>+'Exhibit F'!F68+'Exhibit G'!F50+'Exhibit H'!D34</f>
        <v>28.200000000000003</v>
      </c>
      <c r="F73" s="519"/>
      <c r="G73" s="519">
        <f>+'Exhibit F'!H68+'Exhibit G'!H50+'Exhibit H'!F34</f>
        <v>18.900000000000002</v>
      </c>
      <c r="H73" s="519"/>
      <c r="I73" s="519">
        <f>+'Exhibit F'!J68+'Exhibit G'!J50+'Exhibit H'!H34</f>
        <v>19.900000000000006</v>
      </c>
      <c r="J73" s="519"/>
      <c r="K73" s="519">
        <f>+'Exhibit F'!L68+'Exhibit G'!L50+'Exhibit H'!J34</f>
        <v>26</v>
      </c>
      <c r="L73" s="519"/>
      <c r="M73" s="519">
        <f>+'Exhibit F'!N68+'Exhibit G'!N50+'Exhibit H'!L34</f>
        <v>23.4</v>
      </c>
      <c r="N73" s="519"/>
      <c r="O73" s="1620"/>
      <c r="P73" s="519"/>
      <c r="Q73" s="519"/>
      <c r="R73" s="519"/>
      <c r="S73" s="519"/>
      <c r="T73" s="519"/>
      <c r="U73" s="519"/>
      <c r="V73" s="519"/>
      <c r="W73" s="519"/>
      <c r="X73" s="519"/>
      <c r="Y73" s="519"/>
      <c r="Z73" s="519"/>
      <c r="AA73" s="520"/>
      <c r="AB73" s="1620">
        <f t="shared" si="11"/>
        <v>142.30000000000001</v>
      </c>
      <c r="AC73" s="1620"/>
      <c r="AD73" s="3297"/>
      <c r="AE73" s="1620">
        <f>+'Exhibit F'!AF68+'Exhibit G'!AG50+'Exhibit H'!AD34+'Exhibit I'!AI42</f>
        <v>95.199999999999989</v>
      </c>
      <c r="AF73" s="1620"/>
      <c r="AG73" s="1620"/>
      <c r="AH73" s="1620">
        <f t="shared" si="12"/>
        <v>47.1</v>
      </c>
      <c r="AI73" s="3087"/>
      <c r="AJ73" s="1709">
        <f t="shared" si="13"/>
        <v>0.495</v>
      </c>
    </row>
    <row r="74" spans="1:36" ht="16.5" customHeight="1">
      <c r="A74" s="881" t="s">
        <v>940</v>
      </c>
      <c r="B74" s="881"/>
      <c r="C74" s="519">
        <f>+'Exhibit F'!D69+'Exhibit G'!D51+'Exhibit H'!B35</f>
        <v>1</v>
      </c>
      <c r="D74" s="519"/>
      <c r="E74" s="519">
        <f>+'Exhibit F'!F69+'Exhibit G'!F51+'Exhibit H'!D35</f>
        <v>0.30000000000000004</v>
      </c>
      <c r="F74" s="519"/>
      <c r="G74" s="519">
        <f>+'Exhibit F'!H69+'Exhibit G'!H51+'Exhibit H'!F35</f>
        <v>0.8999999999999998</v>
      </c>
      <c r="H74" s="519"/>
      <c r="I74" s="519">
        <f>+'Exhibit F'!J69+'Exhibit G'!J51+'Exhibit H'!H35</f>
        <v>0.30000000000000027</v>
      </c>
      <c r="J74" s="519"/>
      <c r="K74" s="519">
        <f>+'Exhibit F'!L69+'Exhibit G'!L51+'Exhibit H'!J35</f>
        <v>0.49999999999999989</v>
      </c>
      <c r="L74" s="519"/>
      <c r="M74" s="519">
        <f>+'Exhibit F'!N69+'Exhibit G'!N51+'Exhibit H'!L35</f>
        <v>0.30000000000000004</v>
      </c>
      <c r="N74" s="519"/>
      <c r="O74" s="1620"/>
      <c r="P74" s="519"/>
      <c r="Q74" s="519"/>
      <c r="R74" s="519"/>
      <c r="S74" s="519"/>
      <c r="T74" s="519"/>
      <c r="U74" s="519"/>
      <c r="V74" s="519"/>
      <c r="W74" s="519"/>
      <c r="X74" s="519"/>
      <c r="Y74" s="519"/>
      <c r="Z74" s="519"/>
      <c r="AA74" s="520"/>
      <c r="AB74" s="1620">
        <f t="shared" si="11"/>
        <v>3.3</v>
      </c>
      <c r="AC74" s="1620"/>
      <c r="AD74" s="3297"/>
      <c r="AE74" s="1620">
        <f>+'Exhibit F'!AF69+'Exhibit G'!AG51+'Exhibit H'!AD35</f>
        <v>3</v>
      </c>
      <c r="AF74" s="1620"/>
      <c r="AG74" s="1620"/>
      <c r="AH74" s="1620">
        <f t="shared" si="12"/>
        <v>0.3</v>
      </c>
      <c r="AI74" s="3087"/>
      <c r="AJ74" s="1708">
        <f>ROUND(IF(AE74=0,0,AH74/ABS(AE74)),3)</f>
        <v>0.1</v>
      </c>
    </row>
    <row r="75" spans="1:36" ht="16.5" customHeight="1">
      <c r="A75" s="881" t="s">
        <v>941</v>
      </c>
      <c r="B75" s="881"/>
      <c r="C75" s="519">
        <f>+'Exhibit F'!D70+'Exhibit G'!D52+'Exhibit I'!E43+'Exhibit H'!B36</f>
        <v>129</v>
      </c>
      <c r="D75" s="519"/>
      <c r="E75" s="519">
        <f>+'Exhibit F'!F70+'Exhibit G'!F52+'Exhibit I'!G43+'Exhibit H'!D36</f>
        <v>112.5</v>
      </c>
      <c r="F75" s="519"/>
      <c r="G75" s="519">
        <f>+'Exhibit F'!H70+'Exhibit G'!H52+'Exhibit I'!I43+'Exhibit H'!F36</f>
        <v>139.80000000000001</v>
      </c>
      <c r="H75" s="519"/>
      <c r="I75" s="519">
        <f>+'Exhibit F'!J70+'Exhibit G'!J52+'Exhibit I'!K43+'Exhibit H'!H36</f>
        <v>103.6</v>
      </c>
      <c r="J75" s="519"/>
      <c r="K75" s="519">
        <f>+'Exhibit F'!L70+'Exhibit G'!L52+'Exhibit I'!M43+'Exhibit H'!J36</f>
        <v>120.59999999999998</v>
      </c>
      <c r="L75" s="519"/>
      <c r="M75" s="519">
        <f>+'Exhibit F'!N70+'Exhibit G'!N52+'Exhibit I'!O43+'Exhibit H'!L36</f>
        <v>131.10000000000002</v>
      </c>
      <c r="N75" s="519"/>
      <c r="O75" s="1620"/>
      <c r="P75" s="519"/>
      <c r="Q75" s="519"/>
      <c r="R75" s="519"/>
      <c r="S75" s="519"/>
      <c r="T75" s="519"/>
      <c r="U75" s="519"/>
      <c r="V75" s="519"/>
      <c r="W75" s="519"/>
      <c r="X75" s="519"/>
      <c r="Y75" s="519"/>
      <c r="Z75" s="519"/>
      <c r="AA75" s="520"/>
      <c r="AB75" s="1620">
        <f t="shared" si="11"/>
        <v>736.6</v>
      </c>
      <c r="AC75" s="1620"/>
      <c r="AD75" s="3297"/>
      <c r="AE75" s="1620">
        <f>+'Exhibit F'!AF70+'Exhibit G'!AG52+'Exhibit I'!AI43+'Exhibit H'!AD36</f>
        <v>590.9</v>
      </c>
      <c r="AF75" s="1620"/>
      <c r="AG75" s="1620"/>
      <c r="AH75" s="1620">
        <f t="shared" si="12"/>
        <v>145.69999999999999</v>
      </c>
      <c r="AI75" s="3087"/>
      <c r="AJ75" s="1708">
        <f t="shared" si="13"/>
        <v>0.247</v>
      </c>
    </row>
    <row r="76" spans="1:36" ht="16.5" customHeight="1">
      <c r="A76" s="881" t="s">
        <v>942</v>
      </c>
      <c r="B76" s="881"/>
      <c r="C76" s="519">
        <f>+'Exhibit F'!D71+'Exhibit G'!D53+'Exhibit I'!E44+'Exhibit H'!B37</f>
        <v>68.400000000000006</v>
      </c>
      <c r="D76" s="519"/>
      <c r="E76" s="519">
        <f>+'Exhibit F'!F71+'Exhibit G'!F53+'Exhibit I'!G44+'Exhibit H'!D37</f>
        <v>53.29999999999999</v>
      </c>
      <c r="F76" s="519"/>
      <c r="G76" s="519">
        <f>+'Exhibit F'!H71+'Exhibit G'!H53+'Exhibit I'!I44+'Exhibit H'!F37</f>
        <v>87.500000000000028</v>
      </c>
      <c r="H76" s="519"/>
      <c r="I76" s="519">
        <f>+'Exhibit F'!J71+'Exhibit G'!J53+'Exhibit I'!K44+'Exhibit H'!H37</f>
        <v>58.3</v>
      </c>
      <c r="J76" s="519"/>
      <c r="K76" s="519">
        <f>+'Exhibit F'!L71+'Exhibit G'!L53+'Exhibit I'!M44+'Exhibit H'!J37</f>
        <v>92.999999999999986</v>
      </c>
      <c r="L76" s="519"/>
      <c r="M76" s="519">
        <f>+'Exhibit F'!N71+'Exhibit G'!N53+'Exhibit I'!O44+'Exhibit H'!L37</f>
        <v>155.30000000000001</v>
      </c>
      <c r="N76" s="519"/>
      <c r="O76" s="1620"/>
      <c r="P76" s="519"/>
      <c r="Q76" s="519"/>
      <c r="R76" s="519"/>
      <c r="S76" s="519"/>
      <c r="T76" s="519"/>
      <c r="U76" s="519"/>
      <c r="V76" s="519"/>
      <c r="W76" s="519"/>
      <c r="X76" s="519"/>
      <c r="Y76" s="519"/>
      <c r="Z76" s="519"/>
      <c r="AA76" s="520"/>
      <c r="AB76" s="1620">
        <f t="shared" si="11"/>
        <v>515.79999999999995</v>
      </c>
      <c r="AC76" s="1620"/>
      <c r="AD76" s="3297"/>
      <c r="AE76" s="1620">
        <f>+'Exhibit F'!AF71+'Exhibit G'!AG53+'Exhibit I'!AI44+'Exhibit H'!AD37</f>
        <v>312.09999999999997</v>
      </c>
      <c r="AF76" s="1620"/>
      <c r="AG76" s="1620"/>
      <c r="AH76" s="1620">
        <f t="shared" si="12"/>
        <v>203.7</v>
      </c>
      <c r="AI76" s="3087"/>
      <c r="AJ76" s="1708">
        <f t="shared" si="13"/>
        <v>0.65300000000000002</v>
      </c>
    </row>
    <row r="77" spans="1:36" ht="16.5" customHeight="1">
      <c r="A77" s="881" t="s">
        <v>931</v>
      </c>
      <c r="B77" s="881"/>
      <c r="C77" s="519">
        <f>+'Exhibit F'!D72+'Exhibit G'!D54+'Exhibit I'!E45</f>
        <v>50.4</v>
      </c>
      <c r="D77" s="519"/>
      <c r="E77" s="519">
        <f>+'Exhibit F'!F72+'Exhibit G'!F54+'Exhibit I'!G45</f>
        <v>42.599999999999994</v>
      </c>
      <c r="F77" s="519"/>
      <c r="G77" s="519">
        <f>+'Exhibit F'!H72+'Exhibit G'!H54+'Exhibit I'!I45</f>
        <v>52.20000000000001</v>
      </c>
      <c r="H77" s="519"/>
      <c r="I77" s="519">
        <f>+'Exhibit F'!J72+'Exhibit G'!J54+'Exhibit I'!K45</f>
        <v>11.899999999999975</v>
      </c>
      <c r="J77" s="519"/>
      <c r="K77" s="519">
        <f>+'Exhibit F'!L72+'Exhibit G'!L54+'Exhibit I'!M45</f>
        <v>26.400000000000002</v>
      </c>
      <c r="L77" s="519"/>
      <c r="M77" s="519">
        <f>+'Exhibit F'!N72+'Exhibit G'!N54+'Exhibit I'!O45</f>
        <v>27.900000000000002</v>
      </c>
      <c r="N77" s="519"/>
      <c r="O77" s="1620"/>
      <c r="P77" s="519"/>
      <c r="Q77" s="519"/>
      <c r="R77" s="519"/>
      <c r="S77" s="519"/>
      <c r="T77" s="519"/>
      <c r="U77" s="519"/>
      <c r="V77" s="519"/>
      <c r="W77" s="519"/>
      <c r="X77" s="519"/>
      <c r="Y77" s="519"/>
      <c r="Z77" s="519"/>
      <c r="AA77" s="520"/>
      <c r="AB77" s="1620">
        <f t="shared" si="11"/>
        <v>211.4</v>
      </c>
      <c r="AC77" s="1620"/>
      <c r="AD77" s="3297"/>
      <c r="AE77" s="1620">
        <f>+'Exhibit F'!AF72+'Exhibit G'!AG54+'Exhibit I'!AI45</f>
        <v>577.40000000000009</v>
      </c>
      <c r="AF77" s="1620"/>
      <c r="AG77" s="1620"/>
      <c r="AH77" s="1620">
        <f t="shared" si="12"/>
        <v>-366</v>
      </c>
      <c r="AI77" s="3087"/>
      <c r="AJ77" s="1708">
        <f t="shared" si="13"/>
        <v>-0.63400000000000001</v>
      </c>
    </row>
    <row r="78" spans="1:36" ht="16.5" customHeight="1">
      <c r="A78" s="881" t="s">
        <v>1052</v>
      </c>
      <c r="B78" s="881"/>
      <c r="C78" s="519"/>
      <c r="D78" s="519"/>
      <c r="E78" s="519"/>
      <c r="F78" s="519"/>
      <c r="G78" s="519"/>
      <c r="H78" s="519"/>
      <c r="I78" s="519"/>
      <c r="J78" s="519"/>
      <c r="K78" s="519"/>
      <c r="L78" s="519"/>
      <c r="M78" s="519"/>
      <c r="N78" s="519"/>
      <c r="O78" s="1620"/>
      <c r="P78" s="519"/>
      <c r="Q78" s="519"/>
      <c r="R78" s="519"/>
      <c r="S78" s="519"/>
      <c r="T78" s="519"/>
      <c r="U78" s="519"/>
      <c r="V78" s="519"/>
      <c r="W78" s="519"/>
      <c r="X78" s="519"/>
      <c r="Y78" s="519"/>
      <c r="Z78" s="519"/>
      <c r="AA78" s="520"/>
      <c r="AB78" s="1620"/>
      <c r="AC78" s="1620"/>
      <c r="AD78" s="3297"/>
      <c r="AE78" s="1620"/>
      <c r="AF78" s="1620"/>
      <c r="AG78" s="1620"/>
      <c r="AH78" s="1620"/>
      <c r="AI78" s="3087"/>
      <c r="AJ78" s="1708"/>
    </row>
    <row r="79" spans="1:36" ht="16.5" customHeight="1">
      <c r="A79" s="881" t="s">
        <v>943</v>
      </c>
      <c r="B79" s="881"/>
      <c r="C79" s="519">
        <f>+'Exhibit G'!D56</f>
        <v>34.200000000000003</v>
      </c>
      <c r="D79" s="519"/>
      <c r="E79" s="519">
        <f>+'Exhibit G'!F56</f>
        <v>14.199999999999996</v>
      </c>
      <c r="F79" s="519"/>
      <c r="G79" s="519">
        <f>+'Exhibit G'!H56</f>
        <v>17.100000000000001</v>
      </c>
      <c r="H79" s="519"/>
      <c r="I79" s="519">
        <f>+'Exhibit G'!J56</f>
        <v>35.700000000000003</v>
      </c>
      <c r="J79" s="519"/>
      <c r="K79" s="519">
        <f>+'Exhibit G'!L56</f>
        <v>15.199999999999996</v>
      </c>
      <c r="L79" s="519"/>
      <c r="M79" s="519">
        <f>+'Exhibit G'!N56</f>
        <v>19.29999999999999</v>
      </c>
      <c r="N79" s="519"/>
      <c r="O79" s="1620"/>
      <c r="P79" s="519"/>
      <c r="Q79" s="519"/>
      <c r="R79" s="519"/>
      <c r="S79" s="519"/>
      <c r="T79" s="519"/>
      <c r="U79" s="519"/>
      <c r="V79" s="519"/>
      <c r="W79" s="519"/>
      <c r="X79" s="519"/>
      <c r="Y79" s="519"/>
      <c r="Z79" s="519"/>
      <c r="AA79" s="520"/>
      <c r="AB79" s="1620">
        <f>ROUND(SUM(C79:Y79),1)</f>
        <v>135.69999999999999</v>
      </c>
      <c r="AC79" s="1620"/>
      <c r="AD79" s="3297"/>
      <c r="AE79" s="1620">
        <f>+'Exhibit G'!AG56</f>
        <v>28.8</v>
      </c>
      <c r="AF79" s="1620"/>
      <c r="AG79" s="1620"/>
      <c r="AH79" s="1620">
        <f>ROUND(SUM(AB79-AE79),1)</f>
        <v>106.9</v>
      </c>
      <c r="AI79" s="3087"/>
      <c r="AJ79" s="1713">
        <f>ROUND(IF(AE79=0,1,AH79/ABS(AE79)),3)</f>
        <v>3.7120000000000002</v>
      </c>
    </row>
    <row r="80" spans="1:36" ht="16.5" customHeight="1">
      <c r="A80" s="881" t="s">
        <v>944</v>
      </c>
      <c r="B80" s="881"/>
      <c r="C80" s="519">
        <f>+'Exhibit G'!D57</f>
        <v>199.5</v>
      </c>
      <c r="D80" s="519"/>
      <c r="E80" s="519">
        <f>+'Exhibit G'!F57</f>
        <v>213.5</v>
      </c>
      <c r="F80" s="519"/>
      <c r="G80" s="519">
        <f>+'Exhibit G'!H57</f>
        <v>238.89999999999998</v>
      </c>
      <c r="H80" s="519"/>
      <c r="I80" s="519">
        <f>+'Exhibit G'!J57</f>
        <v>181.89999999999998</v>
      </c>
      <c r="J80" s="519"/>
      <c r="K80" s="519">
        <f>+'Exhibit G'!L57</f>
        <v>186.80000000000007</v>
      </c>
      <c r="L80" s="519"/>
      <c r="M80" s="519">
        <f>+'Exhibit G'!N57</f>
        <v>240.89999999999998</v>
      </c>
      <c r="N80" s="519"/>
      <c r="O80" s="1620"/>
      <c r="P80" s="519"/>
      <c r="Q80" s="519"/>
      <c r="R80" s="519"/>
      <c r="S80" s="519"/>
      <c r="T80" s="519"/>
      <c r="U80" s="519"/>
      <c r="V80" s="519"/>
      <c r="W80" s="519"/>
      <c r="X80" s="519"/>
      <c r="Y80" s="519"/>
      <c r="Z80" s="519"/>
      <c r="AA80" s="520"/>
      <c r="AB80" s="1620">
        <f>ROUND(SUM(C80:Y80),1)</f>
        <v>1261.5</v>
      </c>
      <c r="AC80" s="1620"/>
      <c r="AD80" s="3297"/>
      <c r="AE80" s="1620">
        <f>+'Exhibit G'!AG57</f>
        <v>1070.3</v>
      </c>
      <c r="AF80" s="1620"/>
      <c r="AG80" s="1620"/>
      <c r="AH80" s="1620">
        <f>ROUND(SUM(AB80-AE80),1)</f>
        <v>191.2</v>
      </c>
      <c r="AI80" s="3087"/>
      <c r="AJ80" s="1713">
        <f>ROUND(IF(AE80=0,0,AH80/ABS(AE80)),3)</f>
        <v>0.17899999999999999</v>
      </c>
    </row>
    <row r="81" spans="1:36" ht="16.5" customHeight="1">
      <c r="A81" s="881" t="s">
        <v>945</v>
      </c>
      <c r="B81" s="881"/>
      <c r="C81" s="519">
        <f>+'Exhibit G'!D58</f>
        <v>75.900000000000006</v>
      </c>
      <c r="D81" s="519"/>
      <c r="E81" s="519">
        <f>+'Exhibit G'!F58</f>
        <v>77.899999999999977</v>
      </c>
      <c r="F81" s="519"/>
      <c r="G81" s="519">
        <f>+'Exhibit G'!H58</f>
        <v>101.9</v>
      </c>
      <c r="H81" s="519"/>
      <c r="I81" s="519">
        <f>+'Exhibit G'!J58</f>
        <v>82.400000000000063</v>
      </c>
      <c r="J81" s="519"/>
      <c r="K81" s="519">
        <f>+'Exhibit G'!L58</f>
        <v>81.5</v>
      </c>
      <c r="L81" s="519"/>
      <c r="M81" s="519">
        <f>+'Exhibit G'!N58</f>
        <v>99.200000000000074</v>
      </c>
      <c r="N81" s="519"/>
      <c r="O81" s="1620"/>
      <c r="P81" s="519"/>
      <c r="Q81" s="519"/>
      <c r="R81" s="519"/>
      <c r="S81" s="519"/>
      <c r="T81" s="519"/>
      <c r="U81" s="519"/>
      <c r="V81" s="519"/>
      <c r="W81" s="519"/>
      <c r="X81" s="519"/>
      <c r="Y81" s="519"/>
      <c r="Z81" s="519"/>
      <c r="AA81" s="520"/>
      <c r="AB81" s="1620">
        <f>ROUND(SUM(C81:Y81),1)</f>
        <v>518.79999999999995</v>
      </c>
      <c r="AC81" s="1620"/>
      <c r="AD81" s="3297"/>
      <c r="AE81" s="1620">
        <f>+'Exhibit G'!AG58</f>
        <v>34</v>
      </c>
      <c r="AF81" s="1620"/>
      <c r="AG81" s="1620"/>
      <c r="AH81" s="1620">
        <f>ROUND(SUM(AB81-AE81),1)</f>
        <v>484.8</v>
      </c>
      <c r="AI81" s="3087"/>
      <c r="AJ81" s="1713">
        <f>ROUND(IF(AE81=0,1,AH81/ABS(AE81)),3)</f>
        <v>14.259</v>
      </c>
    </row>
    <row r="82" spans="1:36" ht="16.5" customHeight="1">
      <c r="A82" s="881" t="s">
        <v>932</v>
      </c>
      <c r="B82" s="881"/>
      <c r="C82" s="519">
        <f>+'Exhibit F'!D73+'Exhibit G'!D59+'Exhibit H'!B38+'Exhibit I'!E46</f>
        <v>5.6</v>
      </c>
      <c r="D82" s="519"/>
      <c r="E82" s="519">
        <f>+'Exhibit F'!F73+'Exhibit G'!F59+'Exhibit H'!D38+'Exhibit I'!G46</f>
        <v>4.4000000000000004</v>
      </c>
      <c r="F82" s="519"/>
      <c r="G82" s="519">
        <f>+'Exhibit F'!H73+'Exhibit G'!H59+'Exhibit H'!F38+'Exhibit I'!I46</f>
        <v>4.3000000000000007</v>
      </c>
      <c r="H82" s="519"/>
      <c r="I82" s="519">
        <f>+'Exhibit F'!J73+'Exhibit G'!J59+'Exhibit H'!H38+'Exhibit I'!K46</f>
        <v>4.4999999999999991</v>
      </c>
      <c r="J82" s="519"/>
      <c r="K82" s="519">
        <f>+'Exhibit F'!L73+'Exhibit G'!L59+'Exhibit H'!J38+'Exhibit I'!M46</f>
        <v>4.6999999999999993</v>
      </c>
      <c r="L82" s="519"/>
      <c r="M82" s="519">
        <f>+'Exhibit F'!N73+'Exhibit G'!N59+'Exhibit H'!L38+'Exhibit I'!O46</f>
        <v>4.1999999999999993</v>
      </c>
      <c r="N82" s="519"/>
      <c r="O82" s="1620"/>
      <c r="P82" s="519"/>
      <c r="Q82" s="519"/>
      <c r="R82" s="519"/>
      <c r="S82" s="519"/>
      <c r="T82" s="519"/>
      <c r="U82" s="519"/>
      <c r="V82" s="519"/>
      <c r="W82" s="519"/>
      <c r="X82" s="519"/>
      <c r="Y82" s="519"/>
      <c r="Z82" s="519"/>
      <c r="AA82" s="520"/>
      <c r="AB82" s="1620">
        <f>ROUND(SUM(C82:Y82),1)</f>
        <v>27.7</v>
      </c>
      <c r="AC82" s="1620"/>
      <c r="AD82" s="3297"/>
      <c r="AE82" s="1620">
        <f>+'Exhibit F'!AF73+'Exhibit G'!AG59+'Exhibit H'!AD38+'Exhibit I'!AI46</f>
        <v>78.400000000000006</v>
      </c>
      <c r="AF82" s="1620"/>
      <c r="AG82" s="1620"/>
      <c r="AH82" s="1620">
        <f>ROUND(SUM(AB82-AE82),1)</f>
        <v>-50.7</v>
      </c>
      <c r="AI82" s="3087"/>
      <c r="AJ82" s="1713">
        <f>ROUND(IF(AE82=0,0,AH82/ABS(AE82)),3)</f>
        <v>-0.64700000000000002</v>
      </c>
    </row>
    <row r="83" spans="1:36" ht="16.5" customHeight="1">
      <c r="A83" s="881" t="s">
        <v>950</v>
      </c>
      <c r="B83" s="881"/>
      <c r="C83" s="519">
        <f>+'Exhibit F'!D74+'Exhibit G'!D60+'Exhibit H'!B39+'Exhibit I'!E47</f>
        <v>6.7</v>
      </c>
      <c r="D83" s="519"/>
      <c r="E83" s="519">
        <f>+'Exhibit F'!F74+'Exhibit G'!F60+'Exhibit H'!D39+'Exhibit I'!G47</f>
        <v>2.1999999999999993</v>
      </c>
      <c r="F83" s="519"/>
      <c r="G83" s="519">
        <f>+'Exhibit F'!H74+'Exhibit G'!H60+'Exhibit H'!F39+'Exhibit I'!I47</f>
        <v>4.9000000000000004</v>
      </c>
      <c r="H83" s="519"/>
      <c r="I83" s="519">
        <f>+'Exhibit F'!J74+'Exhibit G'!J60+'Exhibit H'!H39+'Exhibit I'!K47</f>
        <v>3.3000000000000012</v>
      </c>
      <c r="J83" s="519"/>
      <c r="K83" s="519">
        <f>+'Exhibit F'!L74+'Exhibit G'!L60+'Exhibit H'!J39+'Exhibit I'!M47</f>
        <v>1.5000000000000022</v>
      </c>
      <c r="L83" s="519"/>
      <c r="M83" s="519">
        <f>+'Exhibit F'!N74+'Exhibit G'!N60+'Exhibit H'!L39+'Exhibit I'!O47</f>
        <v>6.8999999999999977</v>
      </c>
      <c r="N83" s="519"/>
      <c r="O83" s="1620"/>
      <c r="P83" s="519"/>
      <c r="Q83" s="519"/>
      <c r="R83" s="519"/>
      <c r="S83" s="519"/>
      <c r="T83" s="519"/>
      <c r="U83" s="519"/>
      <c r="V83" s="519"/>
      <c r="W83" s="519"/>
      <c r="X83" s="519"/>
      <c r="Y83" s="519"/>
      <c r="Z83" s="519"/>
      <c r="AA83" s="520"/>
      <c r="AB83" s="1620">
        <f>ROUND(SUM(C83:Y83),1)</f>
        <v>25.5</v>
      </c>
      <c r="AC83" s="1620"/>
      <c r="AD83" s="3297"/>
      <c r="AE83" s="1620">
        <f>+'Exhibit F'!AF74+'Exhibit G'!AG60+'Exhibit H'!AD39+'Exhibit I'!AI47</f>
        <v>26.2</v>
      </c>
      <c r="AF83" s="1620"/>
      <c r="AG83" s="1620"/>
      <c r="AH83" s="1620">
        <f>ROUND(SUM(AB83-AE83),1)</f>
        <v>-0.7</v>
      </c>
      <c r="AI83" s="3087"/>
      <c r="AJ83" s="1708">
        <f>ROUND(IF(AE83=0,0,AH83/ABS(AE83)),3)</f>
        <v>-2.7E-2</v>
      </c>
    </row>
    <row r="84" spans="1:36" ht="16.5" customHeight="1">
      <c r="A84" s="881" t="s">
        <v>1053</v>
      </c>
      <c r="B84" s="881"/>
      <c r="C84" s="519"/>
      <c r="D84" s="519"/>
      <c r="E84" s="519"/>
      <c r="F84" s="519"/>
      <c r="G84" s="519"/>
      <c r="H84" s="519"/>
      <c r="I84" s="519"/>
      <c r="J84" s="519"/>
      <c r="K84" s="519"/>
      <c r="L84" s="519"/>
      <c r="M84" s="519"/>
      <c r="N84" s="519"/>
      <c r="O84" s="1620"/>
      <c r="P84" s="519"/>
      <c r="Q84" s="519"/>
      <c r="R84" s="519"/>
      <c r="S84" s="519"/>
      <c r="T84" s="519"/>
      <c r="U84" s="519"/>
      <c r="V84" s="519"/>
      <c r="W84" s="519"/>
      <c r="X84" s="519"/>
      <c r="Y84" s="519"/>
      <c r="Z84" s="519"/>
      <c r="AA84" s="520"/>
      <c r="AB84" s="1620"/>
      <c r="AC84" s="1620"/>
      <c r="AD84" s="3297"/>
      <c r="AE84" s="1620"/>
      <c r="AF84" s="1620"/>
      <c r="AG84" s="1620"/>
      <c r="AH84" s="1620"/>
      <c r="AI84" s="3087"/>
      <c r="AJ84" s="1709"/>
    </row>
    <row r="85" spans="1:36" ht="16.5" customHeight="1">
      <c r="A85" s="881" t="s">
        <v>946</v>
      </c>
      <c r="B85" s="881"/>
      <c r="C85" s="519">
        <f>+'Exhibit G'!D62+'Exhibit I'!E49</f>
        <v>78.399999999999991</v>
      </c>
      <c r="D85" s="519"/>
      <c r="E85" s="519">
        <f>+'Exhibit G'!F62+'Exhibit I'!G49</f>
        <v>0.50000000000001421</v>
      </c>
      <c r="F85" s="519"/>
      <c r="G85" s="519">
        <f>+'Exhibit G'!H62+'Exhibit I'!I49</f>
        <v>3</v>
      </c>
      <c r="H85" s="519"/>
      <c r="I85" s="519">
        <f>+'Exhibit G'!J62+'Exhibit I'!K49</f>
        <v>237</v>
      </c>
      <c r="J85" s="519"/>
      <c r="K85" s="519">
        <f>+'Exhibit G'!L62+'Exhibit I'!M49</f>
        <v>27.600000000000023</v>
      </c>
      <c r="L85" s="519"/>
      <c r="M85" s="519">
        <f>+'Exhibit G'!N62+'Exhibit I'!O49</f>
        <v>328.1</v>
      </c>
      <c r="N85" s="519"/>
      <c r="O85" s="1620"/>
      <c r="P85" s="519"/>
      <c r="Q85" s="519"/>
      <c r="R85" s="519"/>
      <c r="S85" s="519"/>
      <c r="T85" s="519"/>
      <c r="U85" s="519"/>
      <c r="V85" s="519"/>
      <c r="W85" s="519"/>
      <c r="X85" s="519"/>
      <c r="Y85" s="519"/>
      <c r="Z85" s="519"/>
      <c r="AA85" s="520"/>
      <c r="AB85" s="1620">
        <f t="shared" si="11"/>
        <v>674.6</v>
      </c>
      <c r="AC85" s="1620"/>
      <c r="AD85" s="3297"/>
      <c r="AE85" s="1620">
        <f>+'Exhibit G'!AG62+'Exhibit I'!AI49+'Exhibit H'!AD41+'Exhibit F'!AF76</f>
        <v>6670.6</v>
      </c>
      <c r="AF85" s="1620"/>
      <c r="AG85" s="1620"/>
      <c r="AH85" s="1620">
        <f t="shared" si="12"/>
        <v>-5996</v>
      </c>
      <c r="AI85" s="3087"/>
      <c r="AJ85" s="1713">
        <f>ROUND(IF(AE85=0,1,AH85/ABS(AE85)),3)</f>
        <v>-0.89900000000000002</v>
      </c>
    </row>
    <row r="86" spans="1:36" ht="16.5" customHeight="1">
      <c r="A86" s="881" t="s">
        <v>947</v>
      </c>
      <c r="B86" s="881"/>
      <c r="C86" s="519">
        <f>+'Exhibit F'!D77+'Exhibit G'!D63</f>
        <v>0</v>
      </c>
      <c r="D86" s="519"/>
      <c r="E86" s="519">
        <f>+'Exhibit F'!F77+'Exhibit G'!F63</f>
        <v>0</v>
      </c>
      <c r="F86" s="519"/>
      <c r="G86" s="519">
        <f>+'Exhibit F'!H77+'Exhibit G'!H63</f>
        <v>0</v>
      </c>
      <c r="H86" s="519"/>
      <c r="I86" s="519">
        <f>+'Exhibit F'!J77+'Exhibit G'!J63</f>
        <v>5.9</v>
      </c>
      <c r="J86" s="519"/>
      <c r="K86" s="519">
        <f>+'Exhibit F'!L77+'Exhibit G'!L63</f>
        <v>0</v>
      </c>
      <c r="L86" s="519"/>
      <c r="M86" s="519">
        <f>+'Exhibit F'!N77+'Exhibit G'!N63</f>
        <v>0</v>
      </c>
      <c r="N86" s="519"/>
      <c r="O86" s="1620"/>
      <c r="P86" s="519"/>
      <c r="Q86" s="519"/>
      <c r="R86" s="519"/>
      <c r="S86" s="519"/>
      <c r="T86" s="519"/>
      <c r="U86" s="519"/>
      <c r="V86" s="519"/>
      <c r="W86" s="519"/>
      <c r="X86" s="519"/>
      <c r="Y86" s="519"/>
      <c r="Z86" s="519"/>
      <c r="AA86" s="520"/>
      <c r="AB86" s="1620">
        <f t="shared" si="11"/>
        <v>5.9</v>
      </c>
      <c r="AC86" s="1620"/>
      <c r="AD86" s="3297"/>
      <c r="AE86" s="1620">
        <f>+'Exhibit F'!AF77+'Exhibit G'!AG63</f>
        <v>0</v>
      </c>
      <c r="AF86" s="1620"/>
      <c r="AG86" s="1620"/>
      <c r="AH86" s="1620">
        <f t="shared" si="12"/>
        <v>5.9</v>
      </c>
      <c r="AI86" s="3087"/>
      <c r="AJ86" s="1708">
        <f>ROUND(IF(AE86=0,1,AH86/ABS(AE86)),3)</f>
        <v>1</v>
      </c>
    </row>
    <row r="87" spans="1:36" ht="16.5" customHeight="1">
      <c r="A87" s="881" t="s">
        <v>948</v>
      </c>
      <c r="B87" s="881"/>
      <c r="C87" s="519">
        <f>+'Exhibit F'!D78+'Exhibit G'!D64</f>
        <v>2.7</v>
      </c>
      <c r="D87" s="519"/>
      <c r="E87" s="519">
        <f>+'Exhibit F'!F78+'Exhibit G'!F64</f>
        <v>2.2999999999999998</v>
      </c>
      <c r="F87" s="519"/>
      <c r="G87" s="519">
        <f>+'Exhibit F'!H78+'Exhibit G'!H64</f>
        <v>1.7000000000000002</v>
      </c>
      <c r="H87" s="519"/>
      <c r="I87" s="519">
        <f>+'Exhibit F'!J78+'Exhibit G'!J64</f>
        <v>22</v>
      </c>
      <c r="J87" s="519"/>
      <c r="K87" s="519">
        <f>+'Exhibit F'!L78+'Exhibit G'!L64</f>
        <v>0.60000000000000142</v>
      </c>
      <c r="L87" s="519"/>
      <c r="M87" s="519">
        <f>+'Exhibit F'!N78+'Exhibit G'!N64</f>
        <v>0</v>
      </c>
      <c r="N87" s="519"/>
      <c r="O87" s="1620"/>
      <c r="P87" s="519"/>
      <c r="Q87" s="519"/>
      <c r="R87" s="519"/>
      <c r="S87" s="519"/>
      <c r="T87" s="519"/>
      <c r="U87" s="519"/>
      <c r="V87" s="519"/>
      <c r="W87" s="519"/>
      <c r="X87" s="519"/>
      <c r="Y87" s="519"/>
      <c r="Z87" s="519"/>
      <c r="AA87" s="520"/>
      <c r="AB87" s="1620">
        <f t="shared" si="11"/>
        <v>29.3</v>
      </c>
      <c r="AC87" s="1620"/>
      <c r="AD87" s="3297"/>
      <c r="AE87" s="1620">
        <f>+'Exhibit F'!AF78+'Exhibit G'!AG64</f>
        <v>53.900000000000006</v>
      </c>
      <c r="AF87" s="1620"/>
      <c r="AG87" s="1620"/>
      <c r="AH87" s="1620">
        <f t="shared" si="12"/>
        <v>-24.6</v>
      </c>
      <c r="AI87" s="3087"/>
      <c r="AJ87" s="1713">
        <f t="shared" ref="AJ87:AJ89" si="14">ROUND(IF(AE87=0,0,AH87/ABS(AE87)),3)</f>
        <v>-0.45600000000000002</v>
      </c>
    </row>
    <row r="88" spans="1:36" ht="16.5" customHeight="1">
      <c r="A88" s="881" t="s">
        <v>949</v>
      </c>
      <c r="B88" s="881"/>
      <c r="C88" s="519">
        <f>+'Exhibit F'!D79+'Exhibit G'!D65+'Exhibit I'!E51</f>
        <v>0.7</v>
      </c>
      <c r="D88" s="519"/>
      <c r="E88" s="519">
        <f>+'Exhibit F'!F79+'Exhibit G'!F65+'Exhibit I'!G51</f>
        <v>2.5</v>
      </c>
      <c r="F88" s="519"/>
      <c r="G88" s="519">
        <f>+'Exhibit F'!H79+'Exhibit G'!H65+'Exhibit I'!I51</f>
        <v>0.79999999999999982</v>
      </c>
      <c r="H88" s="519"/>
      <c r="I88" s="519">
        <f>+'Exhibit F'!J79+'Exhibit G'!J65+'Exhibit I'!K51</f>
        <v>4.5999999999999996</v>
      </c>
      <c r="J88" s="519"/>
      <c r="K88" s="519">
        <f>+'Exhibit F'!L79+'Exhibit G'!L65+'Exhibit I'!M51</f>
        <v>0.29999999999999982</v>
      </c>
      <c r="L88" s="519"/>
      <c r="M88" s="519">
        <f>+'Exhibit F'!N79+'Exhibit G'!N65+'Exhibit I'!O51</f>
        <v>4.3000000000000016</v>
      </c>
      <c r="N88" s="519"/>
      <c r="O88" s="1620"/>
      <c r="P88" s="519"/>
      <c r="Q88" s="519"/>
      <c r="R88" s="519"/>
      <c r="S88" s="519"/>
      <c r="T88" s="519"/>
      <c r="U88" s="519"/>
      <c r="V88" s="519"/>
      <c r="W88" s="519"/>
      <c r="X88" s="519"/>
      <c r="Y88" s="519"/>
      <c r="Z88" s="519"/>
      <c r="AA88" s="520"/>
      <c r="AB88" s="1620">
        <f t="shared" si="11"/>
        <v>13.2</v>
      </c>
      <c r="AC88" s="1620"/>
      <c r="AD88" s="3297"/>
      <c r="AE88" s="1620">
        <f>+'Exhibit F'!AF79+'Exhibit G'!AG65+'Exhibit I'!AI51</f>
        <v>16.5</v>
      </c>
      <c r="AF88" s="1620"/>
      <c r="AG88" s="1620"/>
      <c r="AH88" s="1620">
        <f t="shared" si="12"/>
        <v>-3.3</v>
      </c>
      <c r="AI88" s="3087"/>
      <c r="AJ88" s="1708">
        <f t="shared" si="14"/>
        <v>-0.2</v>
      </c>
    </row>
    <row r="89" spans="1:36" ht="16.5" customHeight="1">
      <c r="A89" s="881" t="s">
        <v>951</v>
      </c>
      <c r="B89" s="881"/>
      <c r="C89" s="519">
        <f>+'Exhibit F'!D80+'Exhibit G'!D66+'Exhibit H'!B42+'Exhibit I'!E52</f>
        <v>45.3</v>
      </c>
      <c r="D89" s="519"/>
      <c r="E89" s="519">
        <f>+'Exhibit F'!F80+'Exhibit G'!F66+'Exhibit H'!D42+'Exhibit I'!G52</f>
        <v>2.8000000000000056</v>
      </c>
      <c r="F89" s="519"/>
      <c r="G89" s="519">
        <f>+'Exhibit F'!H80+'Exhibit G'!H66+'Exhibit H'!F42+'Exhibit I'!I52</f>
        <v>10.5</v>
      </c>
      <c r="H89" s="519"/>
      <c r="I89" s="519">
        <f>+'Exhibit F'!J80+'Exhibit G'!J66+'Exhibit H'!H42+'Exhibit I'!K52</f>
        <v>3.799999999999994</v>
      </c>
      <c r="J89" s="519"/>
      <c r="K89" s="519">
        <f>+'Exhibit F'!L80+'Exhibit G'!L66+'Exhibit H'!J42+'Exhibit I'!M52</f>
        <v>17.70000000000001</v>
      </c>
      <c r="L89" s="519"/>
      <c r="M89" s="519">
        <f>+'Exhibit F'!N80+'Exhibit G'!N66+'Exhibit H'!L42+'Exhibit I'!O52</f>
        <v>86.499999999999986</v>
      </c>
      <c r="N89" s="519"/>
      <c r="O89" s="1620"/>
      <c r="P89" s="519"/>
      <c r="Q89" s="519"/>
      <c r="R89" s="519"/>
      <c r="S89" s="519"/>
      <c r="T89" s="519"/>
      <c r="U89" s="519"/>
      <c r="V89" s="519"/>
      <c r="W89" s="519"/>
      <c r="X89" s="519"/>
      <c r="Y89" s="519"/>
      <c r="Z89" s="519"/>
      <c r="AA89" s="520"/>
      <c r="AB89" s="1620">
        <f t="shared" si="11"/>
        <v>166.6</v>
      </c>
      <c r="AC89" s="1620"/>
      <c r="AD89" s="3297"/>
      <c r="AE89" s="1620">
        <f>+'Exhibit F'!AF80+'Exhibit G'!AG66+'Exhibit H'!AD42+'Exhibit I'!AI52</f>
        <v>3.3999999999999995</v>
      </c>
      <c r="AF89" s="1620"/>
      <c r="AG89" s="1620"/>
      <c r="AH89" s="1620">
        <f t="shared" si="12"/>
        <v>163.19999999999999</v>
      </c>
      <c r="AI89" s="3087"/>
      <c r="AJ89" s="1713">
        <f t="shared" si="14"/>
        <v>48</v>
      </c>
    </row>
    <row r="90" spans="1:36" ht="16.5" customHeight="1">
      <c r="A90" s="881" t="s">
        <v>1054</v>
      </c>
      <c r="B90" s="881"/>
      <c r="C90" s="519"/>
      <c r="D90" s="519"/>
      <c r="E90" s="519"/>
      <c r="F90" s="519"/>
      <c r="G90" s="519"/>
      <c r="H90" s="519"/>
      <c r="I90" s="519"/>
      <c r="J90" s="519"/>
      <c r="K90" s="519"/>
      <c r="L90" s="519"/>
      <c r="M90" s="519"/>
      <c r="N90" s="519"/>
      <c r="O90" s="1620"/>
      <c r="P90" s="519"/>
      <c r="Q90" s="519"/>
      <c r="R90" s="519"/>
      <c r="S90" s="519"/>
      <c r="T90" s="519"/>
      <c r="U90" s="519"/>
      <c r="V90" s="519"/>
      <c r="W90" s="519"/>
      <c r="X90" s="519"/>
      <c r="Y90" s="519"/>
      <c r="Z90" s="519"/>
      <c r="AA90" s="520"/>
      <c r="AB90" s="1620"/>
      <c r="AC90" s="1620"/>
      <c r="AD90" s="3297"/>
      <c r="AE90" s="1620"/>
      <c r="AF90" s="1620"/>
      <c r="AG90" s="1620"/>
      <c r="AH90" s="1620"/>
      <c r="AI90" s="3087"/>
      <c r="AJ90" s="1708"/>
    </row>
    <row r="91" spans="1:36" ht="16.5" customHeight="1">
      <c r="A91" s="881" t="s">
        <v>952</v>
      </c>
      <c r="B91" s="881"/>
      <c r="C91" s="519">
        <f>+'Exhibit F'!D82+'Exhibit G'!D68+'Exhibit I'!E54</f>
        <v>45.8</v>
      </c>
      <c r="D91" s="519"/>
      <c r="E91" s="519">
        <f>+'Exhibit F'!F82+'Exhibit G'!F68+'Exhibit I'!G54</f>
        <v>9.1999999999999993</v>
      </c>
      <c r="F91" s="519"/>
      <c r="G91" s="519">
        <f>+'Exhibit F'!H82+'Exhibit G'!H68+'Exhibit I'!I54</f>
        <v>36</v>
      </c>
      <c r="H91" s="519"/>
      <c r="I91" s="519">
        <f>+'Exhibit F'!J82+'Exhibit G'!J68+'Exhibit I'!K54</f>
        <v>8.5999999999999908</v>
      </c>
      <c r="J91" s="519"/>
      <c r="K91" s="519">
        <f>+'Exhibit F'!L82+'Exhibit G'!L68+'Exhibit I'!M54</f>
        <v>9.1000000000000085</v>
      </c>
      <c r="L91" s="519"/>
      <c r="M91" s="519">
        <f>+'Exhibit F'!N82+'Exhibit G'!N68+'Exhibit I'!O54</f>
        <v>23.5</v>
      </c>
      <c r="N91" s="519"/>
      <c r="O91" s="1620"/>
      <c r="P91" s="519"/>
      <c r="Q91" s="519"/>
      <c r="R91" s="519"/>
      <c r="S91" s="519"/>
      <c r="T91" s="519"/>
      <c r="U91" s="519"/>
      <c r="V91" s="519"/>
      <c r="W91" s="519"/>
      <c r="X91" s="519"/>
      <c r="Y91" s="519"/>
      <c r="Z91" s="519"/>
      <c r="AA91" s="520"/>
      <c r="AB91" s="1620">
        <f t="shared" si="11"/>
        <v>132.19999999999999</v>
      </c>
      <c r="AC91" s="1620"/>
      <c r="AD91" s="3297"/>
      <c r="AE91" s="1620">
        <f>+'Exhibit F'!AF82+'Exhibit G'!AG68+'Exhibit I'!AI54</f>
        <v>102.80000000000001</v>
      </c>
      <c r="AF91" s="1620"/>
      <c r="AG91" s="1620"/>
      <c r="AH91" s="1620">
        <f t="shared" si="12"/>
        <v>29.4</v>
      </c>
      <c r="AI91" s="3087"/>
      <c r="AJ91" s="1713">
        <f>ROUND(IF(AE91=0,0,AH91/ABS(AE91)),3)</f>
        <v>0.28599999999999998</v>
      </c>
    </row>
    <row r="92" spans="1:36" ht="16.5" customHeight="1">
      <c r="A92" s="881" t="s">
        <v>953</v>
      </c>
      <c r="B92" s="881"/>
      <c r="C92" s="519">
        <f>+'Exhibit G'!D69+'Exhibit F'!D83</f>
        <v>0.9</v>
      </c>
      <c r="D92" s="519"/>
      <c r="E92" s="519">
        <f>+'Exhibit G'!F69+'Exhibit F'!F83</f>
        <v>0.80000000000000138</v>
      </c>
      <c r="F92" s="519"/>
      <c r="G92" s="519">
        <f>+'Exhibit G'!H69+'Exhibit F'!H83</f>
        <v>0.19999999999999568</v>
      </c>
      <c r="H92" s="519"/>
      <c r="I92" s="519">
        <f>+'Exhibit G'!J69+'Exhibit F'!J83</f>
        <v>0.60000000000000009</v>
      </c>
      <c r="J92" s="519"/>
      <c r="K92" s="519">
        <f>+'Exhibit G'!L69+'Exhibit F'!L83</f>
        <v>0.39999999999999147</v>
      </c>
      <c r="L92" s="519"/>
      <c r="M92" s="519">
        <f>+'Exhibit G'!N69+'Exhibit F'!N83</f>
        <v>1.3000000000000342</v>
      </c>
      <c r="N92" s="519"/>
      <c r="O92" s="1620"/>
      <c r="P92" s="519"/>
      <c r="Q92" s="519"/>
      <c r="R92" s="519"/>
      <c r="S92" s="519"/>
      <c r="T92" s="519"/>
      <c r="U92" s="519"/>
      <c r="V92" s="519"/>
      <c r="W92" s="519"/>
      <c r="X92" s="519"/>
      <c r="Y92" s="519"/>
      <c r="Z92" s="519"/>
      <c r="AA92" s="520"/>
      <c r="AB92" s="1620">
        <f t="shared" si="11"/>
        <v>4.2</v>
      </c>
      <c r="AC92" s="1620"/>
      <c r="AD92" s="3297"/>
      <c r="AE92" s="1620">
        <f>+'Exhibit G'!AG69+'Exhibit F'!AF83</f>
        <v>2</v>
      </c>
      <c r="AF92" s="1620"/>
      <c r="AG92" s="1620"/>
      <c r="AH92" s="1620">
        <f t="shared" si="12"/>
        <v>2.2000000000000002</v>
      </c>
      <c r="AI92" s="3087"/>
      <c r="AJ92" s="1708">
        <f>ROUND(IF(AE92=0,0,AH92/ABS(AE92)),3)</f>
        <v>1.1000000000000001</v>
      </c>
    </row>
    <row r="93" spans="1:36" ht="16.5" customHeight="1">
      <c r="A93" s="881" t="s">
        <v>1287</v>
      </c>
      <c r="B93" s="881"/>
      <c r="C93" s="519">
        <v>0</v>
      </c>
      <c r="D93" s="519"/>
      <c r="E93" s="519">
        <v>0</v>
      </c>
      <c r="F93" s="519"/>
      <c r="G93" s="519">
        <v>0</v>
      </c>
      <c r="H93" s="519"/>
      <c r="I93" s="519">
        <v>0</v>
      </c>
      <c r="J93" s="519"/>
      <c r="K93" s="519">
        <v>0</v>
      </c>
      <c r="L93" s="519"/>
      <c r="M93" s="519">
        <v>0</v>
      </c>
      <c r="N93" s="519"/>
      <c r="O93" s="1620"/>
      <c r="P93" s="519"/>
      <c r="Q93" s="519"/>
      <c r="R93" s="519"/>
      <c r="S93" s="519"/>
      <c r="T93" s="519"/>
      <c r="U93" s="519"/>
      <c r="V93" s="519"/>
      <c r="W93" s="519"/>
      <c r="X93" s="519"/>
      <c r="Y93" s="519"/>
      <c r="Z93" s="519"/>
      <c r="AA93" s="950"/>
      <c r="AB93" s="1620">
        <f t="shared" si="11"/>
        <v>0</v>
      </c>
      <c r="AC93" s="1620"/>
      <c r="AD93" s="3297"/>
      <c r="AE93" s="1620">
        <f>'Exhibit G'!AG70</f>
        <v>0</v>
      </c>
      <c r="AF93" s="1620"/>
      <c r="AG93" s="1620"/>
      <c r="AH93" s="1620">
        <f t="shared" ref="AH93" si="15">ROUND(SUM(AB93-AE93),1)</f>
        <v>0</v>
      </c>
      <c r="AI93" s="3087"/>
      <c r="AJ93" s="1708">
        <f>ROUND(IF(AE93=0,0,AH93/ABS(AE93)),3)</f>
        <v>0</v>
      </c>
    </row>
    <row r="94" spans="1:36" ht="16.5" customHeight="1">
      <c r="A94" s="881" t="s">
        <v>954</v>
      </c>
      <c r="B94" s="881"/>
      <c r="C94" s="519">
        <f>+'Exhibit F'!D84+'Exhibit G'!D71+'Exhibit I'!E55</f>
        <v>2.5</v>
      </c>
      <c r="D94" s="519"/>
      <c r="E94" s="519">
        <f>+'Exhibit F'!F84+'Exhibit G'!F71+'Exhibit I'!G55</f>
        <v>2.1</v>
      </c>
      <c r="F94" s="519"/>
      <c r="G94" s="519">
        <f>+'Exhibit F'!H84+'Exhibit G'!H71+'Exhibit I'!I55</f>
        <v>3.4000000000000004</v>
      </c>
      <c r="H94" s="519"/>
      <c r="I94" s="519">
        <f>+'Exhibit F'!J84+'Exhibit G'!J71+'Exhibit I'!K55</f>
        <v>0.70000000000000018</v>
      </c>
      <c r="J94" s="519"/>
      <c r="K94" s="519">
        <f>+'Exhibit F'!L84+'Exhibit G'!L71+'Exhibit I'!M55</f>
        <v>0.50000000000000022</v>
      </c>
      <c r="L94" s="519"/>
      <c r="M94" s="519">
        <f>+'Exhibit F'!N84+'Exhibit G'!N71+'Exhibit I'!O55</f>
        <v>2.8999999999999995</v>
      </c>
      <c r="N94" s="519"/>
      <c r="O94" s="1620"/>
      <c r="P94" s="519"/>
      <c r="Q94" s="519"/>
      <c r="R94" s="519"/>
      <c r="S94" s="519"/>
      <c r="T94" s="519"/>
      <c r="U94" s="519"/>
      <c r="V94" s="519"/>
      <c r="W94" s="519"/>
      <c r="X94" s="519"/>
      <c r="Y94" s="519"/>
      <c r="Z94" s="519"/>
      <c r="AA94" s="520"/>
      <c r="AB94" s="1620">
        <f t="shared" si="11"/>
        <v>12.1</v>
      </c>
      <c r="AC94" s="1620"/>
      <c r="AD94" s="3297"/>
      <c r="AE94" s="1620">
        <f>+'Exhibit F'!AF84+'Exhibit G'!AG71+'Exhibit I'!AI55</f>
        <v>35.4</v>
      </c>
      <c r="AF94" s="1620"/>
      <c r="AG94" s="1620"/>
      <c r="AH94" s="1620">
        <f t="shared" si="12"/>
        <v>-23.3</v>
      </c>
      <c r="AI94" s="3087"/>
      <c r="AJ94" s="1709">
        <f t="shared" ref="AJ94:AJ101" si="16">ROUND(IF(AE94=0,0,AH94/ABS(AE94)),3)</f>
        <v>-0.65800000000000003</v>
      </c>
    </row>
    <row r="95" spans="1:36" ht="16.5" customHeight="1">
      <c r="A95" s="881" t="s">
        <v>955</v>
      </c>
      <c r="B95" s="881"/>
      <c r="C95" s="519">
        <f>+'Exhibit F'!D85+'Exhibit G'!D72+'Exhibit I'!E56</f>
        <v>4.9000000000000004</v>
      </c>
      <c r="D95" s="519"/>
      <c r="E95" s="519">
        <f>+'Exhibit F'!F85+'Exhibit G'!F72+'Exhibit I'!G56</f>
        <v>5.6999999999999993</v>
      </c>
      <c r="F95" s="519"/>
      <c r="G95" s="519">
        <f>+'Exhibit F'!H85+'Exhibit G'!H72+'Exhibit I'!I56</f>
        <v>6.3000000000000025</v>
      </c>
      <c r="H95" s="519"/>
      <c r="I95" s="519">
        <f>+'Exhibit F'!J85+'Exhibit G'!J72+'Exhibit I'!K56</f>
        <v>4.9999999999999982</v>
      </c>
      <c r="J95" s="519"/>
      <c r="K95" s="519">
        <f>+'Exhibit F'!L85+'Exhibit G'!L72+'Exhibit I'!M56</f>
        <v>6</v>
      </c>
      <c r="L95" s="519"/>
      <c r="M95" s="519">
        <f>+'Exhibit F'!N85+'Exhibit G'!N72+'Exhibit I'!O56</f>
        <v>20.3</v>
      </c>
      <c r="N95" s="519"/>
      <c r="O95" s="1620"/>
      <c r="P95" s="519"/>
      <c r="Q95" s="519"/>
      <c r="R95" s="519"/>
      <c r="S95" s="519"/>
      <c r="T95" s="519"/>
      <c r="U95" s="519"/>
      <c r="V95" s="519"/>
      <c r="W95" s="519"/>
      <c r="X95" s="519"/>
      <c r="Y95" s="519"/>
      <c r="Z95" s="519"/>
      <c r="AA95" s="520"/>
      <c r="AB95" s="1620">
        <f>ROUND(SUM(C95:Y95),1)</f>
        <v>48.2</v>
      </c>
      <c r="AC95" s="1620"/>
      <c r="AD95" s="3297"/>
      <c r="AE95" s="1620">
        <f>+'Exhibit F'!AF85+'Exhibit G'!AG72+'Exhibit I'!AI56</f>
        <v>36</v>
      </c>
      <c r="AF95" s="1620"/>
      <c r="AG95" s="1620"/>
      <c r="AH95" s="1620">
        <f t="shared" si="12"/>
        <v>12.2</v>
      </c>
      <c r="AI95" s="3087"/>
      <c r="AJ95" s="1709">
        <f t="shared" si="16"/>
        <v>0.33900000000000002</v>
      </c>
    </row>
    <row r="96" spans="1:36" ht="16.5" customHeight="1">
      <c r="A96" s="881" t="s">
        <v>956</v>
      </c>
      <c r="B96" s="881"/>
      <c r="C96" s="519">
        <f>+'Exhibit F'!D86+'Exhibit G'!D73+'Exhibit H'!B44</f>
        <v>295.79999999999995</v>
      </c>
      <c r="D96" s="519"/>
      <c r="E96" s="519">
        <f>+'Exhibit F'!F86+'Exhibit G'!F73+'Exhibit H'!D44</f>
        <v>223.60000000000002</v>
      </c>
      <c r="F96" s="519"/>
      <c r="G96" s="519">
        <f>+'Exhibit F'!H86+'Exhibit G'!H73+'Exhibit H'!F44</f>
        <v>214.50000000000006</v>
      </c>
      <c r="H96" s="519"/>
      <c r="I96" s="519">
        <f>+'Exhibit F'!J86+'Exhibit G'!J73+'Exhibit H'!H44</f>
        <v>293.29999999999995</v>
      </c>
      <c r="J96" s="519"/>
      <c r="K96" s="519">
        <f>+'Exhibit F'!L86+'Exhibit G'!L73+'Exhibit H'!J44</f>
        <v>205.89999999999998</v>
      </c>
      <c r="L96" s="519"/>
      <c r="M96" s="519">
        <f>+'Exhibit F'!N86+'Exhibit G'!N73+'Exhibit H'!L44</f>
        <v>251.39999999999998</v>
      </c>
      <c r="N96" s="519"/>
      <c r="O96" s="1620"/>
      <c r="P96" s="519"/>
      <c r="Q96" s="519"/>
      <c r="R96" s="519"/>
      <c r="S96" s="519"/>
      <c r="T96" s="519"/>
      <c r="U96" s="519"/>
      <c r="V96" s="519"/>
      <c r="W96" s="519"/>
      <c r="X96" s="519"/>
      <c r="Y96" s="519"/>
      <c r="Z96" s="519"/>
      <c r="AA96" s="520"/>
      <c r="AB96" s="1620">
        <f t="shared" si="11"/>
        <v>1484.5</v>
      </c>
      <c r="AC96" s="1620"/>
      <c r="AD96" s="3297"/>
      <c r="AE96" s="1620">
        <f>+'Exhibit F'!AF86+'Exhibit G'!AG73+'Exhibit H'!AD44</f>
        <v>1778.2</v>
      </c>
      <c r="AF96" s="1620"/>
      <c r="AG96" s="1620"/>
      <c r="AH96" s="1620">
        <f t="shared" si="12"/>
        <v>-293.7</v>
      </c>
      <c r="AI96" s="3087"/>
      <c r="AJ96" s="1709">
        <f t="shared" si="16"/>
        <v>-0.16500000000000001</v>
      </c>
    </row>
    <row r="97" spans="1:45" ht="16.5" customHeight="1">
      <c r="A97" s="881" t="s">
        <v>957</v>
      </c>
      <c r="B97" s="881"/>
      <c r="C97" s="519">
        <f>+'Exhibit G'!D74+'Exhibit F'!D87+'Exhibit I'!E57</f>
        <v>11.3</v>
      </c>
      <c r="D97" s="519"/>
      <c r="E97" s="519">
        <f>+'Exhibit G'!F74+'Exhibit F'!F87+'Exhibit I'!G57</f>
        <v>9.5</v>
      </c>
      <c r="F97" s="519"/>
      <c r="G97" s="519">
        <f>+'Exhibit G'!H74+'Exhibit F'!H87+'Exhibit I'!I57</f>
        <v>13.799999999999999</v>
      </c>
      <c r="H97" s="519"/>
      <c r="I97" s="519">
        <f>+'Exhibit G'!J74+'Exhibit F'!J87+'Exhibit I'!K57</f>
        <v>12</v>
      </c>
      <c r="J97" s="519"/>
      <c r="K97" s="519">
        <f>+'Exhibit G'!L74+'Exhibit F'!L87+'Exhibit I'!M57</f>
        <v>10.199999999999998</v>
      </c>
      <c r="L97" s="519"/>
      <c r="M97" s="519">
        <f>+'Exhibit G'!N74+'Exhibit F'!N87+'Exhibit I'!O57</f>
        <v>14.5</v>
      </c>
      <c r="N97" s="519"/>
      <c r="O97" s="1620"/>
      <c r="P97" s="519"/>
      <c r="Q97" s="519"/>
      <c r="R97" s="519"/>
      <c r="S97" s="519"/>
      <c r="T97" s="519"/>
      <c r="U97" s="519"/>
      <c r="V97" s="519"/>
      <c r="W97" s="519"/>
      <c r="X97" s="519"/>
      <c r="Y97" s="519"/>
      <c r="Z97" s="519"/>
      <c r="AA97" s="520"/>
      <c r="AB97" s="1620">
        <f t="shared" si="11"/>
        <v>71.3</v>
      </c>
      <c r="AC97" s="1620"/>
      <c r="AD97" s="3297"/>
      <c r="AE97" s="1620">
        <f>+'Exhibit G'!AG74+'Exhibit F'!AF87+'Exhibit I'!AI57</f>
        <v>79.400000000000006</v>
      </c>
      <c r="AF97" s="1620"/>
      <c r="AG97" s="1620"/>
      <c r="AH97" s="1620">
        <f t="shared" si="12"/>
        <v>-8.1</v>
      </c>
      <c r="AI97" s="3087"/>
      <c r="AJ97" s="1709">
        <f t="shared" si="16"/>
        <v>-0.10199999999999999</v>
      </c>
    </row>
    <row r="98" spans="1:45" ht="16.5" customHeight="1">
      <c r="A98" s="881" t="s">
        <v>958</v>
      </c>
      <c r="B98" s="881"/>
      <c r="C98" s="519">
        <f>+'Exhibit F'!D88+'Exhibit G'!D75+'Exhibit I'!E58</f>
        <v>1.5</v>
      </c>
      <c r="D98" s="519"/>
      <c r="E98" s="519">
        <f>+'Exhibit F'!F88+'Exhibit G'!F75+'Exhibit I'!G58</f>
        <v>11.100000000000001</v>
      </c>
      <c r="F98" s="519"/>
      <c r="G98" s="519">
        <f>+'Exhibit F'!H88+'Exhibit G'!H75+'Exhibit I'!I58</f>
        <v>9</v>
      </c>
      <c r="H98" s="519"/>
      <c r="I98" s="519">
        <f>+'Exhibit F'!J88+'Exhibit G'!J75+'Exhibit I'!K58</f>
        <v>6.5</v>
      </c>
      <c r="J98" s="519"/>
      <c r="K98" s="519">
        <f>+'Exhibit F'!L88+'Exhibit G'!L75+'Exhibit I'!M58</f>
        <v>2.799999999999998</v>
      </c>
      <c r="L98" s="519"/>
      <c r="M98" s="519">
        <f>+'Exhibit F'!N88+'Exhibit G'!N75+'Exhibit I'!O58</f>
        <v>8.0000000000000036</v>
      </c>
      <c r="N98" s="519"/>
      <c r="O98" s="1620"/>
      <c r="P98" s="519"/>
      <c r="Q98" s="519"/>
      <c r="R98" s="519"/>
      <c r="S98" s="519"/>
      <c r="T98" s="519"/>
      <c r="U98" s="519"/>
      <c r="V98" s="519"/>
      <c r="W98" s="519"/>
      <c r="X98" s="519"/>
      <c r="Y98" s="519"/>
      <c r="Z98" s="519"/>
      <c r="AA98" s="520"/>
      <c r="AB98" s="1620">
        <f t="shared" si="11"/>
        <v>38.9</v>
      </c>
      <c r="AC98" s="1620"/>
      <c r="AD98" s="3297"/>
      <c r="AE98" s="1620">
        <f>+'Exhibit F'!AF88+'Exhibit G'!AG75+'Exhibit I'!AI58</f>
        <v>56.5</v>
      </c>
      <c r="AF98" s="1620"/>
      <c r="AG98" s="1620"/>
      <c r="AH98" s="1620">
        <f t="shared" si="12"/>
        <v>-17.600000000000001</v>
      </c>
      <c r="AI98" s="3087"/>
      <c r="AJ98" s="3293">
        <f t="shared" si="16"/>
        <v>-0.312</v>
      </c>
    </row>
    <row r="99" spans="1:45" ht="16.5" customHeight="1">
      <c r="A99" s="881" t="s">
        <v>959</v>
      </c>
      <c r="B99" s="881"/>
      <c r="C99" s="519">
        <f>+'Exhibit F'!D89+'Exhibit G'!D76</f>
        <v>2.4</v>
      </c>
      <c r="D99" s="519"/>
      <c r="E99" s="519">
        <f>+'Exhibit F'!F89+'Exhibit G'!F76</f>
        <v>5.6</v>
      </c>
      <c r="F99" s="519"/>
      <c r="G99" s="519">
        <f>+'Exhibit F'!H89+'Exhibit G'!H76</f>
        <v>1.3000000000000007</v>
      </c>
      <c r="H99" s="519"/>
      <c r="I99" s="519">
        <f>+'Exhibit F'!J89+'Exhibit G'!J76</f>
        <v>1.8999999999999986</v>
      </c>
      <c r="J99" s="519"/>
      <c r="K99" s="519">
        <f>+'Exhibit F'!L89+'Exhibit G'!L76</f>
        <v>1.4000000000000004</v>
      </c>
      <c r="L99" s="519"/>
      <c r="M99" s="519">
        <f>+'Exhibit F'!N89+'Exhibit G'!N76</f>
        <v>1.2000000000000011</v>
      </c>
      <c r="N99" s="519"/>
      <c r="O99" s="1620"/>
      <c r="P99" s="519"/>
      <c r="Q99" s="519"/>
      <c r="R99" s="519"/>
      <c r="S99" s="519"/>
      <c r="T99" s="519"/>
      <c r="U99" s="519"/>
      <c r="V99" s="519"/>
      <c r="W99" s="519"/>
      <c r="X99" s="519"/>
      <c r="Y99" s="519"/>
      <c r="Z99" s="519"/>
      <c r="AA99" s="520"/>
      <c r="AB99" s="1620">
        <f t="shared" si="11"/>
        <v>13.8</v>
      </c>
      <c r="AC99" s="1620"/>
      <c r="AD99" s="3297"/>
      <c r="AE99" s="1620">
        <f>+'Exhibit F'!AF89+'Exhibit G'!AG76</f>
        <v>27.6</v>
      </c>
      <c r="AF99" s="1620"/>
      <c r="AG99" s="1620"/>
      <c r="AH99" s="1620">
        <f t="shared" si="12"/>
        <v>-13.8</v>
      </c>
      <c r="AI99" s="3087"/>
      <c r="AJ99" s="1709">
        <f t="shared" si="16"/>
        <v>-0.5</v>
      </c>
    </row>
    <row r="100" spans="1:45" ht="16.5" customHeight="1">
      <c r="A100" s="881" t="s">
        <v>960</v>
      </c>
      <c r="B100" s="881"/>
      <c r="C100" s="519">
        <f>+'Exhibit F'!D90+'Exhibit G'!D77+'Exhibit I'!E59+'Exhibit H'!B45</f>
        <v>87.300000000000011</v>
      </c>
      <c r="D100" s="519"/>
      <c r="E100" s="519">
        <f>+'Exhibit F'!F90+'Exhibit G'!F77+'Exhibit I'!G59+'Exhibit H'!D45</f>
        <v>63.600000000000009</v>
      </c>
      <c r="F100" s="519"/>
      <c r="G100" s="519">
        <f>+'Exhibit F'!H90+'Exhibit G'!H77+'Exhibit I'!I59+'Exhibit H'!F45</f>
        <v>71.799999999999983</v>
      </c>
      <c r="H100" s="519"/>
      <c r="I100" s="519">
        <f>+'Exhibit F'!J90+'Exhibit G'!J77+'Exhibit I'!K59+'Exhibit H'!H45</f>
        <v>71.400000000000006</v>
      </c>
      <c r="J100" s="519"/>
      <c r="K100" s="519">
        <f>+'Exhibit F'!L90+'Exhibit G'!L77+'Exhibit I'!M59+'Exhibit H'!J45</f>
        <v>82.899999999999977</v>
      </c>
      <c r="L100" s="519"/>
      <c r="M100" s="519">
        <f>+'Exhibit F'!N90+'Exhibit G'!N77+'Exhibit I'!O59+'Exhibit H'!L45</f>
        <v>37.700000000000045</v>
      </c>
      <c r="N100" s="519"/>
      <c r="O100" s="1620"/>
      <c r="P100" s="519"/>
      <c r="Q100" s="519"/>
      <c r="R100" s="519"/>
      <c r="S100" s="519"/>
      <c r="T100" s="519"/>
      <c r="U100" s="519"/>
      <c r="V100" s="519"/>
      <c r="W100" s="519"/>
      <c r="X100" s="519"/>
      <c r="Y100" s="519"/>
      <c r="Z100" s="519"/>
      <c r="AA100" s="520"/>
      <c r="AB100" s="1620">
        <f t="shared" si="11"/>
        <v>414.7</v>
      </c>
      <c r="AC100" s="1620"/>
      <c r="AD100" s="3297"/>
      <c r="AE100" s="1620">
        <f>+'Exhibit F'!AF90+'Exhibit G'!AG77+'Exhibit I'!AI59+'Exhibit H'!AD45</f>
        <v>209.09999999999997</v>
      </c>
      <c r="AF100" s="1620"/>
      <c r="AG100" s="1620"/>
      <c r="AH100" s="1620">
        <f t="shared" si="12"/>
        <v>205.6</v>
      </c>
      <c r="AI100" s="3087"/>
      <c r="AJ100" s="3293">
        <f t="shared" si="16"/>
        <v>0.98299999999999998</v>
      </c>
    </row>
    <row r="101" spans="1:45" ht="16.5" customHeight="1">
      <c r="A101" s="881" t="s">
        <v>961</v>
      </c>
      <c r="B101" s="881"/>
      <c r="C101" s="519">
        <f>+'Exhibit F'!D91+'Exhibit G'!D78+'Exhibit I'!E60+'Exhibit H'!B46</f>
        <v>2.4000000000000004</v>
      </c>
      <c r="D101" s="519"/>
      <c r="E101" s="519">
        <f>+'Exhibit F'!F91+'Exhibit G'!F78+'Exhibit I'!G60+'Exhibit H'!D46</f>
        <v>0.5</v>
      </c>
      <c r="F101" s="519"/>
      <c r="G101" s="519">
        <f>+'Exhibit F'!H91+'Exhibit G'!H78+'Exhibit I'!I60+'Exhibit H'!F46</f>
        <v>1.7000000000000002</v>
      </c>
      <c r="H101" s="519"/>
      <c r="I101" s="519">
        <f>+'Exhibit F'!J91+'Exhibit G'!J78+'Exhibit I'!K60+'Exhibit H'!H46</f>
        <v>1.2999999999999994</v>
      </c>
      <c r="J101" s="519"/>
      <c r="K101" s="519">
        <f>+'Exhibit F'!L91+'Exhibit G'!L78+'Exhibit I'!M60+'Exhibit H'!J46</f>
        <v>1.0000000000000004</v>
      </c>
      <c r="L101" s="519"/>
      <c r="M101" s="519">
        <f>+'Exhibit F'!N91+'Exhibit G'!N78+'Exhibit I'!O60+'Exhibit H'!L46</f>
        <v>3.1</v>
      </c>
      <c r="N101" s="519"/>
      <c r="O101" s="1620"/>
      <c r="P101" s="519"/>
      <c r="Q101" s="519"/>
      <c r="R101" s="519"/>
      <c r="S101" s="519"/>
      <c r="T101" s="519"/>
      <c r="U101" s="519"/>
      <c r="V101" s="519"/>
      <c r="W101" s="519"/>
      <c r="X101" s="519"/>
      <c r="Y101" s="519"/>
      <c r="Z101" s="519"/>
      <c r="AA101" s="520"/>
      <c r="AB101" s="1620">
        <f t="shared" si="11"/>
        <v>10</v>
      </c>
      <c r="AC101" s="1620"/>
      <c r="AD101" s="3297"/>
      <c r="AE101" s="1620">
        <f>+'Exhibit F'!AF91+'Exhibit G'!AG78+'Exhibit I'!AI60+'Exhibit H'!AD46</f>
        <v>8</v>
      </c>
      <c r="AF101" s="1620"/>
      <c r="AG101" s="1620"/>
      <c r="AH101" s="1620">
        <f t="shared" si="12"/>
        <v>2</v>
      </c>
      <c r="AI101" s="3087"/>
      <c r="AJ101" s="1709">
        <f t="shared" si="16"/>
        <v>0.25</v>
      </c>
    </row>
    <row r="102" spans="1:45" ht="16.5" customHeight="1">
      <c r="A102" s="881" t="s">
        <v>962</v>
      </c>
      <c r="B102" s="881"/>
      <c r="C102" s="519">
        <f>+'Exhibit G'!D79</f>
        <v>-75.7</v>
      </c>
      <c r="D102" s="519"/>
      <c r="E102" s="519">
        <f>+'Exhibit G'!F79</f>
        <v>41.6</v>
      </c>
      <c r="F102" s="519"/>
      <c r="G102" s="519">
        <f>+'Exhibit G'!H79</f>
        <v>51.300000000000004</v>
      </c>
      <c r="H102" s="519"/>
      <c r="I102" s="519">
        <f>+'Exhibit G'!J79</f>
        <v>56.6</v>
      </c>
      <c r="J102" s="519"/>
      <c r="K102" s="519">
        <f>+'Exhibit G'!L79</f>
        <v>203.99999999999997</v>
      </c>
      <c r="L102" s="519"/>
      <c r="M102" s="519">
        <f>+'Exhibit G'!N79</f>
        <v>243.30000000000004</v>
      </c>
      <c r="N102" s="519"/>
      <c r="O102" s="1620"/>
      <c r="P102" s="519"/>
      <c r="Q102" s="519"/>
      <c r="R102" s="519"/>
      <c r="S102" s="519"/>
      <c r="T102" s="519"/>
      <c r="U102" s="519"/>
      <c r="V102" s="519"/>
      <c r="W102" s="519"/>
      <c r="X102" s="519"/>
      <c r="Y102" s="519"/>
      <c r="Z102" s="519"/>
      <c r="AA102" s="520"/>
      <c r="AB102" s="1620">
        <f t="shared" si="11"/>
        <v>521.1</v>
      </c>
      <c r="AC102" s="1620"/>
      <c r="AD102" s="3297"/>
      <c r="AE102" s="1620">
        <f>+'Exhibit G'!AG79</f>
        <v>562.9</v>
      </c>
      <c r="AF102" s="1620"/>
      <c r="AG102" s="1620"/>
      <c r="AH102" s="1620">
        <f t="shared" si="12"/>
        <v>-41.8</v>
      </c>
      <c r="AI102" s="3087"/>
      <c r="AJ102" s="1709">
        <f>ROUND(IF(AE102=0,0,AH102/ABS(AE102)),3)</f>
        <v>-7.3999999999999996E-2</v>
      </c>
    </row>
    <row r="103" spans="1:45" s="425" customFormat="1" ht="16.5" customHeight="1">
      <c r="A103" s="307" t="s">
        <v>996</v>
      </c>
      <c r="B103" s="206"/>
      <c r="C103" s="255">
        <f>ROUND(SUM(C62:C102),1)</f>
        <v>1729.5</v>
      </c>
      <c r="D103" s="1058"/>
      <c r="E103" s="255">
        <f>ROUND(SUM(E62:E102),1)</f>
        <v>1568.7</v>
      </c>
      <c r="F103" s="1058"/>
      <c r="G103" s="255">
        <f>ROUND(SUM(G62:G102),1)</f>
        <v>1870.7</v>
      </c>
      <c r="H103" s="911"/>
      <c r="I103" s="255">
        <f>ROUND(SUM(I62:I102),1)</f>
        <v>1923.3</v>
      </c>
      <c r="J103" s="911"/>
      <c r="K103" s="255">
        <f>ROUND(SUM(K62:K102),1)</f>
        <v>1784.3</v>
      </c>
      <c r="L103" s="911"/>
      <c r="M103" s="255">
        <f>ROUND(SUM(M62:M102),1)</f>
        <v>2618.1999999999998</v>
      </c>
      <c r="N103" s="911"/>
      <c r="O103" s="2041">
        <f>ROUND(SUM(O62:O102),1)</f>
        <v>0</v>
      </c>
      <c r="P103" s="911"/>
      <c r="Q103" s="2041">
        <f>ROUND(SUM(Q62:Q102),1)</f>
        <v>0</v>
      </c>
      <c r="R103" s="911"/>
      <c r="S103" s="255">
        <f>ROUND(SUM(S62:S102),1)</f>
        <v>0</v>
      </c>
      <c r="T103" s="911"/>
      <c r="U103" s="255">
        <f>ROUND(SUM(U62:U102),1)</f>
        <v>0</v>
      </c>
      <c r="V103" s="911"/>
      <c r="W103" s="255">
        <f>ROUND(SUM(W62:W102),1)</f>
        <v>0</v>
      </c>
      <c r="X103" s="204"/>
      <c r="Y103" s="255">
        <f>ROUND(SUM(Y62:Y102),1)</f>
        <v>0</v>
      </c>
      <c r="Z103" s="204"/>
      <c r="AA103" s="256"/>
      <c r="AB103" s="1523">
        <f>ROUND(SUM(AB62:AB102),1)</f>
        <v>11494.7</v>
      </c>
      <c r="AC103" s="109"/>
      <c r="AD103" s="669"/>
      <c r="AE103" s="1523">
        <f>ROUND(SUM(AE62:AE102),1)</f>
        <v>16608.5</v>
      </c>
      <c r="AF103" s="112"/>
      <c r="AG103" s="3299"/>
      <c r="AH103" s="1523">
        <f>ROUND(SUM(AH62:AH102),1)</f>
        <v>-5113.8</v>
      </c>
      <c r="AI103" s="112"/>
      <c r="AJ103" s="3294">
        <f>ROUND(IF(AE103=0,0,AH103/ABS(AE103)),3)</f>
        <v>-0.308</v>
      </c>
      <c r="AK103" s="3287"/>
    </row>
    <row r="104" spans="1:45" s="425" customFormat="1" ht="16.5" customHeight="1">
      <c r="A104" s="511"/>
      <c r="B104" s="511"/>
      <c r="C104" s="523"/>
      <c r="D104" s="523"/>
      <c r="E104" s="523"/>
      <c r="F104" s="523"/>
      <c r="G104" s="523"/>
      <c r="H104" s="523"/>
      <c r="I104" s="523"/>
      <c r="J104" s="523"/>
      <c r="K104" s="523"/>
      <c r="L104" s="523"/>
      <c r="M104" s="523"/>
      <c r="N104" s="523"/>
      <c r="O104" s="3095"/>
      <c r="P104" s="523"/>
      <c r="Q104" s="3095"/>
      <c r="R104" s="523"/>
      <c r="S104" s="523"/>
      <c r="T104" s="523"/>
      <c r="U104" s="523"/>
      <c r="V104" s="523"/>
      <c r="W104" s="523"/>
      <c r="X104" s="523"/>
      <c r="Y104" s="523"/>
      <c r="Z104" s="523"/>
      <c r="AA104" s="524"/>
      <c r="AB104" s="3095"/>
      <c r="AC104" s="3096"/>
      <c r="AD104" s="3300"/>
      <c r="AE104" s="3095"/>
      <c r="AF104" s="3096"/>
      <c r="AG104" s="3095"/>
      <c r="AH104" s="3095"/>
      <c r="AI104" s="3088"/>
      <c r="AJ104" s="3286"/>
      <c r="AK104" s="3287"/>
    </row>
    <row r="105" spans="1:45" ht="16.5" customHeight="1">
      <c r="A105" s="222" t="s">
        <v>20</v>
      </c>
      <c r="B105" s="222"/>
      <c r="C105" s="521">
        <f>+'Exhibit F'!D94+'Exhibit G'!D82+'Exhibit H'!B49+'Exhibit I'!E63</f>
        <v>7164.2</v>
      </c>
      <c r="D105" s="519"/>
      <c r="E105" s="521">
        <f>+'Exhibit F'!F94+'Exhibit G'!F82+'Exhibit H'!D49+'Exhibit I'!G63</f>
        <v>18246.2</v>
      </c>
      <c r="F105" s="519"/>
      <c r="G105" s="521">
        <f>+'Exhibit F'!H94+'Exhibit G'!H82+'Exhibit H'!F49+'Exhibit I'!I63</f>
        <v>7485.1</v>
      </c>
      <c r="H105" s="519"/>
      <c r="I105" s="521">
        <f>+'Exhibit F'!J94+'Exhibit G'!J82+'Exhibit H'!H49+'Exhibit I'!K63</f>
        <v>5880.4999999999973</v>
      </c>
      <c r="J105" s="519"/>
      <c r="K105" s="521">
        <f>+'Exhibit F'!L94+'Exhibit G'!L82+'Exhibit H'!J49+'Exhibit I'!M63</f>
        <v>5986.7</v>
      </c>
      <c r="L105" s="519"/>
      <c r="M105" s="521">
        <f>+'Exhibit F'!N94+'Exhibit G'!N82+'Exhibit H'!L49+'Exhibit I'!O63</f>
        <v>7537.699999999998</v>
      </c>
      <c r="N105" s="519"/>
      <c r="O105" s="3803"/>
      <c r="P105" s="519"/>
      <c r="Q105" s="521"/>
      <c r="R105" s="519"/>
      <c r="S105" s="521"/>
      <c r="T105" s="519"/>
      <c r="U105" s="521"/>
      <c r="V105" s="519"/>
      <c r="W105" s="521"/>
      <c r="X105" s="519"/>
      <c r="Y105" s="521"/>
      <c r="Z105" s="519"/>
      <c r="AA105" s="520"/>
      <c r="AB105" s="3097">
        <f>ROUND(SUM(C105:Y105),1)</f>
        <v>52300.4</v>
      </c>
      <c r="AC105" s="1620"/>
      <c r="AD105" s="3297"/>
      <c r="AE105" s="3803">
        <f>+'Exhibit F'!AF94+'Exhibit G'!AG82+'Exhibit H'!AD49+'Exhibit I'!AI63</f>
        <v>42740.800000000003</v>
      </c>
      <c r="AF105" s="2151"/>
      <c r="AG105" s="1620"/>
      <c r="AH105" s="3097">
        <f>ROUND(SUM(AB105-AE105),1)</f>
        <v>9559.6</v>
      </c>
      <c r="AI105" s="3087"/>
      <c r="AJ105" s="3301">
        <f>ROUND(IF(AE105=0,0,AH105/ABS(AE105)),3)</f>
        <v>0.224</v>
      </c>
    </row>
    <row r="106" spans="1:45" ht="16.5" customHeight="1">
      <c r="A106" s="222"/>
      <c r="B106" s="222"/>
      <c r="C106" s="519"/>
      <c r="D106" s="519"/>
      <c r="E106" s="519"/>
      <c r="F106" s="519"/>
      <c r="G106" s="519"/>
      <c r="H106" s="519"/>
      <c r="I106" s="519"/>
      <c r="J106" s="519"/>
      <c r="K106" s="519"/>
      <c r="L106" s="519"/>
      <c r="M106" s="519"/>
      <c r="N106" s="519"/>
      <c r="O106" s="1620"/>
      <c r="P106" s="519"/>
      <c r="Q106" s="1620"/>
      <c r="R106" s="519"/>
      <c r="S106" s="519"/>
      <c r="T106" s="519"/>
      <c r="U106" s="519"/>
      <c r="V106" s="519"/>
      <c r="W106" s="519"/>
      <c r="X106" s="519"/>
      <c r="Y106" s="519"/>
      <c r="Z106" s="519"/>
      <c r="AA106" s="520"/>
      <c r="AB106" s="1620"/>
      <c r="AC106" s="1620"/>
      <c r="AD106" s="3297"/>
      <c r="AE106" s="1620"/>
      <c r="AF106" s="2151"/>
      <c r="AG106" s="1620"/>
      <c r="AH106" s="1620"/>
      <c r="AI106" s="3087"/>
      <c r="AJ106" s="3302"/>
    </row>
    <row r="107" spans="1:45" ht="16.5" customHeight="1">
      <c r="A107" s="26" t="s">
        <v>149</v>
      </c>
      <c r="B107" s="27"/>
      <c r="C107" s="818">
        <f>ROUND(SUM(C105+C103+C58),1)</f>
        <v>18085.7</v>
      </c>
      <c r="D107" s="911"/>
      <c r="E107" s="818">
        <f>ROUND(SUM(E105+E103+E58),1)</f>
        <v>31522.5</v>
      </c>
      <c r="F107" s="911"/>
      <c r="G107" s="818">
        <f>ROUND(SUM(G105+G103+G58),1)</f>
        <v>19337.400000000001</v>
      </c>
      <c r="H107" s="911"/>
      <c r="I107" s="818">
        <f>ROUND(SUM(I105+I103+I58),1)</f>
        <v>13361.7</v>
      </c>
      <c r="J107" s="911"/>
      <c r="K107" s="818">
        <f>ROUND(SUM(K105+K103+K58),1)</f>
        <v>13509.7</v>
      </c>
      <c r="L107" s="911"/>
      <c r="M107" s="818">
        <f>ROUND(SUM(M105+M103+M58),1)</f>
        <v>20922.7</v>
      </c>
      <c r="N107" s="911"/>
      <c r="O107" s="1096">
        <f>ROUND(SUM(O105+O103+O58),1)</f>
        <v>0</v>
      </c>
      <c r="P107" s="911"/>
      <c r="Q107" s="1096">
        <f>ROUND(SUM(Q105+Q103+Q58),1)</f>
        <v>0</v>
      </c>
      <c r="R107" s="911"/>
      <c r="S107" s="818">
        <f>ROUND(SUM(S105+S103+S58),1)</f>
        <v>0</v>
      </c>
      <c r="T107" s="911"/>
      <c r="U107" s="818">
        <f>ROUND(SUM(U105+U103+U58),1)</f>
        <v>0</v>
      </c>
      <c r="V107" s="911"/>
      <c r="W107" s="818">
        <f>ROUND(SUM(W105+W103+W58),1)</f>
        <v>0</v>
      </c>
      <c r="X107" s="204"/>
      <c r="Y107" s="818">
        <f>ROUND(SUM(Y105+Y103+Y58),1)</f>
        <v>0</v>
      </c>
      <c r="Z107" s="250"/>
      <c r="AA107" s="251"/>
      <c r="AB107" s="1096">
        <f>ROUND(SUM(AB105+AB103+AB58),1)</f>
        <v>116739.7</v>
      </c>
      <c r="AC107" s="109"/>
      <c r="AD107" s="669"/>
      <c r="AE107" s="1096">
        <f>ROUND(SUM(AE105+AE103+AE58),1)</f>
        <v>98902.1</v>
      </c>
      <c r="AF107" s="112"/>
      <c r="AG107" s="3299"/>
      <c r="AH107" s="1096">
        <f>ROUND(SUM(AH105+AH103+AH58),1)</f>
        <v>17837.599999999999</v>
      </c>
      <c r="AI107" s="112"/>
      <c r="AJ107" s="3296">
        <f>ROUND(IF(AE107=0,0,AH107/ABS(AE107)),3)</f>
        <v>0.18</v>
      </c>
      <c r="AK107" s="3287"/>
      <c r="AL107" s="425"/>
      <c r="AM107" s="425"/>
      <c r="AN107" s="425"/>
      <c r="AO107" s="425"/>
      <c r="AP107" s="425"/>
      <c r="AQ107" s="425"/>
      <c r="AR107" s="425"/>
      <c r="AS107" s="425"/>
    </row>
    <row r="108" spans="1:45" ht="16.5" customHeight="1">
      <c r="A108" s="204"/>
      <c r="B108" s="222"/>
      <c r="C108" s="525"/>
      <c r="D108" s="519"/>
      <c r="E108" s="525"/>
      <c r="F108" s="519"/>
      <c r="G108" s="525"/>
      <c r="H108" s="519"/>
      <c r="I108" s="525"/>
      <c r="J108" s="519"/>
      <c r="K108" s="525"/>
      <c r="L108" s="519"/>
      <c r="M108" s="525"/>
      <c r="N108" s="519"/>
      <c r="O108" s="3098"/>
      <c r="P108" s="519"/>
      <c r="Q108" s="3098"/>
      <c r="R108" s="519"/>
      <c r="S108" s="525"/>
      <c r="T108" s="519"/>
      <c r="U108" s="525"/>
      <c r="V108" s="519"/>
      <c r="W108" s="525"/>
      <c r="X108" s="519"/>
      <c r="Y108" s="525"/>
      <c r="Z108" s="519"/>
      <c r="AA108" s="520"/>
      <c r="AB108" s="3098"/>
      <c r="AC108" s="1620"/>
      <c r="AD108" s="3297"/>
      <c r="AE108" s="3098"/>
      <c r="AF108" s="1620"/>
      <c r="AG108" s="1620"/>
      <c r="AH108" s="884"/>
      <c r="AI108" s="3087"/>
      <c r="AJ108" s="880"/>
    </row>
    <row r="109" spans="1:45" ht="16.5" customHeight="1">
      <c r="A109" s="204" t="s">
        <v>22</v>
      </c>
      <c r="B109" s="222"/>
      <c r="C109" s="526"/>
      <c r="D109" s="519"/>
      <c r="E109" s="526"/>
      <c r="F109" s="519"/>
      <c r="G109" s="526"/>
      <c r="H109" s="519"/>
      <c r="I109" s="526"/>
      <c r="J109" s="519"/>
      <c r="K109" s="526"/>
      <c r="L109" s="519"/>
      <c r="M109" s="526"/>
      <c r="N109" s="519"/>
      <c r="O109" s="2151"/>
      <c r="P109" s="519"/>
      <c r="Q109" s="2151"/>
      <c r="R109" s="519"/>
      <c r="S109" s="526"/>
      <c r="T109" s="519"/>
      <c r="U109" s="526"/>
      <c r="V109" s="519"/>
      <c r="W109" s="526"/>
      <c r="X109" s="519"/>
      <c r="Y109" s="526"/>
      <c r="Z109" s="519"/>
      <c r="AA109" s="520"/>
      <c r="AB109" s="2151"/>
      <c r="AC109" s="1620"/>
      <c r="AD109" s="3297"/>
      <c r="AE109" s="2151"/>
      <c r="AF109" s="1620"/>
      <c r="AG109" s="1620"/>
      <c r="AH109" s="884"/>
      <c r="AI109" s="3087"/>
      <c r="AJ109" s="880"/>
    </row>
    <row r="110" spans="1:45" ht="16.5" customHeight="1">
      <c r="A110" s="222" t="s">
        <v>136</v>
      </c>
      <c r="B110" s="222"/>
      <c r="C110" s="519"/>
      <c r="D110" s="519"/>
      <c r="E110" s="519"/>
      <c r="F110" s="519"/>
      <c r="G110" s="519"/>
      <c r="H110" s="519"/>
      <c r="I110" s="519"/>
      <c r="J110" s="519"/>
      <c r="K110" s="519"/>
      <c r="L110" s="519"/>
      <c r="M110" s="519"/>
      <c r="N110" s="519"/>
      <c r="O110" s="1620"/>
      <c r="P110" s="519"/>
      <c r="Q110" s="1620"/>
      <c r="R110" s="519"/>
      <c r="S110" s="519"/>
      <c r="T110" s="519"/>
      <c r="U110" s="519"/>
      <c r="V110" s="519"/>
      <c r="W110" s="519"/>
      <c r="X110" s="519"/>
      <c r="Y110" s="519"/>
      <c r="Z110" s="519"/>
      <c r="AA110" s="520"/>
      <c r="AB110" s="1620"/>
      <c r="AC110" s="1620"/>
      <c r="AD110" s="3297"/>
      <c r="AE110" s="115"/>
      <c r="AF110" s="1620"/>
      <c r="AG110" s="1620"/>
      <c r="AH110" s="1620"/>
      <c r="AI110" s="3087"/>
      <c r="AJ110" s="3298"/>
    </row>
    <row r="111" spans="1:45" ht="16.5" customHeight="1">
      <c r="A111" s="253" t="s">
        <v>24</v>
      </c>
      <c r="B111" s="222"/>
      <c r="C111" s="519">
        <f>+'Exhibit F'!D100+'Exhibit G'!D88+'Exhibit I'!E69</f>
        <v>810.59999999999991</v>
      </c>
      <c r="D111" s="519"/>
      <c r="E111" s="519">
        <f>+'Exhibit F'!F100+'Exhibit G'!F88+'Exhibit I'!G69</f>
        <v>4402.4000000000005</v>
      </c>
      <c r="F111" s="519"/>
      <c r="G111" s="519">
        <f>+'Exhibit F'!H100+'Exhibit G'!H88+'Exhibit I'!I69</f>
        <v>4076.2</v>
      </c>
      <c r="H111" s="519"/>
      <c r="I111" s="519">
        <f>+'Exhibit F'!J100+'Exhibit G'!J88+'Exhibit I'!K69</f>
        <v>1902.4999999999995</v>
      </c>
      <c r="J111" s="519"/>
      <c r="K111" s="519">
        <f>+'Exhibit F'!L100+'Exhibit G'!L88+'Exhibit I'!M69</f>
        <v>1418.299999999999</v>
      </c>
      <c r="L111" s="519"/>
      <c r="M111" s="519">
        <f>+'Exhibit F'!N100+'Exhibit G'!N88+'Exhibit I'!O69</f>
        <v>4369.7000000000016</v>
      </c>
      <c r="N111" s="519"/>
      <c r="O111" s="1620"/>
      <c r="P111" s="519"/>
      <c r="Q111" s="519"/>
      <c r="R111" s="519"/>
      <c r="S111" s="519"/>
      <c r="T111" s="519"/>
      <c r="U111" s="519"/>
      <c r="V111" s="519"/>
      <c r="W111" s="519"/>
      <c r="X111" s="519"/>
      <c r="Y111" s="519"/>
      <c r="Z111" s="519"/>
      <c r="AA111" s="520"/>
      <c r="AB111" s="115">
        <f>ROUND(SUM(C111:Y111),1)</f>
        <v>16979.7</v>
      </c>
      <c r="AC111" s="1620"/>
      <c r="AD111" s="3297"/>
      <c r="AE111" s="115">
        <f>+'Exhibit F'!AF100+'Exhibit G'!AG88+'Exhibit I'!AI69</f>
        <v>15273.8</v>
      </c>
      <c r="AF111" s="1620"/>
      <c r="AG111" s="1620"/>
      <c r="AH111" s="1620">
        <f>ROUND(SUM(AB111-AE111),1)</f>
        <v>1705.9</v>
      </c>
      <c r="AI111" s="3087"/>
      <c r="AJ111" s="1709">
        <f>ROUND(IF(AE111=0,0,AH111/ABS(AE111)),3)</f>
        <v>0.112</v>
      </c>
    </row>
    <row r="112" spans="1:45" ht="16.5" customHeight="1">
      <c r="A112" s="253" t="s">
        <v>25</v>
      </c>
      <c r="B112" s="222"/>
      <c r="C112" s="519">
        <f>+'Exhibit F'!D101+'Exhibit G'!D89+'Exhibit I'!E70</f>
        <v>29.4</v>
      </c>
      <c r="D112" s="519"/>
      <c r="E112" s="519">
        <f>+'Exhibit F'!F101+'Exhibit G'!F89+'Exhibit I'!G70</f>
        <v>9.6000000000000014</v>
      </c>
      <c r="F112" s="519"/>
      <c r="G112" s="519">
        <f>+'Exhibit F'!H101+'Exhibit G'!H89+'Exhibit I'!I70</f>
        <v>19.799999999999997</v>
      </c>
      <c r="H112" s="519"/>
      <c r="I112" s="519">
        <f>+'Exhibit F'!J101+'Exhibit G'!J89+'Exhibit I'!K70</f>
        <v>15.999999999999996</v>
      </c>
      <c r="J112" s="519"/>
      <c r="K112" s="519">
        <f>+'Exhibit F'!L101+'Exhibit G'!L89+'Exhibit I'!M70</f>
        <v>32.699999999999996</v>
      </c>
      <c r="L112" s="519"/>
      <c r="M112" s="519">
        <f>+'Exhibit F'!N101+'Exhibit G'!N89+'Exhibit I'!O70</f>
        <v>15.800000000000015</v>
      </c>
      <c r="N112" s="519"/>
      <c r="O112" s="1620"/>
      <c r="P112" s="519"/>
      <c r="Q112" s="519"/>
      <c r="R112" s="519"/>
      <c r="S112" s="519"/>
      <c r="T112" s="519"/>
      <c r="U112" s="519"/>
      <c r="V112" s="519"/>
      <c r="W112" s="519"/>
      <c r="X112" s="519"/>
      <c r="Y112" s="519"/>
      <c r="Z112" s="519"/>
      <c r="AA112" s="520"/>
      <c r="AB112" s="115">
        <f t="shared" ref="AB112:AB119" si="17">ROUND(SUM(C112:Y112),1)</f>
        <v>123.3</v>
      </c>
      <c r="AC112" s="1620"/>
      <c r="AD112" s="3297"/>
      <c r="AE112" s="115">
        <f>+'Exhibit F'!AF101+'Exhibit G'!AG89+'Exhibit I'!AI70</f>
        <v>71.3</v>
      </c>
      <c r="AF112" s="1620"/>
      <c r="AG112" s="1620"/>
      <c r="AH112" s="1620">
        <f t="shared" ref="AH112:AH119" si="18">ROUND(SUM(AB112-AE112),1)</f>
        <v>52</v>
      </c>
      <c r="AI112" s="3087"/>
      <c r="AJ112" s="1709">
        <f>ROUND(IF(AE112=0,0,AH112/ABS(AE112)),3)</f>
        <v>0.72899999999999998</v>
      </c>
    </row>
    <row r="113" spans="1:38" ht="16.5" customHeight="1">
      <c r="A113" s="253" t="s">
        <v>26</v>
      </c>
      <c r="B113" s="222"/>
      <c r="C113" s="519">
        <f>+'Exhibit F'!D102+'Exhibit G'!D90+'Exhibit I'!E71</f>
        <v>36.899999999999991</v>
      </c>
      <c r="D113" s="519"/>
      <c r="E113" s="519">
        <f>+'Exhibit F'!F102+'Exhibit G'!F90+'Exhibit I'!G71</f>
        <v>130.19999999999999</v>
      </c>
      <c r="F113" s="519"/>
      <c r="G113" s="519">
        <f>+'Exhibit F'!H102+'Exhibit G'!H90+'Exhibit I'!I71</f>
        <v>504.4</v>
      </c>
      <c r="H113" s="519"/>
      <c r="I113" s="519">
        <f>+'Exhibit F'!J102+'Exhibit G'!J90+'Exhibit I'!K71</f>
        <v>440.40000000000003</v>
      </c>
      <c r="J113" s="519"/>
      <c r="K113" s="519">
        <f>+'Exhibit F'!L102+'Exhibit G'!L90+'Exhibit I'!M71</f>
        <v>100.8</v>
      </c>
      <c r="L113" s="519"/>
      <c r="M113" s="519">
        <f>+'Exhibit F'!N102+'Exhibit G'!N90+'Exhibit I'!O71</f>
        <v>195.3</v>
      </c>
      <c r="N113" s="519"/>
      <c r="O113" s="1620"/>
      <c r="P113" s="519"/>
      <c r="Q113" s="519"/>
      <c r="R113" s="519"/>
      <c r="S113" s="519"/>
      <c r="T113" s="519"/>
      <c r="U113" s="519"/>
      <c r="V113" s="519"/>
      <c r="W113" s="519"/>
      <c r="X113" s="519"/>
      <c r="Y113" s="519"/>
      <c r="Z113" s="519"/>
      <c r="AA113" s="520"/>
      <c r="AB113" s="115">
        <f t="shared" si="17"/>
        <v>1408</v>
      </c>
      <c r="AC113" s="1620"/>
      <c r="AD113" s="3297"/>
      <c r="AE113" s="115">
        <f>+'Exhibit F'!AF102+'Exhibit G'!AG90+'Exhibit I'!AI71</f>
        <v>4723.5</v>
      </c>
      <c r="AF113" s="1620"/>
      <c r="AG113" s="1620"/>
      <c r="AH113" s="1620">
        <f t="shared" si="18"/>
        <v>-3315.5</v>
      </c>
      <c r="AI113" s="3087"/>
      <c r="AJ113" s="1709">
        <f>ROUND(IF(AE113=0,0,AH113/ABS(AE113)),3)</f>
        <v>-0.70199999999999996</v>
      </c>
    </row>
    <row r="114" spans="1:38" ht="16.5" customHeight="1">
      <c r="A114" s="253" t="s">
        <v>27</v>
      </c>
      <c r="B114" s="222"/>
      <c r="C114" s="519"/>
      <c r="D114" s="519"/>
      <c r="E114" s="519"/>
      <c r="F114" s="519"/>
      <c r="G114" s="519"/>
      <c r="H114" s="519"/>
      <c r="I114" s="519"/>
      <c r="J114" s="519"/>
      <c r="K114" s="519"/>
      <c r="L114" s="519"/>
      <c r="M114" s="519"/>
      <c r="N114" s="519"/>
      <c r="O114" s="1620"/>
      <c r="P114" s="519"/>
      <c r="Q114" s="519"/>
      <c r="R114" s="519"/>
      <c r="S114" s="519"/>
      <c r="T114" s="519"/>
      <c r="U114" s="519"/>
      <c r="V114" s="519"/>
      <c r="W114" s="519"/>
      <c r="X114" s="519"/>
      <c r="Y114" s="519"/>
      <c r="Z114" s="519"/>
      <c r="AA114" s="520"/>
      <c r="AB114" s="115"/>
      <c r="AC114" s="1620"/>
      <c r="AD114" s="3297"/>
      <c r="AE114" s="354"/>
      <c r="AF114" s="1620"/>
      <c r="AG114" s="1620"/>
      <c r="AH114" s="1620" t="s">
        <v>14</v>
      </c>
      <c r="AI114" s="3087"/>
      <c r="AJ114" s="3298"/>
    </row>
    <row r="115" spans="1:38" ht="16.5" customHeight="1">
      <c r="A115" s="254" t="s">
        <v>28</v>
      </c>
      <c r="B115" s="222"/>
      <c r="C115" s="519">
        <f>+'Exhibit F'!D104+'Exhibit G'!D92+'Exhibit I'!E73</f>
        <v>6499.1</v>
      </c>
      <c r="D115" s="519"/>
      <c r="E115" s="519">
        <f>+'Exhibit F'!F104+'Exhibit G'!F92+'Exhibit I'!G73</f>
        <v>5695.0999999999995</v>
      </c>
      <c r="F115" s="519"/>
      <c r="G115" s="519">
        <f>+'Exhibit F'!H104+'Exhibit G'!H92+'Exhibit I'!I73</f>
        <v>6549.9000000000005</v>
      </c>
      <c r="H115" s="519"/>
      <c r="I115" s="519">
        <f>+'Exhibit F'!J104+'Exhibit G'!J92+'Exhibit I'!K73</f>
        <v>4699.0999999999985</v>
      </c>
      <c r="J115" s="519"/>
      <c r="K115" s="519">
        <f>+'Exhibit F'!L104+'Exhibit G'!L92+'Exhibit I'!M73</f>
        <v>5876.2000000000016</v>
      </c>
      <c r="L115" s="519"/>
      <c r="M115" s="519">
        <f>+'Exhibit F'!N104+'Exhibit G'!N92+'Exhibit I'!O73</f>
        <v>5505.4</v>
      </c>
      <c r="N115" s="519"/>
      <c r="O115" s="1620"/>
      <c r="P115" s="519"/>
      <c r="Q115" s="519"/>
      <c r="R115" s="519"/>
      <c r="S115" s="519"/>
      <c r="T115" s="519"/>
      <c r="U115" s="519"/>
      <c r="V115" s="519"/>
      <c r="W115" s="519"/>
      <c r="X115" s="519"/>
      <c r="Y115" s="519"/>
      <c r="Z115" s="519"/>
      <c r="AA115" s="520"/>
      <c r="AB115" s="115">
        <f t="shared" si="17"/>
        <v>34824.800000000003</v>
      </c>
      <c r="AC115" s="1620"/>
      <c r="AD115" s="3297"/>
      <c r="AE115" s="115">
        <f>+'Exhibit F'!AF104+'Exhibit G'!AG92+'Exhibit I'!AI73</f>
        <v>34247.399999999994</v>
      </c>
      <c r="AF115" s="1620"/>
      <c r="AG115" s="1620"/>
      <c r="AH115" s="1620">
        <f t="shared" si="18"/>
        <v>577.4</v>
      </c>
      <c r="AI115" s="3087"/>
      <c r="AJ115" s="1709">
        <f t="shared" ref="AJ115:AJ121" si="19">ROUND(IF(AE115=0,0,AH115/ABS(AE115)),3)</f>
        <v>1.7000000000000001E-2</v>
      </c>
      <c r="AK115" s="3303"/>
    </row>
    <row r="116" spans="1:38" ht="16.5" customHeight="1">
      <c r="A116" s="253" t="s">
        <v>29</v>
      </c>
      <c r="B116" s="222"/>
      <c r="C116" s="519">
        <f>+'Exhibit F'!D105+'Exhibit G'!D93+'Exhibit I'!E74</f>
        <v>651.9</v>
      </c>
      <c r="D116" s="519"/>
      <c r="E116" s="519">
        <f>+'Exhibit F'!F105+'Exhibit G'!F93+'Exhibit I'!G74</f>
        <v>688.7</v>
      </c>
      <c r="F116" s="519"/>
      <c r="G116" s="519">
        <f>+'Exhibit F'!H105+'Exhibit G'!H93+'Exhibit I'!I74</f>
        <v>1395.4000000000003</v>
      </c>
      <c r="H116" s="519"/>
      <c r="I116" s="519">
        <f>+'Exhibit F'!J105+'Exhibit G'!J93+'Exhibit I'!K74</f>
        <v>906.09999999999991</v>
      </c>
      <c r="J116" s="519"/>
      <c r="K116" s="519">
        <f>+'Exhibit F'!L105+'Exhibit G'!L93+'Exhibit I'!M74</f>
        <v>906.69999999999993</v>
      </c>
      <c r="L116" s="519"/>
      <c r="M116" s="519">
        <f>+'Exhibit F'!N105+'Exhibit G'!N93+'Exhibit I'!O74</f>
        <v>1218.6000000000001</v>
      </c>
      <c r="N116" s="519"/>
      <c r="O116" s="1620"/>
      <c r="P116" s="519"/>
      <c r="Q116" s="519"/>
      <c r="R116" s="519"/>
      <c r="S116" s="519"/>
      <c r="T116" s="519"/>
      <c r="U116" s="519"/>
      <c r="V116" s="519"/>
      <c r="W116" s="519"/>
      <c r="X116" s="519"/>
      <c r="Y116" s="519"/>
      <c r="Z116" s="519"/>
      <c r="AA116" s="520"/>
      <c r="AB116" s="115">
        <f t="shared" si="17"/>
        <v>5767.4</v>
      </c>
      <c r="AC116" s="3099"/>
      <c r="AD116" s="1620"/>
      <c r="AE116" s="115">
        <f>+'Exhibit F'!AF105+'Exhibit G'!AG93+'Exhibit I'!AI74</f>
        <v>5030.3000000000011</v>
      </c>
      <c r="AF116" s="1620"/>
      <c r="AG116" s="1620"/>
      <c r="AH116" s="1620">
        <f t="shared" si="18"/>
        <v>737.1</v>
      </c>
      <c r="AI116" s="3087"/>
      <c r="AJ116" s="1709">
        <f t="shared" si="19"/>
        <v>0.14699999999999999</v>
      </c>
    </row>
    <row r="117" spans="1:38" ht="16.5" customHeight="1">
      <c r="A117" s="253" t="s">
        <v>30</v>
      </c>
      <c r="B117" s="222"/>
      <c r="C117" s="519">
        <f>+'Exhibit F'!D106+'Exhibit G'!D94+'Exhibit I'!E75</f>
        <v>128.1</v>
      </c>
      <c r="D117" s="519"/>
      <c r="E117" s="519">
        <f>+'Exhibit F'!F106+'Exhibit G'!F94+'Exhibit I'!G75</f>
        <v>139.4</v>
      </c>
      <c r="F117" s="519"/>
      <c r="G117" s="519">
        <f>+'Exhibit F'!H106+'Exhibit G'!H94+'Exhibit I'!I75</f>
        <v>196.10000000000002</v>
      </c>
      <c r="H117" s="519"/>
      <c r="I117" s="519">
        <f>+'Exhibit F'!J106+'Exhibit G'!J94+'Exhibit I'!K75</f>
        <v>220.60000000000002</v>
      </c>
      <c r="J117" s="519"/>
      <c r="K117" s="519">
        <f>+'Exhibit F'!L106+'Exhibit G'!L94+'Exhibit I'!M75</f>
        <v>98.000000000000014</v>
      </c>
      <c r="L117" s="519"/>
      <c r="M117" s="519">
        <f>+'Exhibit F'!N106+'Exhibit G'!N94+'Exhibit I'!O75</f>
        <v>225.3</v>
      </c>
      <c r="N117" s="519"/>
      <c r="O117" s="1620"/>
      <c r="P117" s="519"/>
      <c r="Q117" s="519"/>
      <c r="R117" s="519"/>
      <c r="S117" s="519"/>
      <c r="T117" s="519"/>
      <c r="U117" s="519"/>
      <c r="V117" s="519"/>
      <c r="W117" s="519"/>
      <c r="X117" s="519"/>
      <c r="Y117" s="519"/>
      <c r="Z117" s="519"/>
      <c r="AA117" s="520"/>
      <c r="AB117" s="115">
        <f t="shared" si="17"/>
        <v>1007.5</v>
      </c>
      <c r="AC117" s="3100"/>
      <c r="AD117" s="3297"/>
      <c r="AE117" s="115">
        <f>+'Exhibit F'!AF106+'Exhibit G'!AG94+'Exhibit I'!AI75</f>
        <v>809.6</v>
      </c>
      <c r="AF117" s="1620"/>
      <c r="AG117" s="1620"/>
      <c r="AH117" s="1620">
        <f t="shared" si="18"/>
        <v>197.9</v>
      </c>
      <c r="AI117" s="3087"/>
      <c r="AJ117" s="1709">
        <f t="shared" si="19"/>
        <v>0.24399999999999999</v>
      </c>
    </row>
    <row r="118" spans="1:38" ht="16.5" customHeight="1">
      <c r="A118" s="253" t="s">
        <v>31</v>
      </c>
      <c r="B118" s="222"/>
      <c r="C118" s="519">
        <f>+'Exhibit F'!D107+'Exhibit G'!D95+'Exhibit I'!E76</f>
        <v>230.2</v>
      </c>
      <c r="D118" s="519"/>
      <c r="E118" s="519">
        <f>+'Exhibit F'!F107+'Exhibit G'!F95+'Exhibit I'!G76</f>
        <v>356.7</v>
      </c>
      <c r="F118" s="519"/>
      <c r="G118" s="519">
        <f>+'Exhibit F'!H107+'Exhibit G'!H95+'Exhibit I'!I76</f>
        <v>905</v>
      </c>
      <c r="H118" s="519"/>
      <c r="I118" s="519">
        <f>+'Exhibit F'!J107+'Exhibit G'!J95+'Exhibit I'!K76</f>
        <v>1005.5</v>
      </c>
      <c r="J118" s="519"/>
      <c r="K118" s="519">
        <f>+'Exhibit F'!L107+'Exhibit G'!L95+'Exhibit I'!M76</f>
        <v>1046.7000000000003</v>
      </c>
      <c r="L118" s="519"/>
      <c r="M118" s="519">
        <f>+'Exhibit F'!N107+'Exhibit G'!N95+'Exhibit I'!O76</f>
        <v>2372.2000000000003</v>
      </c>
      <c r="N118" s="519"/>
      <c r="O118" s="1620"/>
      <c r="P118" s="519"/>
      <c r="Q118" s="519"/>
      <c r="R118" s="519"/>
      <c r="S118" s="519"/>
      <c r="T118" s="519"/>
      <c r="U118" s="519"/>
      <c r="V118" s="519"/>
      <c r="W118" s="519"/>
      <c r="X118" s="519"/>
      <c r="Y118" s="519"/>
      <c r="Z118" s="519"/>
      <c r="AA118" s="520"/>
      <c r="AB118" s="115">
        <f t="shared" si="17"/>
        <v>5916.3</v>
      </c>
      <c r="AC118" s="3100"/>
      <c r="AD118" s="3297"/>
      <c r="AE118" s="115">
        <f>+'Exhibit F'!AF107+'Exhibit G'!AG95+'Exhibit I'!AI76</f>
        <v>3520.5999999999995</v>
      </c>
      <c r="AF118" s="1620"/>
      <c r="AG118" s="1620"/>
      <c r="AH118" s="1620">
        <f t="shared" si="18"/>
        <v>2395.6999999999998</v>
      </c>
      <c r="AI118" s="3087"/>
      <c r="AJ118" s="1709">
        <f t="shared" si="19"/>
        <v>0.68</v>
      </c>
    </row>
    <row r="119" spans="1:38" ht="16.5" customHeight="1">
      <c r="A119" s="253" t="s">
        <v>32</v>
      </c>
      <c r="B119" s="222"/>
      <c r="C119" s="519">
        <f>+'Exhibit F'!D108+'Exhibit G'!D96+'Exhibit I'!E77</f>
        <v>26.700000000000003</v>
      </c>
      <c r="D119" s="519"/>
      <c r="E119" s="519">
        <f>+'Exhibit F'!F108+'Exhibit G'!F96+'Exhibit I'!G77</f>
        <v>63.5</v>
      </c>
      <c r="F119" s="519"/>
      <c r="G119" s="519">
        <f>+'Exhibit F'!H108+'Exhibit G'!H96+'Exhibit I'!I77</f>
        <v>359.4</v>
      </c>
      <c r="H119" s="519"/>
      <c r="I119" s="519">
        <f>+'Exhibit F'!J108+'Exhibit G'!J96+'Exhibit I'!K77</f>
        <v>68.399999999999977</v>
      </c>
      <c r="J119" s="519"/>
      <c r="K119" s="519">
        <f>+'Exhibit F'!L108+'Exhibit G'!L96+'Exhibit I'!M77</f>
        <v>50.199999999999974</v>
      </c>
      <c r="L119" s="519"/>
      <c r="M119" s="519">
        <f>+'Exhibit F'!N108+'Exhibit G'!N96+'Exhibit I'!O77</f>
        <v>132.80000000000004</v>
      </c>
      <c r="N119" s="519"/>
      <c r="O119" s="1620"/>
      <c r="P119" s="519"/>
      <c r="Q119" s="519"/>
      <c r="R119" s="519"/>
      <c r="S119" s="519"/>
      <c r="T119" s="519"/>
      <c r="U119" s="519"/>
      <c r="V119" s="519"/>
      <c r="W119" s="519"/>
      <c r="X119" s="519"/>
      <c r="Y119" s="519"/>
      <c r="Z119" s="519"/>
      <c r="AA119" s="520"/>
      <c r="AB119" s="115">
        <f t="shared" si="17"/>
        <v>701</v>
      </c>
      <c r="AC119" s="3100"/>
      <c r="AD119" s="3297"/>
      <c r="AE119" s="115">
        <f>+'Exhibit F'!AF108+'Exhibit G'!AG96+'Exhibit I'!AI77</f>
        <v>232.6</v>
      </c>
      <c r="AF119" s="1620"/>
      <c r="AG119" s="1620"/>
      <c r="AH119" s="1620">
        <f t="shared" si="18"/>
        <v>468.4</v>
      </c>
      <c r="AI119" s="3087"/>
      <c r="AJ119" s="1709">
        <f t="shared" si="19"/>
        <v>2.0139999999999998</v>
      </c>
    </row>
    <row r="120" spans="1:38" ht="16.5" customHeight="1">
      <c r="A120" s="253" t="s">
        <v>33</v>
      </c>
      <c r="B120" s="222"/>
      <c r="C120" s="519">
        <f>+'Exhibit F'!D109+'Exhibit G'!D97+'Exhibit I'!E78</f>
        <v>392.6</v>
      </c>
      <c r="D120" s="519"/>
      <c r="E120" s="519">
        <f>+'Exhibit F'!F109+'Exhibit G'!F97+'Exhibit I'!G78</f>
        <v>471.2999999999999</v>
      </c>
      <c r="F120" s="519"/>
      <c r="G120" s="519">
        <f>+'Exhibit F'!H109+'Exhibit G'!H97+'Exhibit I'!I78</f>
        <v>571.70000000000005</v>
      </c>
      <c r="H120" s="519"/>
      <c r="I120" s="519">
        <f>+'Exhibit F'!J109+'Exhibit G'!J97+'Exhibit I'!K78</f>
        <v>570.29999999999995</v>
      </c>
      <c r="J120" s="519"/>
      <c r="K120" s="519">
        <f>+'Exhibit F'!L109+'Exhibit G'!L97+'Exhibit I'!M78</f>
        <v>654.09999999999991</v>
      </c>
      <c r="L120" s="519"/>
      <c r="M120" s="519">
        <f>+'Exhibit F'!N109+'Exhibit G'!N97+'Exhibit I'!O78</f>
        <v>623.80000000000041</v>
      </c>
      <c r="N120" s="519"/>
      <c r="O120" s="1620"/>
      <c r="P120" s="519"/>
      <c r="Q120" s="519"/>
      <c r="R120" s="519"/>
      <c r="S120" s="519"/>
      <c r="T120" s="519"/>
      <c r="U120" s="519"/>
      <c r="V120" s="519"/>
      <c r="W120" s="519"/>
      <c r="X120" s="519"/>
      <c r="Y120" s="519"/>
      <c r="Z120" s="519"/>
      <c r="AA120" s="520"/>
      <c r="AB120" s="1620">
        <f>ROUND(SUM(C120:Y120),1)</f>
        <v>3283.8</v>
      </c>
      <c r="AC120" s="3100"/>
      <c r="AD120" s="3297"/>
      <c r="AE120" s="115">
        <f>+'Exhibit F'!AF109+'Exhibit G'!AG97+'Exhibit I'!AI78</f>
        <v>2206.6999999999998</v>
      </c>
      <c r="AF120" s="1620"/>
      <c r="AG120" s="1620"/>
      <c r="AH120" s="1620">
        <f>ROUND(SUM(AB120-AE120),1)</f>
        <v>1077.0999999999999</v>
      </c>
      <c r="AI120" s="3087"/>
      <c r="AJ120" s="1709">
        <f t="shared" si="19"/>
        <v>0.48799999999999999</v>
      </c>
    </row>
    <row r="121" spans="1:38" ht="16.5" customHeight="1">
      <c r="A121" s="222" t="s">
        <v>34</v>
      </c>
      <c r="B121" s="222"/>
      <c r="C121" s="529">
        <f>ROUND(SUM(C111:C120),1)</f>
        <v>8805.5</v>
      </c>
      <c r="D121" s="523"/>
      <c r="E121" s="529">
        <f>ROUND(SUM(E111:E120),1)</f>
        <v>11956.9</v>
      </c>
      <c r="F121" s="523"/>
      <c r="G121" s="529">
        <f>ROUND(SUM(G111:G120),1)</f>
        <v>14577.9</v>
      </c>
      <c r="H121" s="523"/>
      <c r="I121" s="529">
        <f>ROUND(SUM(I111:I120),1)</f>
        <v>9828.9</v>
      </c>
      <c r="J121" s="523"/>
      <c r="K121" s="529">
        <f>ROUND(SUM(K111:K120),1)</f>
        <v>10183.700000000001</v>
      </c>
      <c r="L121" s="523"/>
      <c r="M121" s="529">
        <f>ROUND(SUM(M111:M120),1)</f>
        <v>14658.9</v>
      </c>
      <c r="N121" s="523"/>
      <c r="O121" s="3092">
        <f>ROUND(SUM(O111:O120),1)</f>
        <v>0</v>
      </c>
      <c r="P121" s="523"/>
      <c r="Q121" s="3092">
        <f>ROUND(SUM(Q111:Q120),1)</f>
        <v>0</v>
      </c>
      <c r="R121" s="523"/>
      <c r="S121" s="529">
        <f>ROUND(SUM(S111:S120),1)</f>
        <v>0</v>
      </c>
      <c r="T121" s="523"/>
      <c r="U121" s="529">
        <f>ROUND(SUM(U111:U120),1)</f>
        <v>0</v>
      </c>
      <c r="V121" s="523"/>
      <c r="W121" s="529">
        <f>ROUND(SUM(W111:W120),1)</f>
        <v>0</v>
      </c>
      <c r="X121" s="523"/>
      <c r="Y121" s="529">
        <f>ROUND(SUM(Y111:Y120),1)</f>
        <v>0</v>
      </c>
      <c r="Z121" s="523"/>
      <c r="AA121" s="524"/>
      <c r="AB121" s="3092">
        <f>ROUND(SUM(AB111:AB120),1)</f>
        <v>70011.8</v>
      </c>
      <c r="AC121" s="3101"/>
      <c r="AD121" s="3304"/>
      <c r="AE121" s="3092">
        <f>ROUND(SUM(AE111:AE120),1)</f>
        <v>66115.8</v>
      </c>
      <c r="AF121" s="3095"/>
      <c r="AG121" s="3095"/>
      <c r="AH121" s="3092">
        <f>ROUND(SUM(AH111:AH120),1)</f>
        <v>3896</v>
      </c>
      <c r="AI121" s="3088"/>
      <c r="AJ121" s="3294">
        <f t="shared" si="19"/>
        <v>5.8999999999999997E-2</v>
      </c>
      <c r="AK121" s="3287"/>
      <c r="AL121" s="425"/>
    </row>
    <row r="122" spans="1:38" ht="16.5" customHeight="1">
      <c r="A122" s="222" t="s">
        <v>35</v>
      </c>
      <c r="B122" s="222"/>
      <c r="C122" s="526"/>
      <c r="D122" s="519"/>
      <c r="E122" s="526"/>
      <c r="F122" s="519"/>
      <c r="G122" s="526"/>
      <c r="H122" s="519"/>
      <c r="I122" s="526"/>
      <c r="J122" s="519"/>
      <c r="K122" s="526"/>
      <c r="L122" s="519"/>
      <c r="M122" s="526"/>
      <c r="N122" s="519"/>
      <c r="O122" s="2151"/>
      <c r="P122" s="519"/>
      <c r="Q122" s="2151"/>
      <c r="R122" s="519"/>
      <c r="S122" s="526"/>
      <c r="T122" s="519"/>
      <c r="U122" s="526"/>
      <c r="V122" s="519"/>
      <c r="W122" s="526"/>
      <c r="X122" s="519"/>
      <c r="Y122" s="526"/>
      <c r="Z122" s="519"/>
      <c r="AA122" s="520"/>
      <c r="AB122" s="2151"/>
      <c r="AC122" s="1620"/>
      <c r="AD122" s="3297"/>
      <c r="AE122" s="64"/>
      <c r="AF122" s="1620"/>
      <c r="AG122" s="1620"/>
      <c r="AH122" s="884"/>
      <c r="AI122" s="3087"/>
      <c r="AJ122" s="880"/>
    </row>
    <row r="123" spans="1:38" ht="16.5" customHeight="1">
      <c r="A123" s="222" t="s">
        <v>137</v>
      </c>
      <c r="B123" s="222"/>
      <c r="C123" s="519">
        <f>+'Exhibit F'!D112+'Exhibit G'!D100+'Exhibit I'!E81</f>
        <v>1158.2</v>
      </c>
      <c r="D123" s="519"/>
      <c r="E123" s="519">
        <f>+'Exhibit F'!F112+'Exhibit G'!F100+'Exhibit I'!G81</f>
        <v>1182.3</v>
      </c>
      <c r="F123" s="519"/>
      <c r="G123" s="519">
        <f>+'Exhibit F'!H112+'Exhibit G'!H100+'Exhibit I'!I81</f>
        <v>1167.5</v>
      </c>
      <c r="H123" s="519"/>
      <c r="I123" s="519">
        <f>+'Exhibit F'!J112+'Exhibit G'!J100+'Exhibit I'!K81</f>
        <v>1336.7000000000003</v>
      </c>
      <c r="J123" s="519"/>
      <c r="K123" s="519">
        <f>+'Exhibit F'!L112+'Exhibit G'!L100+'Exhibit I'!M81</f>
        <v>1113.3000000000002</v>
      </c>
      <c r="L123" s="519"/>
      <c r="M123" s="519">
        <f>+'Exhibit F'!N112+'Exhibit G'!N100+'Exhibit I'!O81</f>
        <v>1486.2999999999997</v>
      </c>
      <c r="N123" s="519"/>
      <c r="O123" s="1620"/>
      <c r="P123" s="519"/>
      <c r="Q123" s="519"/>
      <c r="R123" s="519"/>
      <c r="S123" s="519"/>
      <c r="T123" s="519"/>
      <c r="U123" s="519"/>
      <c r="V123" s="519"/>
      <c r="W123" s="519"/>
      <c r="X123" s="519"/>
      <c r="Y123" s="519"/>
      <c r="Z123" s="519"/>
      <c r="AA123" s="520"/>
      <c r="AB123" s="1620">
        <f>ROUND(SUM(C123:Y123),1)</f>
        <v>7444.3</v>
      </c>
      <c r="AC123" s="1620"/>
      <c r="AD123" s="3297"/>
      <c r="AE123" s="64">
        <f>+'Exhibit F'!AF112+'Exhibit G'!AG100+'Exhibit I'!AI81</f>
        <v>7681.5</v>
      </c>
      <c r="AF123" s="1620"/>
      <c r="AG123" s="1620"/>
      <c r="AH123" s="1620">
        <f>ROUND(SUM(AB123-AE123),1)</f>
        <v>-237.2</v>
      </c>
      <c r="AI123" s="3087"/>
      <c r="AJ123" s="1709">
        <f>ROUND(IF(AE123=0,0,AH123/ABS(AE123)),3)</f>
        <v>-3.1E-2</v>
      </c>
    </row>
    <row r="124" spans="1:38" ht="16.5" customHeight="1">
      <c r="A124" s="222" t="s">
        <v>138</v>
      </c>
      <c r="B124" s="222"/>
      <c r="C124" s="519">
        <f>+'Exhibit F'!D113+'Exhibit G'!D101+'Exhibit H'!B55+'Exhibit I'!E82</f>
        <v>519.40000000000009</v>
      </c>
      <c r="D124" s="519"/>
      <c r="E124" s="519">
        <f>+'Exhibit F'!F113+'Exhibit G'!F101+'Exhibit H'!D55+'Exhibit I'!G82</f>
        <v>576</v>
      </c>
      <c r="F124" s="519"/>
      <c r="G124" s="519">
        <f>+'Exhibit F'!H113+'Exhibit G'!H101+'Exhibit H'!F55+'Exhibit I'!I82</f>
        <v>839.1</v>
      </c>
      <c r="H124" s="519"/>
      <c r="I124" s="519">
        <f>+'Exhibit F'!J113+'Exhibit G'!J101+'Exhibit H'!H55+'Exhibit I'!K82</f>
        <v>515.99999999999989</v>
      </c>
      <c r="J124" s="519"/>
      <c r="K124" s="519">
        <f>+'Exhibit F'!L113+'Exhibit G'!L101+'Exhibit H'!J55+'Exhibit I'!M82</f>
        <v>726.90000000000009</v>
      </c>
      <c r="L124" s="519"/>
      <c r="M124" s="519">
        <f>+'Exhibit F'!N113+'Exhibit G'!N101+'Exhibit H'!L55+'Exhibit I'!O82</f>
        <v>690.59999999999991</v>
      </c>
      <c r="N124" s="519"/>
      <c r="O124" s="1620"/>
      <c r="P124" s="519"/>
      <c r="Q124" s="519"/>
      <c r="R124" s="519"/>
      <c r="S124" s="519"/>
      <c r="T124" s="519"/>
      <c r="U124" s="519"/>
      <c r="V124" s="519"/>
      <c r="W124" s="519"/>
      <c r="X124" s="519"/>
      <c r="Y124" s="519"/>
      <c r="Z124" s="519"/>
      <c r="AA124" s="520"/>
      <c r="AB124" s="1620">
        <f>ROUND(SUM(C124:Y124),1)</f>
        <v>3868</v>
      </c>
      <c r="AC124" s="1620"/>
      <c r="AD124" s="3297"/>
      <c r="AE124" s="64">
        <f>+'Exhibit F'!AF113+'Exhibit G'!AG101+'Exhibit H'!AD55+'Exhibit I'!AI82</f>
        <v>3445.2000000000003</v>
      </c>
      <c r="AF124" s="1620"/>
      <c r="AG124" s="1620"/>
      <c r="AH124" s="1620">
        <f>ROUND(SUM(AB124-AE124),1)</f>
        <v>422.8</v>
      </c>
      <c r="AI124" s="3087"/>
      <c r="AJ124" s="1709">
        <f>ROUND(IF(AE124=0,0,AH124/ABS(AE124)),3)</f>
        <v>0.123</v>
      </c>
    </row>
    <row r="125" spans="1:38" ht="16.5" customHeight="1">
      <c r="A125" s="222" t="s">
        <v>38</v>
      </c>
      <c r="B125" s="222"/>
      <c r="C125" s="519">
        <f>+'Exhibit F'!D114+'Exhibit G'!D102+'Exhibit I'!E83</f>
        <v>895.5</v>
      </c>
      <c r="D125" s="519"/>
      <c r="E125" s="519">
        <f>+'Exhibit F'!F114+'Exhibit G'!F102+'Exhibit I'!G83</f>
        <v>2367.0000000000005</v>
      </c>
      <c r="F125" s="519"/>
      <c r="G125" s="519">
        <f>+'Exhibit F'!H114+'Exhibit G'!H102+'Exhibit I'!I83</f>
        <v>625.29999999999927</v>
      </c>
      <c r="H125" s="519"/>
      <c r="I125" s="519">
        <f>+'Exhibit F'!J114+'Exhibit G'!J102+'Exhibit I'!K83</f>
        <v>645.80000000000075</v>
      </c>
      <c r="J125" s="519"/>
      <c r="K125" s="519">
        <f>+'Exhibit F'!L114+'Exhibit G'!L102+'Exhibit I'!M83</f>
        <v>508.49999999999966</v>
      </c>
      <c r="L125" s="519"/>
      <c r="M125" s="519">
        <f>+'Exhibit F'!N114+'Exhibit G'!N102+'Exhibit I'!O83</f>
        <v>731.89999999999964</v>
      </c>
      <c r="N125" s="519"/>
      <c r="O125" s="1620"/>
      <c r="P125" s="519"/>
      <c r="Q125" s="519"/>
      <c r="R125" s="519"/>
      <c r="S125" s="519"/>
      <c r="T125" s="519"/>
      <c r="U125" s="519"/>
      <c r="V125" s="519"/>
      <c r="W125" s="519"/>
      <c r="X125" s="519"/>
      <c r="Y125" s="519"/>
      <c r="Z125" s="519"/>
      <c r="AA125" s="520"/>
      <c r="AB125" s="1620">
        <f>ROUND(SUM(C125:Y125),1)</f>
        <v>5774</v>
      </c>
      <c r="AC125" s="1620"/>
      <c r="AD125" s="3297"/>
      <c r="AE125" s="64">
        <f>+'Exhibit F'!AF114+'Exhibit G'!AG102+'Exhibit H'!AD56+'Exhibit I'!AI83</f>
        <v>5053.7</v>
      </c>
      <c r="AF125" s="1620"/>
      <c r="AG125" s="1620"/>
      <c r="AH125" s="1620">
        <f>ROUND(SUM(AB125-AE125),1)</f>
        <v>720.3</v>
      </c>
      <c r="AI125" s="3087"/>
      <c r="AJ125" s="1709">
        <f>ROUND(IF(AE125=0,0,AH125/ABS(AE125)),3)</f>
        <v>0.14299999999999999</v>
      </c>
    </row>
    <row r="126" spans="1:38" ht="16.5" customHeight="1">
      <c r="A126" s="222" t="s">
        <v>1166</v>
      </c>
      <c r="B126" s="222"/>
      <c r="C126" s="526"/>
      <c r="D126" s="519"/>
      <c r="E126" s="526"/>
      <c r="F126" s="519"/>
      <c r="G126" s="526"/>
      <c r="H126" s="519"/>
      <c r="I126" s="526"/>
      <c r="J126" s="519"/>
      <c r="K126" s="526"/>
      <c r="L126" s="519"/>
      <c r="M126" s="526"/>
      <c r="N126" s="519"/>
      <c r="O126" s="2151"/>
      <c r="P126" s="519"/>
      <c r="Q126" s="526"/>
      <c r="R126" s="519"/>
      <c r="S126" s="526"/>
      <c r="T126" s="519"/>
      <c r="U126" s="526"/>
      <c r="V126" s="519"/>
      <c r="W126" s="526"/>
      <c r="X126" s="519"/>
      <c r="Y126" s="526"/>
      <c r="Z126" s="519"/>
      <c r="AA126" s="520"/>
      <c r="AB126" s="1620"/>
      <c r="AC126" s="1620"/>
      <c r="AD126" s="3297"/>
      <c r="AE126" s="2151"/>
      <c r="AF126" s="1620"/>
      <c r="AG126" s="1620"/>
      <c r="AH126" s="1620"/>
      <c r="AI126" s="3087"/>
      <c r="AJ126" s="3298"/>
    </row>
    <row r="127" spans="1:38" ht="16.5" customHeight="1">
      <c r="A127" s="222" t="s">
        <v>40</v>
      </c>
      <c r="B127" s="222"/>
      <c r="C127" s="519">
        <f>+'Exhibit H'!B57</f>
        <v>122.4</v>
      </c>
      <c r="D127" s="519"/>
      <c r="E127" s="519">
        <f>+'Exhibit H'!D57</f>
        <v>40.5</v>
      </c>
      <c r="F127" s="519"/>
      <c r="G127" s="519">
        <f>+'Exhibit H'!F57+'Exhibit G'!H104</f>
        <v>20.499999999999986</v>
      </c>
      <c r="H127" s="519"/>
      <c r="I127" s="519">
        <f>+'Exhibit H'!H57+'Exhibit G'!J104</f>
        <v>7.2</v>
      </c>
      <c r="J127" s="519"/>
      <c r="K127" s="519">
        <f>+'Exhibit H'!J57+'Exhibit G'!L104</f>
        <v>307.70000000000005</v>
      </c>
      <c r="L127" s="519"/>
      <c r="M127" s="519">
        <f>+'Exhibit H'!L57+'Exhibit G'!N104</f>
        <v>742.19999999999982</v>
      </c>
      <c r="N127" s="519"/>
      <c r="O127" s="1620"/>
      <c r="P127" s="519"/>
      <c r="Q127" s="519"/>
      <c r="R127" s="519"/>
      <c r="S127" s="519"/>
      <c r="T127" s="519"/>
      <c r="U127" s="519"/>
      <c r="V127" s="519"/>
      <c r="W127" s="519"/>
      <c r="X127" s="519"/>
      <c r="Y127" s="519"/>
      <c r="Z127" s="519"/>
      <c r="AA127" s="520"/>
      <c r="AB127" s="1620">
        <f>ROUND(SUM(C127:Y127),1)</f>
        <v>1240.5</v>
      </c>
      <c r="AC127" s="1620"/>
      <c r="AD127" s="3297"/>
      <c r="AE127" s="64">
        <f>+'Exhibit H'!AD57</f>
        <v>1279</v>
      </c>
      <c r="AF127" s="1620"/>
      <c r="AG127" s="1620"/>
      <c r="AH127" s="1620">
        <f>ROUND(SUM(AB127-AE127),1)</f>
        <v>-38.5</v>
      </c>
      <c r="AI127" s="3087"/>
      <c r="AJ127" s="1709">
        <f>ROUND(IF(AE127=0,0,AH127/ABS(AE127)),3)</f>
        <v>-0.03</v>
      </c>
    </row>
    <row r="128" spans="1:38" ht="16.5" customHeight="1">
      <c r="A128" s="528" t="s">
        <v>139</v>
      </c>
      <c r="B128" s="222"/>
      <c r="C128" s="521">
        <f>+'Exhibit G'!D105+'Exhibit I'!E84</f>
        <v>398.20000000000005</v>
      </c>
      <c r="D128" s="519"/>
      <c r="E128" s="521">
        <f>+'Exhibit G'!F105+'Exhibit I'!G84</f>
        <v>514.1</v>
      </c>
      <c r="F128" s="519"/>
      <c r="G128" s="521">
        <f>+'Exhibit G'!H105+'Exhibit I'!I84</f>
        <v>631.40000000000009</v>
      </c>
      <c r="H128" s="519"/>
      <c r="I128" s="521">
        <f>+'Exhibit G'!J105+'Exhibit I'!K84</f>
        <v>554.19999999999982</v>
      </c>
      <c r="J128" s="519"/>
      <c r="K128" s="521">
        <f>+'Exhibit G'!L105+'Exhibit I'!M84</f>
        <v>699.60000000000014</v>
      </c>
      <c r="L128" s="519"/>
      <c r="M128" s="521">
        <f>+'Exhibit G'!N105+'Exhibit I'!O84</f>
        <v>710.0999999999998</v>
      </c>
      <c r="N128" s="519"/>
      <c r="O128" s="3803"/>
      <c r="P128" s="519"/>
      <c r="Q128" s="521"/>
      <c r="R128" s="519"/>
      <c r="S128" s="521"/>
      <c r="T128" s="519"/>
      <c r="U128" s="521"/>
      <c r="V128" s="519"/>
      <c r="W128" s="521"/>
      <c r="X128" s="519"/>
      <c r="Y128" s="521"/>
      <c r="Z128" s="519"/>
      <c r="AA128" s="520"/>
      <c r="AB128" s="3097">
        <f>ROUND(SUM(C128:Y128),1)</f>
        <v>3507.6</v>
      </c>
      <c r="AC128" s="1620"/>
      <c r="AD128" s="3297"/>
      <c r="AE128" s="3804">
        <f>+'Exhibit G'!AG105+'Exhibit I'!AI84</f>
        <v>3613.4</v>
      </c>
      <c r="AF128" s="1620"/>
      <c r="AG128" s="1620"/>
      <c r="AH128" s="3097">
        <f>ROUND(SUM(AB128-AE128),1)</f>
        <v>-105.8</v>
      </c>
      <c r="AI128" s="3087"/>
      <c r="AJ128" s="3301">
        <f>ROUND(IF(AE128=0,0,AH128/ABS(AE128)),3)</f>
        <v>-2.9000000000000001E-2</v>
      </c>
    </row>
    <row r="129" spans="1:59" ht="16.5" customHeight="1">
      <c r="A129" s="222"/>
      <c r="B129" s="222"/>
      <c r="C129" s="526"/>
      <c r="D129" s="519"/>
      <c r="E129" s="526"/>
      <c r="F129" s="519"/>
      <c r="G129" s="526"/>
      <c r="H129" s="519"/>
      <c r="I129" s="526"/>
      <c r="J129" s="519"/>
      <c r="K129" s="526"/>
      <c r="L129" s="519"/>
      <c r="M129" s="526"/>
      <c r="N129" s="519"/>
      <c r="O129" s="2151"/>
      <c r="P129" s="519"/>
      <c r="Q129" s="2151"/>
      <c r="R129" s="519"/>
      <c r="S129" s="526"/>
      <c r="T129" s="519"/>
      <c r="U129" s="526"/>
      <c r="V129" s="519"/>
      <c r="W129" s="526"/>
      <c r="X129" s="519"/>
      <c r="Y129" s="526"/>
      <c r="Z129" s="519"/>
      <c r="AA129" s="520"/>
      <c r="AB129" s="2151"/>
      <c r="AC129" s="1620"/>
      <c r="AD129" s="3297"/>
      <c r="AE129" s="2151"/>
      <c r="AF129" s="1620"/>
      <c r="AG129" s="1620"/>
      <c r="AH129" s="2151"/>
      <c r="AI129" s="3087"/>
      <c r="AJ129" s="3305"/>
    </row>
    <row r="130" spans="1:59" ht="16.5" customHeight="1">
      <c r="A130" s="204" t="s">
        <v>56</v>
      </c>
      <c r="B130" s="222"/>
      <c r="C130" s="522">
        <f>ROUND(SUM(C121:C128),1)</f>
        <v>11899.2</v>
      </c>
      <c r="D130" s="523"/>
      <c r="E130" s="522">
        <f>ROUND(SUM(E121:E128),1)</f>
        <v>16636.8</v>
      </c>
      <c r="F130" s="523"/>
      <c r="G130" s="522">
        <f>ROUND(SUM(G121:G128),1)</f>
        <v>17861.7</v>
      </c>
      <c r="H130" s="523"/>
      <c r="I130" s="522">
        <f>ROUND(SUM(I121:I128),1)</f>
        <v>12888.8</v>
      </c>
      <c r="J130" s="523"/>
      <c r="K130" s="522">
        <f>ROUND(SUM(K121:K128),1)</f>
        <v>13539.7</v>
      </c>
      <c r="L130" s="523"/>
      <c r="M130" s="522">
        <f>ROUND(SUM(M121:M128),1)</f>
        <v>19020</v>
      </c>
      <c r="N130" s="523"/>
      <c r="O130" s="2152">
        <f>ROUND(SUM(O121:O128),1)</f>
        <v>0</v>
      </c>
      <c r="P130" s="523"/>
      <c r="Q130" s="2152">
        <f>ROUND(SUM(Q121:Q128),1)</f>
        <v>0</v>
      </c>
      <c r="R130" s="523"/>
      <c r="S130" s="522">
        <f>ROUND(SUM(S121:S128),1)</f>
        <v>0</v>
      </c>
      <c r="T130" s="523"/>
      <c r="U130" s="522">
        <f>ROUND(SUM(U121:U128),1)</f>
        <v>0</v>
      </c>
      <c r="V130" s="523"/>
      <c r="W130" s="522">
        <f>ROUND(SUM(W121:W128),1)</f>
        <v>0</v>
      </c>
      <c r="X130" s="523"/>
      <c r="Y130" s="522">
        <f>ROUND(SUM(Y121:Y128),1)</f>
        <v>0</v>
      </c>
      <c r="Z130" s="523"/>
      <c r="AA130" s="524"/>
      <c r="AB130" s="2152">
        <f>ROUND(SUM(AB121:AB128),1)</f>
        <v>91846.2</v>
      </c>
      <c r="AC130" s="3095"/>
      <c r="AD130" s="3304"/>
      <c r="AE130" s="2152">
        <f>ROUND(SUM(AE121:AE128),1)</f>
        <v>87188.6</v>
      </c>
      <c r="AF130" s="3095"/>
      <c r="AG130" s="3095"/>
      <c r="AH130" s="2152">
        <f>ROUND(SUM(AB130-AE130),1)</f>
        <v>4657.6000000000004</v>
      </c>
      <c r="AI130" s="3088"/>
      <c r="AJ130" s="3296">
        <f>ROUND(IF(AE130=0,0,AH130/ABS(AE130)),3)</f>
        <v>5.2999999999999999E-2</v>
      </c>
      <c r="AK130" s="3287"/>
      <c r="AL130" s="425"/>
      <c r="AM130" s="425"/>
      <c r="AN130" s="425"/>
      <c r="AO130" s="425"/>
      <c r="AP130" s="425"/>
      <c r="AQ130" s="425"/>
      <c r="AR130" s="425"/>
    </row>
    <row r="131" spans="1:59" ht="16.5" customHeight="1">
      <c r="A131" s="204"/>
      <c r="B131" s="222"/>
      <c r="C131" s="519"/>
      <c r="D131" s="519"/>
      <c r="E131" s="519"/>
      <c r="F131" s="519"/>
      <c r="G131" s="519"/>
      <c r="H131" s="519"/>
      <c r="I131" s="519"/>
      <c r="J131" s="519"/>
      <c r="K131" s="519"/>
      <c r="L131" s="519"/>
      <c r="M131" s="519"/>
      <c r="N131" s="519"/>
      <c r="O131" s="1620"/>
      <c r="P131" s="519"/>
      <c r="Q131" s="1620"/>
      <c r="R131" s="519"/>
      <c r="S131" s="519"/>
      <c r="T131" s="519"/>
      <c r="U131" s="519"/>
      <c r="V131" s="519"/>
      <c r="W131" s="519"/>
      <c r="X131" s="519"/>
      <c r="Y131" s="519"/>
      <c r="Z131" s="519"/>
      <c r="AA131" s="520"/>
      <c r="AB131" s="1620"/>
      <c r="AC131" s="1620"/>
      <c r="AD131" s="3297"/>
      <c r="AE131" s="1620"/>
      <c r="AF131" s="1620"/>
      <c r="AG131" s="1620"/>
      <c r="AH131" s="884"/>
      <c r="AI131" s="3087"/>
      <c r="AJ131" s="880"/>
    </row>
    <row r="132" spans="1:59" ht="16.5" customHeight="1">
      <c r="A132" s="204" t="s">
        <v>43</v>
      </c>
      <c r="B132" s="222"/>
      <c r="C132" s="519"/>
      <c r="D132" s="519"/>
      <c r="E132" s="519"/>
      <c r="F132" s="519"/>
      <c r="G132" s="519"/>
      <c r="H132" s="519"/>
      <c r="I132" s="519"/>
      <c r="J132" s="519"/>
      <c r="K132" s="519"/>
      <c r="L132" s="519"/>
      <c r="M132" s="519"/>
      <c r="N132" s="519"/>
      <c r="O132" s="1620"/>
      <c r="P132" s="519"/>
      <c r="Q132" s="1620"/>
      <c r="R132" s="519"/>
      <c r="S132" s="519"/>
      <c r="T132" s="519"/>
      <c r="U132" s="519"/>
      <c r="V132" s="519"/>
      <c r="W132" s="519"/>
      <c r="X132" s="519"/>
      <c r="Y132" s="519"/>
      <c r="Z132" s="519"/>
      <c r="AA132" s="520"/>
      <c r="AB132" s="1620"/>
      <c r="AC132" s="1620"/>
      <c r="AD132" s="3297"/>
      <c r="AE132" s="1620"/>
      <c r="AF132" s="1620"/>
      <c r="AG132" s="1620"/>
      <c r="AH132" s="884"/>
      <c r="AI132" s="3087"/>
      <c r="AJ132" s="880"/>
    </row>
    <row r="133" spans="1:59" ht="16.5" customHeight="1">
      <c r="A133" s="204" t="s">
        <v>44</v>
      </c>
      <c r="B133" s="222"/>
      <c r="C133" s="522">
        <f>ROUND(SUM(C107-C130),1)</f>
        <v>6186.5</v>
      </c>
      <c r="D133" s="523"/>
      <c r="E133" s="522">
        <f>ROUND(SUM(E107-E130),1)</f>
        <v>14885.7</v>
      </c>
      <c r="F133" s="523"/>
      <c r="G133" s="522">
        <f>ROUND(SUM(G107-G130),1)</f>
        <v>1475.7</v>
      </c>
      <c r="H133" s="523"/>
      <c r="I133" s="522">
        <f>ROUND(SUM(I107-I130),1)</f>
        <v>472.9</v>
      </c>
      <c r="J133" s="523"/>
      <c r="K133" s="522">
        <f>ROUND(SUM(K107-K130),1)</f>
        <v>-30</v>
      </c>
      <c r="L133" s="523"/>
      <c r="M133" s="522">
        <f>ROUND(SUM(M107-M130),1)</f>
        <v>1902.7</v>
      </c>
      <c r="N133" s="523"/>
      <c r="O133" s="2152">
        <f>ROUND(SUM(O107-O130),1)</f>
        <v>0</v>
      </c>
      <c r="P133" s="523"/>
      <c r="Q133" s="2152">
        <f>ROUND(SUM(Q107-Q130),1)</f>
        <v>0</v>
      </c>
      <c r="R133" s="523"/>
      <c r="S133" s="522">
        <f>ROUND(SUM(S107-S130),1)</f>
        <v>0</v>
      </c>
      <c r="T133" s="523"/>
      <c r="U133" s="522">
        <f>ROUND(SUM(U107-U130),1)</f>
        <v>0</v>
      </c>
      <c r="V133" s="523"/>
      <c r="W133" s="522">
        <f>ROUND(SUM(W107-W130),1)</f>
        <v>0</v>
      </c>
      <c r="X133" s="523"/>
      <c r="Y133" s="522">
        <f>ROUND(SUM(Y107-Y130),1)</f>
        <v>0</v>
      </c>
      <c r="Z133" s="523"/>
      <c r="AA133" s="524"/>
      <c r="AB133" s="2152">
        <f>ROUND(SUM(AB107-AB130),1)</f>
        <v>24893.5</v>
      </c>
      <c r="AC133" s="3095"/>
      <c r="AD133" s="3304"/>
      <c r="AE133" s="2152">
        <f>ROUND(SUM(AE107-AE130),1)</f>
        <v>11713.5</v>
      </c>
      <c r="AF133" s="3095"/>
      <c r="AG133" s="3095"/>
      <c r="AH133" s="3306">
        <f>ROUND(SUM(AB133-AE133),1)</f>
        <v>13180</v>
      </c>
      <c r="AI133" s="3088"/>
      <c r="AJ133" s="3307">
        <f>ROUND(IF(AE133=0,0,AH133/ABS(AE133)),3)</f>
        <v>1.125</v>
      </c>
      <c r="AK133" s="3287"/>
      <c r="AL133" s="425"/>
    </row>
    <row r="134" spans="1:59" ht="16.5" customHeight="1">
      <c r="A134" s="162"/>
      <c r="B134" s="222"/>
      <c r="C134" s="525"/>
      <c r="D134" s="519"/>
      <c r="E134" s="3098"/>
      <c r="F134" s="519"/>
      <c r="G134" s="525"/>
      <c r="H134" s="519"/>
      <c r="I134" s="525"/>
      <c r="J134" s="519"/>
      <c r="K134" s="525"/>
      <c r="L134" s="519"/>
      <c r="M134" s="525"/>
      <c r="N134" s="519"/>
      <c r="O134" s="3098"/>
      <c r="P134" s="519"/>
      <c r="Q134" s="3098"/>
      <c r="R134" s="519"/>
      <c r="S134" s="525"/>
      <c r="T134" s="519"/>
      <c r="U134" s="525"/>
      <c r="V134" s="519"/>
      <c r="W134" s="3098"/>
      <c r="X134" s="519"/>
      <c r="Y134" s="525"/>
      <c r="Z134" s="527"/>
      <c r="AA134" s="520"/>
      <c r="AB134" s="3098"/>
      <c r="AC134" s="1620"/>
      <c r="AD134" s="3297"/>
      <c r="AE134" s="3098"/>
      <c r="AF134" s="1620"/>
      <c r="AG134" s="1620"/>
      <c r="AH134" s="884"/>
      <c r="AI134" s="3087"/>
      <c r="AJ134" s="880"/>
    </row>
    <row r="135" spans="1:59" ht="16.5" customHeight="1">
      <c r="A135" s="204" t="s">
        <v>45</v>
      </c>
      <c r="B135" s="222"/>
      <c r="C135" s="2151"/>
      <c r="D135" s="519"/>
      <c r="E135" s="2151"/>
      <c r="F135" s="531"/>
      <c r="G135" s="2151"/>
      <c r="H135" s="531"/>
      <c r="I135" s="530"/>
      <c r="J135" s="531"/>
      <c r="K135" s="530"/>
      <c r="L135" s="531"/>
      <c r="M135" s="530"/>
      <c r="N135" s="531"/>
      <c r="O135" s="3376"/>
      <c r="P135" s="2144"/>
      <c r="Q135" s="3376"/>
      <c r="R135" s="2144"/>
      <c r="S135" s="3376"/>
      <c r="T135" s="2144"/>
      <c r="U135" s="3376"/>
      <c r="V135" s="1620"/>
      <c r="W135" s="3376"/>
      <c r="X135" s="1620"/>
      <c r="Y135" s="3376"/>
      <c r="Z135" s="3099"/>
      <c r="AA135" s="3411"/>
      <c r="AB135" s="2151"/>
      <c r="AC135" s="3099"/>
      <c r="AD135" s="1620"/>
      <c r="AE135" s="2151"/>
      <c r="AF135" s="1620"/>
      <c r="AG135" s="1620"/>
      <c r="AH135" s="884"/>
      <c r="AI135" s="3087"/>
      <c r="AJ135" s="880"/>
    </row>
    <row r="136" spans="1:59" ht="16.5" customHeight="1">
      <c r="A136" s="222" t="s">
        <v>1382</v>
      </c>
      <c r="B136" s="222"/>
      <c r="C136" s="2143">
        <v>0</v>
      </c>
      <c r="D136" s="1620"/>
      <c r="E136" s="2143">
        <v>0</v>
      </c>
      <c r="F136" s="2144"/>
      <c r="G136" s="2143">
        <v>0</v>
      </c>
      <c r="H136" s="2144"/>
      <c r="I136" s="2143">
        <v>0</v>
      </c>
      <c r="J136" s="2144"/>
      <c r="K136" s="2143">
        <v>0</v>
      </c>
      <c r="L136" s="2144"/>
      <c r="M136" s="2143">
        <v>0</v>
      </c>
      <c r="N136" s="2144"/>
      <c r="O136" s="2143"/>
      <c r="P136" s="2144"/>
      <c r="Q136" s="2143"/>
      <c r="R136" s="2144"/>
      <c r="S136" s="2143"/>
      <c r="T136" s="2144"/>
      <c r="U136" s="2143"/>
      <c r="V136" s="1620"/>
      <c r="W136" s="2143"/>
      <c r="X136" s="1620"/>
      <c r="Y136" s="2143"/>
      <c r="Z136" s="1620"/>
      <c r="AA136" s="3411"/>
      <c r="AB136" s="1620">
        <f>ROUND(SUM(C136:Y136),1)</f>
        <v>0</v>
      </c>
      <c r="AC136" s="1620"/>
      <c r="AD136" s="3297"/>
      <c r="AE136" s="1620">
        <f>+'Exhibit A'!AD48</f>
        <v>0</v>
      </c>
      <c r="AF136" s="1620"/>
      <c r="AG136" s="1620"/>
      <c r="AH136" s="1620">
        <f>ROUND(SUM(AB136-AE136),1)</f>
        <v>0</v>
      </c>
      <c r="AI136" s="3308"/>
      <c r="AJ136" s="1708">
        <f>ROUND(IF(AE136=0,0,AH136/ABS(AE136)),3)</f>
        <v>0</v>
      </c>
    </row>
    <row r="137" spans="1:59" ht="16.5" customHeight="1">
      <c r="A137" s="222" t="s">
        <v>46</v>
      </c>
      <c r="B137" s="222"/>
      <c r="C137" s="2143">
        <v>5344.8</v>
      </c>
      <c r="D137" s="1620"/>
      <c r="E137" s="2143">
        <v>6200.6</v>
      </c>
      <c r="F137" s="1620"/>
      <c r="G137" s="2143">
        <v>6454.2</v>
      </c>
      <c r="H137" s="1620"/>
      <c r="I137" s="2143">
        <v>3531.7</v>
      </c>
      <c r="J137" s="1620"/>
      <c r="K137" s="2143">
        <v>3037.4</v>
      </c>
      <c r="L137" s="1620"/>
      <c r="M137" s="2143">
        <f>'Exhibit A'!V49</f>
        <v>5770.3</v>
      </c>
      <c r="N137" s="1620"/>
      <c r="O137" s="2143"/>
      <c r="P137" s="1620"/>
      <c r="Q137" s="2143"/>
      <c r="R137" s="1620"/>
      <c r="S137" s="2143"/>
      <c r="T137" s="1620"/>
      <c r="U137" s="2143"/>
      <c r="V137" s="1620"/>
      <c r="W137" s="2143"/>
      <c r="X137" s="1620"/>
      <c r="Y137" s="2143"/>
      <c r="Z137" s="1620"/>
      <c r="AA137" s="3411"/>
      <c r="AB137" s="1620">
        <f>ROUND(SUM(C137:Y137),1)</f>
        <v>30339</v>
      </c>
      <c r="AC137" s="1620"/>
      <c r="AD137" s="3411"/>
      <c r="AE137" s="1620">
        <f>+'Exhibit A'!AD49</f>
        <v>18167.000000000004</v>
      </c>
      <c r="AF137" s="1620"/>
      <c r="AG137" s="1620"/>
      <c r="AH137" s="1620">
        <f>ROUND(SUM(AB137-AE137),1)</f>
        <v>12172</v>
      </c>
      <c r="AI137" s="3087"/>
      <c r="AJ137" s="1708">
        <f>ROUND(IF(AE137=0,0,AH137/ABS(AE137)),3)</f>
        <v>0.67</v>
      </c>
    </row>
    <row r="138" spans="1:59" ht="16.5" customHeight="1">
      <c r="A138" s="222" t="s">
        <v>47</v>
      </c>
      <c r="C138" s="2143">
        <v>-5350.2</v>
      </c>
      <c r="D138" s="52"/>
      <c r="E138" s="3495">
        <v>-6203.3</v>
      </c>
      <c r="F138" s="275"/>
      <c r="G138" s="3495">
        <v>-6488.7</v>
      </c>
      <c r="H138" s="275"/>
      <c r="I138" s="3495">
        <v>-3539</v>
      </c>
      <c r="J138" s="275"/>
      <c r="K138" s="3495">
        <v>-3056.6</v>
      </c>
      <c r="L138" s="275"/>
      <c r="M138" s="3495">
        <f>'Exhibit A'!V50</f>
        <v>-5775</v>
      </c>
      <c r="N138" s="275"/>
      <c r="O138" s="3495"/>
      <c r="P138" s="275"/>
      <c r="Q138" s="3495"/>
      <c r="R138" s="275"/>
      <c r="S138" s="3495"/>
      <c r="T138" s="275"/>
      <c r="U138" s="3495"/>
      <c r="V138" s="275"/>
      <c r="W138" s="3495"/>
      <c r="X138" s="275"/>
      <c r="Y138" s="3495"/>
      <c r="Z138" s="275"/>
      <c r="AA138" s="3309"/>
      <c r="AB138" s="3097">
        <f>ROUND(SUM(C138:Y138),1)</f>
        <v>-30412.799999999999</v>
      </c>
      <c r="AC138" s="275"/>
      <c r="AD138" s="3309"/>
      <c r="AE138" s="3097">
        <f>+'Exhibit A'!AD50</f>
        <v>-18364.800000000003</v>
      </c>
      <c r="AF138" s="275"/>
      <c r="AG138" s="275"/>
      <c r="AH138" s="3097">
        <f>ROUND(SUM(-AB138+AE138),1)</f>
        <v>12048</v>
      </c>
      <c r="AI138" s="880"/>
      <c r="AJ138" s="1796">
        <f>ROUND(IF(AE138=0,0,AH138/ABS(AE138)),3)</f>
        <v>0.65600000000000003</v>
      </c>
      <c r="AK138" s="3310"/>
    </row>
    <row r="139" spans="1:59" ht="16.5" customHeight="1">
      <c r="A139" s="222"/>
      <c r="C139" s="3836"/>
      <c r="D139" s="52"/>
      <c r="E139" s="2151"/>
      <c r="F139" s="52"/>
      <c r="G139" s="526"/>
      <c r="H139" s="52"/>
      <c r="I139" s="526"/>
      <c r="J139" s="52"/>
      <c r="K139" s="526"/>
      <c r="L139" s="52"/>
      <c r="M139" s="526"/>
      <c r="N139" s="52"/>
      <c r="O139" s="2151"/>
      <c r="P139" s="275"/>
      <c r="Q139" s="2151"/>
      <c r="R139" s="275"/>
      <c r="S139" s="2151"/>
      <c r="T139" s="275"/>
      <c r="U139" s="2151"/>
      <c r="V139" s="275"/>
      <c r="W139" s="2151"/>
      <c r="X139" s="275"/>
      <c r="Y139" s="2151"/>
      <c r="Z139" s="275"/>
      <c r="AA139" s="3309"/>
      <c r="AB139" s="2151"/>
      <c r="AC139" s="275"/>
      <c r="AD139" s="3309"/>
      <c r="AE139" s="2151"/>
      <c r="AF139" s="275"/>
      <c r="AG139" s="275"/>
      <c r="AH139" s="2151"/>
      <c r="AI139" s="880"/>
      <c r="AJ139" s="3305"/>
    </row>
    <row r="140" spans="1:59" ht="16.5" customHeight="1">
      <c r="A140" s="204" t="s">
        <v>48</v>
      </c>
      <c r="C140" s="2152">
        <f>ROUND(SUM(C136:C138),1)</f>
        <v>-5.4</v>
      </c>
      <c r="D140" s="533"/>
      <c r="E140" s="522">
        <f>ROUND(SUM(E136:E138),1)</f>
        <v>-2.7</v>
      </c>
      <c r="F140" s="533"/>
      <c r="G140" s="522">
        <f>ROUND(SUM(G136:G138),1)</f>
        <v>-34.5</v>
      </c>
      <c r="H140" s="533"/>
      <c r="I140" s="522">
        <f>ROUND(SUM(I136:I138),1)</f>
        <v>-7.3</v>
      </c>
      <c r="J140" s="533"/>
      <c r="K140" s="522">
        <f>ROUND(SUM(K136:K138),1)</f>
        <v>-19.2</v>
      </c>
      <c r="L140" s="533"/>
      <c r="M140" s="522">
        <f>ROUND(SUM(M136:M138),1)</f>
        <v>-4.7</v>
      </c>
      <c r="N140" s="533"/>
      <c r="O140" s="2152">
        <f>ROUND(SUM(O136:O138),1)</f>
        <v>0</v>
      </c>
      <c r="P140" s="3102"/>
      <c r="Q140" s="2152">
        <f>ROUND(SUM(Q136:Q138),1)</f>
        <v>0</v>
      </c>
      <c r="R140" s="3102"/>
      <c r="S140" s="2152">
        <f>ROUND(SUM(S136:S138),1)</f>
        <v>0</v>
      </c>
      <c r="T140" s="3102"/>
      <c r="U140" s="2152">
        <f>ROUND(SUM(U136:U138),1)</f>
        <v>0</v>
      </c>
      <c r="V140" s="3102"/>
      <c r="W140" s="2152">
        <f>ROUND(SUM(W136:W138),1)</f>
        <v>0</v>
      </c>
      <c r="X140" s="3102"/>
      <c r="Y140" s="2152">
        <f>ROUND(SUM(Y136:Y138),1)</f>
        <v>0</v>
      </c>
      <c r="Z140" s="3102"/>
      <c r="AA140" s="3311"/>
      <c r="AB140" s="2152">
        <f>ROUND(SUM(AB136:AB139),1)</f>
        <v>-73.8</v>
      </c>
      <c r="AC140" s="3102"/>
      <c r="AD140" s="3311"/>
      <c r="AE140" s="2152">
        <f>SUM(AE136:AE139)</f>
        <v>-197.79999999999927</v>
      </c>
      <c r="AF140" s="3102"/>
      <c r="AG140" s="3102"/>
      <c r="AH140" s="2152">
        <f>ROUND(SUM(+AH137-AH138+AH136),1)</f>
        <v>124</v>
      </c>
      <c r="AI140" s="252"/>
      <c r="AJ140" s="3307">
        <f>ROUND(IF(AE140=0,0,AH140/ABS(AE140)),3)</f>
        <v>0.627</v>
      </c>
      <c r="AK140" s="3287"/>
      <c r="AL140" s="425" t="s">
        <v>14</v>
      </c>
    </row>
    <row r="141" spans="1:59" ht="16.5" customHeight="1">
      <c r="A141" s="162"/>
      <c r="C141" s="52"/>
      <c r="D141" s="52"/>
      <c r="E141" s="52"/>
      <c r="F141" s="52"/>
      <c r="G141" s="52"/>
      <c r="H141" s="52"/>
      <c r="I141" s="52"/>
      <c r="J141" s="52"/>
      <c r="K141" s="52"/>
      <c r="L141" s="52"/>
      <c r="M141" s="52"/>
      <c r="N141" s="52"/>
      <c r="O141" s="275"/>
      <c r="P141" s="52"/>
      <c r="Q141" s="275"/>
      <c r="R141" s="52"/>
      <c r="S141" s="52"/>
      <c r="T141" s="52"/>
      <c r="U141" s="52"/>
      <c r="V141" s="52"/>
      <c r="W141" s="52"/>
      <c r="X141" s="52"/>
      <c r="Y141" s="52"/>
      <c r="Z141" s="52"/>
      <c r="AA141" s="532"/>
      <c r="AB141" s="275"/>
      <c r="AC141" s="275"/>
      <c r="AD141" s="3309"/>
      <c r="AE141" s="275"/>
      <c r="AF141" s="275"/>
      <c r="AG141" s="275"/>
      <c r="AH141" s="884"/>
      <c r="AI141" s="880"/>
      <c r="AJ141" s="880"/>
    </row>
    <row r="142" spans="1:59" ht="16.5" customHeight="1">
      <c r="A142" s="252" t="s">
        <v>43</v>
      </c>
      <c r="C142" s="526"/>
      <c r="D142" s="52"/>
      <c r="E142" s="526"/>
      <c r="F142" s="52"/>
      <c r="G142" s="526"/>
      <c r="H142" s="52"/>
      <c r="I142" s="526"/>
      <c r="J142" s="52"/>
      <c r="K142" s="526"/>
      <c r="L142" s="52"/>
      <c r="M142" s="526"/>
      <c r="N142" s="52"/>
      <c r="O142" s="2151"/>
      <c r="P142" s="52"/>
      <c r="Q142" s="2151"/>
      <c r="R142" s="52"/>
      <c r="S142" s="526"/>
      <c r="T142" s="52"/>
      <c r="U142" s="526"/>
      <c r="V142" s="52"/>
      <c r="W142" s="526"/>
      <c r="X142" s="52"/>
      <c r="Y142" s="526"/>
      <c r="Z142" s="52"/>
      <c r="AA142" s="532"/>
      <c r="AB142" s="2151"/>
      <c r="AC142" s="275"/>
      <c r="AD142" s="3309"/>
      <c r="AE142" s="2151"/>
      <c r="AF142" s="275"/>
      <c r="AG142" s="275"/>
      <c r="AH142" s="884"/>
      <c r="AI142" s="880"/>
      <c r="AJ142" s="880"/>
    </row>
    <row r="143" spans="1:59" ht="16.5" customHeight="1">
      <c r="A143" s="252" t="s">
        <v>49</v>
      </c>
      <c r="C143" s="523"/>
      <c r="D143" s="533"/>
      <c r="E143" s="523"/>
      <c r="F143" s="533"/>
      <c r="G143" s="523"/>
      <c r="H143" s="533"/>
      <c r="I143" s="523"/>
      <c r="J143" s="533"/>
      <c r="K143" s="523"/>
      <c r="L143" s="533"/>
      <c r="M143" s="523"/>
      <c r="N143" s="533"/>
      <c r="O143" s="3095"/>
      <c r="P143" s="533"/>
      <c r="Q143" s="3095"/>
      <c r="R143" s="533"/>
      <c r="S143" s="523"/>
      <c r="T143" s="533"/>
      <c r="U143" s="523"/>
      <c r="V143" s="533"/>
      <c r="W143" s="523"/>
      <c r="X143" s="533"/>
      <c r="Y143" s="523"/>
      <c r="Z143" s="533"/>
      <c r="AA143" s="534"/>
      <c r="AB143" s="3095"/>
      <c r="AC143" s="3102"/>
      <c r="AD143" s="3311"/>
      <c r="AE143" s="3095"/>
      <c r="AF143" s="275"/>
      <c r="AG143" s="275"/>
      <c r="AH143" s="109"/>
      <c r="AI143" s="252"/>
      <c r="AJ143" s="252"/>
      <c r="AK143" s="3287"/>
      <c r="AL143" s="425"/>
      <c r="AM143" s="425"/>
      <c r="AN143" s="425"/>
      <c r="AO143" s="425"/>
      <c r="AP143" s="425"/>
      <c r="AQ143" s="425"/>
      <c r="AR143" s="425"/>
      <c r="AS143" s="425"/>
      <c r="AT143" s="425"/>
      <c r="AU143" s="425"/>
      <c r="AV143" s="425"/>
      <c r="AW143" s="425"/>
      <c r="AX143" s="425"/>
      <c r="AY143" s="425"/>
      <c r="AZ143" s="425"/>
      <c r="BA143" s="425"/>
      <c r="BB143" s="425"/>
      <c r="BC143" s="425"/>
      <c r="BD143" s="425"/>
      <c r="BE143" s="425"/>
      <c r="BF143" s="425"/>
      <c r="BG143" s="425"/>
    </row>
    <row r="144" spans="1:59" ht="16.5" customHeight="1">
      <c r="A144" s="252" t="s">
        <v>50</v>
      </c>
      <c r="C144" s="535">
        <f>ROUND(SUM(C133+C140),1)</f>
        <v>6181.1</v>
      </c>
      <c r="D144" s="533"/>
      <c r="E144" s="535">
        <f>ROUND(SUM(E133+E140),1)</f>
        <v>14883</v>
      </c>
      <c r="F144" s="533"/>
      <c r="G144" s="535">
        <f>ROUND(SUM(G133+G140),1)</f>
        <v>1441.2</v>
      </c>
      <c r="H144" s="533"/>
      <c r="I144" s="535">
        <f>ROUND(SUM(I133+I140),1)</f>
        <v>465.6</v>
      </c>
      <c r="J144" s="533"/>
      <c r="K144" s="535">
        <f>ROUND(SUM(K133+K140),1)</f>
        <v>-49.2</v>
      </c>
      <c r="L144" s="533"/>
      <c r="M144" s="535">
        <f>ROUND(SUM(M133+M140),1)</f>
        <v>1898</v>
      </c>
      <c r="N144" s="533"/>
      <c r="O144" s="3103">
        <f>ROUND(SUM(O133+O140),1)</f>
        <v>0</v>
      </c>
      <c r="P144" s="533"/>
      <c r="Q144" s="3103">
        <f>ROUND(SUM(Q133+Q140),1)</f>
        <v>0</v>
      </c>
      <c r="R144" s="533"/>
      <c r="S144" s="535">
        <f>ROUND(SUM(S133+S140),1)</f>
        <v>0</v>
      </c>
      <c r="T144" s="533"/>
      <c r="U144" s="535">
        <f>ROUND(SUM(U133+U140),1)</f>
        <v>0</v>
      </c>
      <c r="V144" s="533"/>
      <c r="W144" s="535">
        <f>ROUND(SUM(W133+W140),1)</f>
        <v>0</v>
      </c>
      <c r="X144" s="533"/>
      <c r="Y144" s="535">
        <f>ROUND(SUM(Y133+Y140),1)</f>
        <v>0</v>
      </c>
      <c r="Z144" s="533"/>
      <c r="AA144" s="534"/>
      <c r="AB144" s="3103">
        <f>ROUND(SUM(AB133+AB140),1)</f>
        <v>24819.7</v>
      </c>
      <c r="AC144" s="3102"/>
      <c r="AD144" s="3311"/>
      <c r="AE144" s="3103">
        <f>AE133+AE140</f>
        <v>11515.7</v>
      </c>
      <c r="AF144" s="275"/>
      <c r="AG144" s="275"/>
      <c r="AH144" s="3306">
        <f>ROUND(SUM(AB144-AE144),1)</f>
        <v>13304</v>
      </c>
      <c r="AI144" s="252"/>
      <c r="AJ144" s="3307">
        <f>ROUND(IF(AE144=0,0,AH144/ABS(AE144)),3)</f>
        <v>1.155</v>
      </c>
      <c r="AK144" s="3287"/>
      <c r="AL144" s="425"/>
      <c r="AM144" s="425"/>
      <c r="AN144" s="425"/>
      <c r="AO144" s="425"/>
      <c r="AP144" s="425"/>
      <c r="AQ144" s="425"/>
      <c r="AR144" s="425"/>
      <c r="AS144" s="425"/>
      <c r="AT144" s="425"/>
      <c r="AU144" s="425"/>
      <c r="AV144" s="425"/>
      <c r="AW144" s="425"/>
      <c r="AX144" s="425"/>
      <c r="AY144" s="425"/>
      <c r="AZ144" s="425"/>
      <c r="BA144" s="425"/>
      <c r="BB144" s="425"/>
      <c r="BC144" s="425"/>
      <c r="BD144" s="425"/>
      <c r="BE144" s="425"/>
      <c r="BF144" s="425"/>
      <c r="BG144" s="425"/>
    </row>
    <row r="145" spans="1:37" ht="16.5" customHeight="1">
      <c r="A145" s="204"/>
      <c r="C145" s="514"/>
      <c r="E145" s="514"/>
      <c r="G145" s="514"/>
      <c r="I145" s="514"/>
      <c r="K145" s="514"/>
      <c r="M145" s="514"/>
      <c r="O145" s="3091"/>
      <c r="Q145" s="3091"/>
      <c r="S145" s="514"/>
      <c r="U145" s="514"/>
      <c r="W145" s="514"/>
      <c r="Y145" s="514"/>
      <c r="AA145" s="536"/>
      <c r="AB145" s="3091"/>
      <c r="AD145" s="3312"/>
      <c r="AE145" s="3091"/>
      <c r="AF145" s="275"/>
      <c r="AG145" s="275"/>
      <c r="AH145" s="880"/>
      <c r="AI145" s="880"/>
      <c r="AJ145" s="880"/>
    </row>
    <row r="146" spans="1:37" ht="16.5" customHeight="1" thickBot="1">
      <c r="A146" s="537" t="s">
        <v>140</v>
      </c>
      <c r="C146" s="538">
        <f>ROUND(SUM(C16+C144),1)</f>
        <v>24932.2</v>
      </c>
      <c r="D146" s="248"/>
      <c r="E146" s="538">
        <f>ROUND(SUM(E16+E144),1)</f>
        <v>39815.199999999997</v>
      </c>
      <c r="F146" s="248"/>
      <c r="G146" s="538">
        <f>ROUND(SUM(G16+G144),1)</f>
        <v>41256.400000000001</v>
      </c>
      <c r="H146" s="248"/>
      <c r="I146" s="538">
        <f>ROUND(SUM(I16+I144),1)</f>
        <v>41722</v>
      </c>
      <c r="J146" s="539"/>
      <c r="K146" s="538">
        <f>ROUND(SUM(K16+K144),1)</f>
        <v>41672.800000000003</v>
      </c>
      <c r="L146" s="539"/>
      <c r="M146" s="538">
        <f>ROUND(SUM(M16+M144),1)</f>
        <v>43570.8</v>
      </c>
      <c r="N146" s="539"/>
      <c r="O146" s="3104">
        <f>ROUND(SUM(O16+O144),1)</f>
        <v>0</v>
      </c>
      <c r="P146" s="539"/>
      <c r="Q146" s="3104">
        <f>ROUND(SUM(Q16+Q144),1)</f>
        <v>0</v>
      </c>
      <c r="R146" s="539"/>
      <c r="S146" s="538">
        <f>ROUND(SUM(S16+S144),1)</f>
        <v>0</v>
      </c>
      <c r="T146" s="539"/>
      <c r="U146" s="538">
        <f>ROUND(SUM(U16+U144),1)</f>
        <v>0</v>
      </c>
      <c r="V146" s="539"/>
      <c r="W146" s="538">
        <f>ROUND(SUM(W16+W144),1)</f>
        <v>0</v>
      </c>
      <c r="X146" s="539"/>
      <c r="Y146" s="538">
        <f>ROUND(SUM(Y16+Y144),1)</f>
        <v>0</v>
      </c>
      <c r="Z146" s="248"/>
      <c r="AA146" s="540"/>
      <c r="AB146" s="3104">
        <f>ROUND(SUM(AB16+AB144),1)</f>
        <v>43570.8</v>
      </c>
      <c r="AC146" s="3105"/>
      <c r="AD146" s="3313"/>
      <c r="AE146" s="3104">
        <f>AE16+AE144</f>
        <v>25800.5</v>
      </c>
      <c r="AF146" s="275"/>
      <c r="AG146" s="275"/>
      <c r="AH146" s="3104">
        <f>ROUND(SUM(AB146-AE146),1)</f>
        <v>17770.3</v>
      </c>
      <c r="AI146" s="252"/>
      <c r="AJ146" s="3314">
        <f>ROUND(IF(AE146=0,0,AH146/ABS(AE146)),3)</f>
        <v>0.68899999999999995</v>
      </c>
      <c r="AK146" s="3287"/>
    </row>
    <row r="147" spans="1:37" ht="16.5" customHeight="1" thickTop="1">
      <c r="A147" s="541"/>
      <c r="C147" s="210"/>
      <c r="AH147" s="880"/>
      <c r="AI147" s="880"/>
      <c r="AJ147" s="880"/>
    </row>
    <row r="148" spans="1:37" ht="16.5" customHeight="1">
      <c r="A148" s="353" t="s">
        <v>141</v>
      </c>
      <c r="AH148" s="880"/>
      <c r="AI148" s="880"/>
      <c r="AJ148" s="880"/>
    </row>
    <row r="149" spans="1:37" ht="16.5" customHeight="1">
      <c r="A149" s="27"/>
      <c r="AH149" s="880"/>
      <c r="AI149" s="880"/>
      <c r="AJ149" s="880"/>
    </row>
    <row r="150" spans="1:37" ht="16.5" customHeight="1">
      <c r="A150" s="27"/>
      <c r="AH150" s="880"/>
      <c r="AI150" s="880"/>
      <c r="AJ150" s="880"/>
    </row>
    <row r="151" spans="1:37" ht="16.5" customHeight="1">
      <c r="A151" s="27"/>
      <c r="AH151" s="880"/>
      <c r="AI151" s="880"/>
      <c r="AJ151" s="880"/>
    </row>
    <row r="152" spans="1:37" ht="16.5" customHeight="1">
      <c r="AH152" s="880"/>
      <c r="AI152" s="880"/>
      <c r="AJ152" s="880"/>
    </row>
    <row r="153" spans="1:37" ht="16.5" customHeight="1">
      <c r="AH153" s="880"/>
      <c r="AI153" s="880"/>
      <c r="AJ153" s="880"/>
    </row>
    <row r="154" spans="1:37" ht="16.5" customHeight="1">
      <c r="AH154" s="880"/>
      <c r="AI154" s="880"/>
      <c r="AJ154" s="880"/>
    </row>
    <row r="155" spans="1:37" ht="16.5" customHeight="1">
      <c r="AH155" s="880"/>
      <c r="AI155" s="880"/>
      <c r="AJ155" s="880"/>
    </row>
    <row r="156" spans="1:37" ht="16.5" customHeight="1">
      <c r="AH156" s="880"/>
      <c r="AI156" s="880"/>
      <c r="AJ156" s="880"/>
    </row>
    <row r="157" spans="1:37" ht="16.5" customHeight="1">
      <c r="AH157" s="880"/>
      <c r="AI157" s="880"/>
      <c r="AJ157" s="880"/>
    </row>
    <row r="158" spans="1:37" ht="16.5" customHeight="1">
      <c r="AH158" s="880"/>
      <c r="AI158" s="880"/>
      <c r="AJ158" s="880"/>
    </row>
    <row r="159" spans="1:37" ht="16.5" customHeight="1">
      <c r="AH159" s="880"/>
      <c r="AI159" s="880"/>
      <c r="AJ159" s="880"/>
    </row>
    <row r="160" spans="1:37" ht="16.5" customHeight="1">
      <c r="AH160" s="880"/>
      <c r="AI160" s="880"/>
      <c r="AJ160" s="880"/>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6:AJ70 AJ72:AJ73 AJ137:AJ146 AJ87:AJ88 AJ94:AJ135 AJ29:AJ34 AJ21:AJ27 AJ41:AJ45 AJ36:AJ38 AJ84 AJ47:AJ54 AJ75:AJ78 AJ89:AJ91 AJ39:AJ40 AJ82" unlockedFormula="1"/>
    <ignoredError sqref="AH26 AH35:AI35 AH24:AH25 AH93:AI93 AJ55" formula="1"/>
    <ignoredError sqref="AJ35 AJ80" formula="1" unlockedFormula="1"/>
    <ignoredError sqref="AC14:AD14 C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3"/>
  <dimension ref="A1:BG163"/>
  <sheetViews>
    <sheetView showGridLines="0" zoomScale="80" zoomScaleNormal="50" workbookViewId="0"/>
  </sheetViews>
  <sheetFormatPr defaultColWidth="8.84375" defaultRowHeight="16.5" customHeight="1"/>
  <cols>
    <col min="1" max="1" width="43" style="2726" customWidth="1"/>
    <col min="2" max="2" width="1.84375" style="2726" customWidth="1"/>
    <col min="3" max="3" width="13.07421875" style="2726" customWidth="1"/>
    <col min="4" max="4" width="1.84375" style="2726" customWidth="1"/>
    <col min="5" max="5" width="13.07421875" style="2726" customWidth="1"/>
    <col min="6" max="6" width="1.84375" style="2726" customWidth="1"/>
    <col min="7" max="7" width="13.53515625" style="2726" customWidth="1"/>
    <col min="8" max="8" width="1.84375" style="2726" customWidth="1"/>
    <col min="9" max="9" width="13.84375" style="2726" customWidth="1"/>
    <col min="10" max="10" width="1.84375" style="2726" customWidth="1"/>
    <col min="11" max="11" width="14.53515625" style="2726" customWidth="1"/>
    <col min="12" max="12" width="1.84375" style="2726" customWidth="1"/>
    <col min="13" max="13" width="13.07421875" style="2726" customWidth="1"/>
    <col min="14" max="14" width="1.84375" style="2726" customWidth="1"/>
    <col min="15" max="15" width="14.07421875" style="1974" customWidth="1"/>
    <col min="16" max="16" width="1.84375" style="2726" customWidth="1"/>
    <col min="17" max="17" width="13.07421875" style="2726" customWidth="1"/>
    <col min="18" max="18" width="1.84375" style="2726" customWidth="1"/>
    <col min="19" max="19" width="13.84375" style="2726" customWidth="1"/>
    <col min="20" max="20" width="1.84375" style="2726" customWidth="1"/>
    <col min="21" max="21" width="13" style="2726" customWidth="1"/>
    <col min="22" max="22" width="1.84375" style="2726" customWidth="1"/>
    <col min="23" max="23" width="13.07421875" style="2726" customWidth="1"/>
    <col min="24" max="24" width="1.84375" style="2726" customWidth="1"/>
    <col min="25" max="25" width="13.07421875" style="2726" customWidth="1"/>
    <col min="26" max="27" width="1.84375" style="2726" customWidth="1"/>
    <col min="28" max="28" width="15" style="1974" customWidth="1"/>
    <col min="29" max="30" width="1.84375" style="1974" customWidth="1"/>
    <col min="31" max="31" width="13.84375" style="1974" customWidth="1"/>
    <col min="32" max="33" width="1.84375" style="1974" customWidth="1"/>
    <col min="34" max="34" width="12.84375" style="1974" bestFit="1" customWidth="1"/>
    <col min="35" max="35" width="1" style="1974" customWidth="1"/>
    <col min="36" max="36" width="12.07421875" style="1974" bestFit="1" customWidth="1"/>
    <col min="37" max="16384" width="8.84375" style="2726"/>
  </cols>
  <sheetData>
    <row r="1" spans="1:37" ht="15.5">
      <c r="A1" s="2725" t="s">
        <v>882</v>
      </c>
    </row>
    <row r="2" spans="1:37" ht="15.5">
      <c r="A2" s="1419"/>
    </row>
    <row r="3" spans="1:37" ht="23">
      <c r="A3" s="2727" t="s">
        <v>0</v>
      </c>
      <c r="B3" s="1426"/>
      <c r="C3" s="1426"/>
      <c r="D3" s="1426"/>
      <c r="E3" s="1426"/>
      <c r="F3" s="1426"/>
      <c r="G3" s="1426"/>
      <c r="H3" s="1426"/>
      <c r="I3" s="1426"/>
      <c r="J3" s="1426"/>
      <c r="K3" s="1426"/>
      <c r="L3" s="1426"/>
      <c r="M3" s="1426"/>
      <c r="N3" s="1426"/>
      <c r="O3" s="3065"/>
      <c r="P3" s="1426"/>
      <c r="Q3" s="1426"/>
      <c r="R3" s="1426"/>
      <c r="S3" s="1426"/>
      <c r="T3" s="1426"/>
      <c r="U3" s="1426"/>
      <c r="V3" s="1426"/>
      <c r="W3" s="1426"/>
      <c r="X3" s="1426"/>
      <c r="Y3" s="1426"/>
      <c r="Z3" s="1426"/>
      <c r="AA3" s="1426"/>
      <c r="AB3" s="3065"/>
      <c r="AC3" s="3065"/>
      <c r="AD3" s="3065"/>
      <c r="AE3" s="3065"/>
      <c r="AF3" s="3065"/>
      <c r="AG3" s="3065"/>
      <c r="AI3" s="3065"/>
    </row>
    <row r="4" spans="1:37" ht="23">
      <c r="A4" s="2727" t="s">
        <v>1076</v>
      </c>
      <c r="B4" s="1426"/>
      <c r="C4" s="1426"/>
      <c r="D4" s="1426"/>
      <c r="E4" s="1426"/>
      <c r="F4" s="1426"/>
      <c r="G4" s="1426"/>
      <c r="H4" s="1426"/>
      <c r="I4" s="1426" t="s">
        <v>14</v>
      </c>
      <c r="J4" s="1426"/>
      <c r="K4" s="1426"/>
      <c r="L4" s="1426"/>
      <c r="M4" s="1426"/>
      <c r="N4" s="1426"/>
      <c r="O4" s="3065"/>
      <c r="P4" s="1426"/>
      <c r="Q4" s="1426"/>
      <c r="R4" s="1426"/>
      <c r="S4" s="1426"/>
      <c r="T4" s="1426"/>
      <c r="U4" s="1426"/>
      <c r="V4" s="1426"/>
      <c r="W4" s="1426"/>
      <c r="X4" s="1426"/>
      <c r="Y4" s="1426" t="s">
        <v>14</v>
      </c>
      <c r="Z4" s="1426"/>
      <c r="AA4" s="1426"/>
      <c r="AB4" s="3065"/>
      <c r="AC4" s="3065"/>
      <c r="AD4" s="3065"/>
      <c r="AE4" s="3065"/>
      <c r="AF4" s="3065"/>
      <c r="AG4" s="3065"/>
      <c r="AI4" s="3065"/>
    </row>
    <row r="5" spans="1:37" ht="23.25" customHeight="1">
      <c r="A5" s="2728" t="s">
        <v>1077</v>
      </c>
      <c r="B5" s="1426"/>
      <c r="C5" s="1426"/>
      <c r="D5" s="1426"/>
      <c r="E5" s="1426"/>
      <c r="F5" s="1426"/>
      <c r="G5" s="1426"/>
      <c r="H5" s="1426"/>
      <c r="I5" s="1426"/>
      <c r="J5" s="1426"/>
      <c r="K5" s="1426"/>
      <c r="L5" s="1426"/>
      <c r="M5" s="1426"/>
      <c r="N5" s="1426"/>
      <c r="O5" s="3065"/>
      <c r="P5" s="1426"/>
      <c r="Q5" s="1426"/>
      <c r="R5" s="1426"/>
      <c r="S5" s="1426"/>
      <c r="T5" s="1426"/>
      <c r="U5" s="1426"/>
      <c r="V5" s="1426"/>
      <c r="W5" s="1426"/>
      <c r="X5" s="1426"/>
      <c r="Y5" s="1426"/>
      <c r="Z5" s="1426"/>
      <c r="AA5" s="1426"/>
      <c r="AC5" s="3964"/>
      <c r="AD5" s="3965"/>
      <c r="AE5" s="3965"/>
      <c r="AF5" s="3965"/>
      <c r="AG5" s="3965"/>
      <c r="AH5" s="3965"/>
      <c r="AI5" s="3965"/>
      <c r="AJ5" s="3965"/>
    </row>
    <row r="6" spans="1:37" ht="23">
      <c r="A6" s="2728" t="str">
        <f>'Cashflow Governmental'!A6</f>
        <v xml:space="preserve">FISCAL YEAR 2021-2022   </v>
      </c>
      <c r="B6" s="1426"/>
      <c r="C6" s="1426"/>
      <c r="D6" s="1426"/>
      <c r="E6" s="1426"/>
      <c r="F6" s="1426"/>
      <c r="G6" s="1426"/>
      <c r="H6" s="1426"/>
      <c r="I6" s="1426"/>
      <c r="J6" s="1426"/>
      <c r="K6" s="1426"/>
      <c r="L6" s="1426"/>
      <c r="M6" s="1426"/>
      <c r="N6" s="1426"/>
      <c r="O6" s="3065"/>
      <c r="P6" s="1426"/>
      <c r="Q6" s="1426"/>
      <c r="R6" s="1426"/>
      <c r="S6" s="1426"/>
      <c r="T6" s="1426"/>
      <c r="U6" s="1426"/>
      <c r="V6" s="1426"/>
      <c r="W6" s="1426"/>
      <c r="X6" s="1426"/>
      <c r="Y6" s="1426"/>
      <c r="Z6" s="1426"/>
      <c r="AA6" s="1426"/>
      <c r="AB6" s="3065"/>
      <c r="AC6" s="3065"/>
      <c r="AD6" s="3065"/>
      <c r="AE6" s="3065"/>
      <c r="AF6" s="3065"/>
      <c r="AG6" s="3065"/>
      <c r="AI6" s="3065"/>
    </row>
    <row r="7" spans="1:37" ht="23.25" customHeight="1">
      <c r="A7" s="2727" t="s">
        <v>1277</v>
      </c>
      <c r="B7" s="1426"/>
      <c r="C7" s="1426"/>
      <c r="D7" s="1426"/>
      <c r="E7" s="1426"/>
      <c r="F7" s="1426"/>
      <c r="G7" s="1426"/>
      <c r="H7" s="1426"/>
      <c r="I7" s="1426"/>
      <c r="J7" s="1426"/>
      <c r="K7" s="1426"/>
      <c r="L7" s="1426"/>
      <c r="M7" s="1426"/>
      <c r="N7" s="1426"/>
      <c r="O7" s="3065"/>
      <c r="P7" s="1426"/>
      <c r="Q7" s="1426"/>
      <c r="R7" s="1426"/>
      <c r="S7" s="1426"/>
      <c r="T7" s="1426"/>
      <c r="U7" s="1426"/>
      <c r="V7" s="1426"/>
      <c r="W7" s="1426"/>
      <c r="X7" s="1426"/>
      <c r="Y7" s="1426"/>
      <c r="Z7" s="1426"/>
      <c r="AA7" s="1426"/>
      <c r="AB7" s="3065"/>
      <c r="AC7" s="3065"/>
      <c r="AD7" s="3065"/>
      <c r="AE7" s="3065"/>
      <c r="AF7" s="3065"/>
      <c r="AG7" s="3065"/>
      <c r="AI7" s="3065"/>
    </row>
    <row r="8" spans="1:37" ht="15.5">
      <c r="A8" s="1426"/>
      <c r="B8" s="1426"/>
      <c r="C8" s="1426"/>
      <c r="D8" s="1426"/>
      <c r="E8" s="1426"/>
      <c r="F8" s="1426"/>
      <c r="G8" s="1426"/>
      <c r="H8" s="1426"/>
      <c r="I8" s="1426"/>
      <c r="J8" s="1426"/>
      <c r="K8" s="1426"/>
      <c r="L8" s="1426"/>
      <c r="M8" s="1426"/>
      <c r="N8" s="1426"/>
      <c r="O8" s="3065"/>
      <c r="P8" s="1426"/>
      <c r="Q8" s="1426"/>
      <c r="R8" s="1426"/>
      <c r="S8" s="1426"/>
      <c r="T8" s="1426"/>
      <c r="U8" s="1426"/>
      <c r="V8" s="1426"/>
      <c r="W8" s="1426"/>
      <c r="X8" s="1426"/>
      <c r="Y8" s="1426"/>
      <c r="Z8" s="1426"/>
      <c r="AA8" s="1426"/>
      <c r="AB8" s="3065"/>
      <c r="AC8" s="3065"/>
      <c r="AD8" s="3065"/>
      <c r="AE8" s="3065"/>
      <c r="AF8" s="3065"/>
      <c r="AG8" s="3065"/>
      <c r="AI8" s="3065"/>
    </row>
    <row r="9" spans="1:37" ht="15.5">
      <c r="A9" s="1426"/>
      <c r="B9" s="1426"/>
      <c r="C9" s="1426"/>
      <c r="D9" s="1426"/>
      <c r="E9" s="1426"/>
      <c r="F9" s="1426"/>
      <c r="G9" s="1426"/>
      <c r="H9" s="1426"/>
      <c r="I9" s="1426"/>
      <c r="J9" s="1426"/>
      <c r="K9" s="1426"/>
      <c r="L9" s="1426"/>
      <c r="M9" s="1426"/>
      <c r="N9" s="1426"/>
      <c r="O9" s="3065"/>
      <c r="P9" s="1426"/>
      <c r="Q9" s="1426"/>
      <c r="R9" s="1426"/>
      <c r="S9" s="1426"/>
      <c r="T9" s="1426"/>
      <c r="U9" s="1426"/>
      <c r="V9" s="1426"/>
      <c r="W9" s="1426"/>
      <c r="X9" s="1426"/>
      <c r="Y9" s="1426"/>
      <c r="Z9" s="1426"/>
      <c r="AA9" s="1426"/>
      <c r="AB9" s="3065"/>
      <c r="AC9" s="3065"/>
      <c r="AD9" s="3065"/>
      <c r="AE9" s="3065"/>
      <c r="AF9" s="3065"/>
      <c r="AG9" s="3065"/>
      <c r="AI9" s="3065"/>
    </row>
    <row r="10" spans="1:37" ht="15.5">
      <c r="A10" s="1426"/>
      <c r="B10" s="1426"/>
      <c r="C10" s="1426"/>
      <c r="D10" s="1426"/>
      <c r="E10" s="1426"/>
      <c r="F10" s="1426"/>
      <c r="G10" s="1426"/>
      <c r="H10" s="1426"/>
      <c r="I10" s="1426"/>
      <c r="J10" s="1426"/>
      <c r="K10" s="1426"/>
      <c r="L10" s="1426"/>
      <c r="M10" s="1426"/>
      <c r="N10" s="1426"/>
      <c r="O10" s="3065"/>
      <c r="P10" s="1426"/>
      <c r="Q10" s="1426"/>
      <c r="R10" s="1426"/>
      <c r="S10" s="1426"/>
      <c r="T10" s="1426"/>
      <c r="U10" s="1426"/>
      <c r="V10" s="1426"/>
      <c r="W10" s="1426"/>
      <c r="X10" s="1426"/>
      <c r="Y10" s="1426"/>
      <c r="Z10" s="1426"/>
      <c r="AA10" s="1426"/>
      <c r="AB10" s="3065"/>
      <c r="AC10" s="3065"/>
      <c r="AD10" s="3065"/>
      <c r="AE10" s="3065"/>
      <c r="AF10" s="3065"/>
      <c r="AG10" s="3065"/>
      <c r="AI10" s="3065"/>
    </row>
    <row r="11" spans="1:37" ht="15.5">
      <c r="A11" s="1426"/>
      <c r="B11" s="1426"/>
      <c r="C11" s="1426" t="s">
        <v>14</v>
      </c>
      <c r="D11" s="1426" t="s">
        <v>14</v>
      </c>
      <c r="E11" s="1426"/>
      <c r="F11" s="1426"/>
      <c r="G11" s="1426"/>
      <c r="H11" s="1426"/>
      <c r="I11" s="1426"/>
      <c r="J11" s="1426"/>
      <c r="K11" s="1426"/>
      <c r="L11" s="1426"/>
      <c r="M11" s="1426"/>
      <c r="N11" s="1426"/>
      <c r="O11" s="3065"/>
      <c r="P11" s="1426"/>
      <c r="Q11" s="1426"/>
      <c r="R11" s="1426"/>
      <c r="S11" s="1426"/>
      <c r="T11" s="1426"/>
      <c r="U11" s="1426"/>
      <c r="V11" s="1426"/>
      <c r="W11" s="1426"/>
      <c r="X11" s="1426"/>
      <c r="Y11" s="1426"/>
      <c r="Z11" s="1426"/>
      <c r="AA11" s="1426"/>
      <c r="AC11" s="3065"/>
      <c r="AD11" s="3065"/>
      <c r="AE11" s="3065"/>
      <c r="AF11" s="3065"/>
      <c r="AG11" s="3065"/>
      <c r="AI11" s="3065"/>
    </row>
    <row r="12" spans="1:37" ht="15.5">
      <c r="A12" s="1426"/>
      <c r="B12" s="1426"/>
      <c r="C12" s="1426"/>
      <c r="D12" s="1426"/>
      <c r="E12" s="1426"/>
      <c r="F12" s="1426"/>
      <c r="G12" s="1426"/>
      <c r="H12" s="1426"/>
      <c r="I12" s="1426"/>
      <c r="J12" s="1426"/>
      <c r="K12" s="1426"/>
      <c r="L12" s="1426"/>
      <c r="M12" s="1426"/>
      <c r="N12" s="1426"/>
      <c r="O12" s="3065"/>
      <c r="P12" s="1426"/>
      <c r="Q12" s="1426"/>
      <c r="R12" s="1426"/>
      <c r="S12" s="1426"/>
      <c r="T12" s="1426"/>
      <c r="U12" s="1426"/>
      <c r="V12" s="1426"/>
      <c r="W12" s="1426"/>
      <c r="X12" s="1426"/>
      <c r="Z12" s="1426"/>
      <c r="AA12" s="2729"/>
      <c r="AB12" s="3966" t="str">
        <f>'Cashflow Governmental'!AB12:AJ12</f>
        <v>6 Months Ended September 30</v>
      </c>
      <c r="AC12" s="3966"/>
      <c r="AD12" s="3966"/>
      <c r="AE12" s="3966"/>
      <c r="AF12" s="3966"/>
      <c r="AG12" s="3966"/>
      <c r="AH12" s="3966"/>
      <c r="AI12" s="3966"/>
      <c r="AJ12" s="3966"/>
    </row>
    <row r="13" spans="1:37" ht="15.5">
      <c r="A13" s="1426"/>
      <c r="B13" s="1426"/>
      <c r="C13" s="2407" t="str">
        <f>'Cashflow Governmental'!C13</f>
        <v>2021</v>
      </c>
      <c r="D13" s="2408"/>
      <c r="E13" s="2408"/>
      <c r="F13" s="2408"/>
      <c r="G13" s="2408"/>
      <c r="H13" s="2408"/>
      <c r="I13" s="2408"/>
      <c r="J13" s="2408"/>
      <c r="K13" s="2408"/>
      <c r="L13" s="2408"/>
      <c r="M13" s="2408"/>
      <c r="N13" s="2408"/>
      <c r="O13" s="3049"/>
      <c r="P13" s="2408"/>
      <c r="Q13" s="2408"/>
      <c r="R13" s="2408"/>
      <c r="S13" s="2408"/>
      <c r="T13" s="2408"/>
      <c r="U13" s="2407">
        <f>'Cashflow Governmental'!U13</f>
        <v>2022</v>
      </c>
      <c r="V13" s="2408"/>
      <c r="W13" s="2408"/>
      <c r="X13" s="2408"/>
      <c r="Y13" s="2408"/>
      <c r="Z13" s="2408"/>
      <c r="AA13" s="2408"/>
      <c r="AB13" s="3049"/>
      <c r="AC13" s="3106"/>
      <c r="AD13" s="3106"/>
      <c r="AE13" s="3106"/>
      <c r="AF13" s="3049"/>
      <c r="AG13" s="3049"/>
      <c r="AH13" s="3315" t="s">
        <v>7</v>
      </c>
      <c r="AI13" s="3316"/>
      <c r="AJ13" s="3315" t="s">
        <v>8</v>
      </c>
    </row>
    <row r="14" spans="1:37" ht="15.5">
      <c r="A14" s="1426"/>
      <c r="B14" s="1426"/>
      <c r="C14" s="2730" t="s">
        <v>123</v>
      </c>
      <c r="D14" s="2408"/>
      <c r="E14" s="2730" t="s">
        <v>124</v>
      </c>
      <c r="F14" s="2408"/>
      <c r="G14" s="2730" t="s">
        <v>125</v>
      </c>
      <c r="H14" s="2408"/>
      <c r="I14" s="2730" t="s">
        <v>126</v>
      </c>
      <c r="J14" s="2408"/>
      <c r="K14" s="2730" t="s">
        <v>127</v>
      </c>
      <c r="L14" s="2408"/>
      <c r="M14" s="2730" t="s">
        <v>128</v>
      </c>
      <c r="N14" s="2408"/>
      <c r="O14" s="3315" t="s">
        <v>129</v>
      </c>
      <c r="P14" s="2408"/>
      <c r="Q14" s="2731" t="s">
        <v>130</v>
      </c>
      <c r="R14" s="2408"/>
      <c r="S14" s="2730" t="s">
        <v>131</v>
      </c>
      <c r="T14" s="2408"/>
      <c r="U14" s="2730" t="s">
        <v>132</v>
      </c>
      <c r="V14" s="2408"/>
      <c r="W14" s="2730" t="s">
        <v>133</v>
      </c>
      <c r="X14" s="2408"/>
      <c r="Y14" s="2730" t="s">
        <v>134</v>
      </c>
      <c r="Z14" s="2408"/>
      <c r="AA14" s="2408"/>
      <c r="AB14" s="3354">
        <f>'Cashflow Governmental'!AB14</f>
        <v>2021</v>
      </c>
      <c r="AC14" s="3049"/>
      <c r="AD14" s="3049"/>
      <c r="AE14" s="3354">
        <f>'Cashflow Governmental'!AE14</f>
        <v>2020</v>
      </c>
      <c r="AF14" s="3106"/>
      <c r="AG14" s="3106"/>
      <c r="AH14" s="3317" t="s">
        <v>11</v>
      </c>
      <c r="AI14" s="3316"/>
      <c r="AJ14" s="3317" t="s">
        <v>12</v>
      </c>
    </row>
    <row r="15" spans="1:37" ht="5.25" customHeight="1">
      <c r="A15" s="1426"/>
      <c r="B15" s="1426"/>
      <c r="C15" s="2732"/>
      <c r="D15" s="1426"/>
      <c r="E15" s="2732"/>
      <c r="F15" s="1426"/>
      <c r="G15" s="2732"/>
      <c r="H15" s="1426"/>
      <c r="I15" s="2732"/>
      <c r="J15" s="1426"/>
      <c r="K15" s="2732"/>
      <c r="L15" s="1426"/>
      <c r="M15" s="2732"/>
      <c r="N15" s="1426"/>
      <c r="O15" s="3355" t="s">
        <v>14</v>
      </c>
      <c r="P15" s="1426"/>
      <c r="Q15" s="2733"/>
      <c r="R15" s="1426"/>
      <c r="S15" s="2732"/>
      <c r="T15" s="1426"/>
      <c r="U15" s="2732" t="s">
        <v>14</v>
      </c>
      <c r="V15" s="1426"/>
      <c r="W15" s="2732"/>
      <c r="X15" s="1426"/>
      <c r="Y15" s="2732"/>
      <c r="Z15" s="1426"/>
      <c r="AA15" s="1426"/>
      <c r="AB15" s="3355"/>
      <c r="AC15" s="3065"/>
      <c r="AD15" s="3065"/>
      <c r="AE15" s="3355"/>
      <c r="AF15" s="3318"/>
      <c r="AG15" s="3318"/>
      <c r="AI15" s="3065"/>
    </row>
    <row r="16" spans="1:37" ht="15.5">
      <c r="A16" s="2734" t="s">
        <v>135</v>
      </c>
      <c r="B16" s="1426"/>
      <c r="C16" s="2735">
        <f>'Exhibit F'!D12+'Exh D Special Revenue State Fed'!G41+'Exhibit H'!B12</f>
        <v>14934.4</v>
      </c>
      <c r="D16" s="2736"/>
      <c r="E16" s="2736">
        <f>C145</f>
        <v>18753.400000000001</v>
      </c>
      <c r="F16" s="2736"/>
      <c r="G16" s="2736">
        <f>E145</f>
        <v>20954.3</v>
      </c>
      <c r="H16" s="2736"/>
      <c r="I16" s="2736">
        <f>G145</f>
        <v>23094.9</v>
      </c>
      <c r="J16" s="2736"/>
      <c r="K16" s="2736">
        <f>I145</f>
        <v>24196.6</v>
      </c>
      <c r="L16" s="2736"/>
      <c r="M16" s="2736">
        <f>K145</f>
        <v>24879.7</v>
      </c>
      <c r="N16" s="2736"/>
      <c r="O16" s="2735"/>
      <c r="P16" s="2736"/>
      <c r="Q16" s="2736"/>
      <c r="R16" s="2736"/>
      <c r="S16" s="2736"/>
      <c r="T16" s="2736"/>
      <c r="U16" s="2736"/>
      <c r="V16" s="2736"/>
      <c r="W16" s="2736"/>
      <c r="X16" s="2736"/>
      <c r="Y16" s="2736"/>
      <c r="Z16" s="2736"/>
      <c r="AA16" s="2737"/>
      <c r="AB16" s="2735">
        <f>C16</f>
        <v>14934.4</v>
      </c>
      <c r="AC16" s="2735"/>
      <c r="AD16" s="3356"/>
      <c r="AE16" s="2735">
        <f>'Exhibit F'!AF12+'Exhibit G State'!AG13+'Exhibit H'!AD12</f>
        <v>14408.300000000001</v>
      </c>
      <c r="AF16" s="3319"/>
      <c r="AG16" s="3319"/>
      <c r="AH16" s="2735">
        <f>ROUND(SUM(AB16-AE16),1)</f>
        <v>526.1</v>
      </c>
      <c r="AI16" s="3049"/>
      <c r="AJ16" s="1839">
        <f>ROUND(SUM(AH16/AE16),3)</f>
        <v>3.6999999999999998E-2</v>
      </c>
      <c r="AK16" s="2738"/>
    </row>
    <row r="17" spans="1:36" ht="15.5">
      <c r="A17" s="1426"/>
      <c r="B17" s="1426"/>
      <c r="C17" s="1426" t="s">
        <v>14</v>
      </c>
      <c r="D17" s="1426"/>
      <c r="E17" s="2659"/>
      <c r="F17" s="1426"/>
      <c r="G17" s="2659"/>
      <c r="H17" s="1426"/>
      <c r="I17" s="2659"/>
      <c r="J17" s="1426"/>
      <c r="K17" s="2659"/>
      <c r="L17" s="1426"/>
      <c r="M17" s="2659"/>
      <c r="N17" s="1426"/>
      <c r="O17" s="3807"/>
      <c r="P17" s="1426"/>
      <c r="Q17" s="2659"/>
      <c r="R17" s="1426"/>
      <c r="S17" s="2659"/>
      <c r="T17" s="1426"/>
      <c r="U17" s="2659"/>
      <c r="V17" s="1426"/>
      <c r="W17" s="2736"/>
      <c r="X17" s="1426"/>
      <c r="Y17" s="2659"/>
      <c r="Z17" s="1426"/>
      <c r="AA17" s="2739"/>
      <c r="AB17" s="3065" t="s">
        <v>14</v>
      </c>
      <c r="AC17" s="3065"/>
      <c r="AD17" s="3357"/>
      <c r="AE17" s="3065" t="s">
        <v>14</v>
      </c>
      <c r="AF17" s="3318"/>
      <c r="AG17" s="3318"/>
      <c r="AH17" s="3320"/>
      <c r="AI17" s="3065"/>
      <c r="AJ17" s="3320"/>
    </row>
    <row r="18" spans="1:36" ht="15.5">
      <c r="A18" s="1994" t="s">
        <v>13</v>
      </c>
      <c r="B18" s="1426"/>
      <c r="C18" s="1426"/>
      <c r="D18" s="1426"/>
      <c r="E18" s="2659"/>
      <c r="F18" s="1426"/>
      <c r="G18" s="2659"/>
      <c r="H18" s="1426"/>
      <c r="I18" s="2659"/>
      <c r="J18" s="1426"/>
      <c r="K18" s="2659"/>
      <c r="L18" s="1426"/>
      <c r="M18" s="2659"/>
      <c r="N18" s="1426"/>
      <c r="O18" s="3807"/>
      <c r="P18" s="1426"/>
      <c r="Q18" s="2659"/>
      <c r="R18" s="1426"/>
      <c r="S18" s="2659"/>
      <c r="T18" s="1426"/>
      <c r="U18" s="2659"/>
      <c r="V18" s="1426"/>
      <c r="W18" s="2659"/>
      <c r="X18" s="1426"/>
      <c r="Y18" s="2659"/>
      <c r="Z18" s="1426"/>
      <c r="AA18" s="2739"/>
      <c r="AB18" s="3065"/>
      <c r="AC18" s="3065"/>
      <c r="AD18" s="3357"/>
      <c r="AE18" s="3065"/>
      <c r="AF18" s="3318"/>
      <c r="AG18" s="3318"/>
      <c r="AH18" s="3320"/>
      <c r="AI18" s="3065"/>
      <c r="AJ18" s="3320"/>
    </row>
    <row r="19" spans="1:36" ht="15.5">
      <c r="A19" s="2436" t="s">
        <v>994</v>
      </c>
      <c r="B19" s="1426"/>
      <c r="C19" s="1426"/>
      <c r="D19" s="1426"/>
      <c r="E19" s="2659"/>
      <c r="F19" s="1426"/>
      <c r="G19" s="2659"/>
      <c r="H19" s="1426"/>
      <c r="I19" s="2659"/>
      <c r="J19" s="1426"/>
      <c r="K19" s="2659"/>
      <c r="L19" s="1426"/>
      <c r="M19" s="2659"/>
      <c r="N19" s="1426"/>
      <c r="O19" s="3807"/>
      <c r="P19" s="1426"/>
      <c r="Q19" s="2659"/>
      <c r="R19" s="1426"/>
      <c r="S19" s="2659"/>
      <c r="T19" s="1426"/>
      <c r="U19" s="2659"/>
      <c r="V19" s="1426"/>
      <c r="W19" s="2659"/>
      <c r="X19" s="1426"/>
      <c r="Y19" s="2659"/>
      <c r="Z19" s="1426"/>
      <c r="AA19" s="2740"/>
      <c r="AB19" s="3065"/>
      <c r="AC19" s="3065"/>
      <c r="AD19" s="3357"/>
      <c r="AE19" s="3065"/>
      <c r="AF19" s="3318"/>
      <c r="AG19" s="3318"/>
      <c r="AH19" s="3320"/>
      <c r="AI19" s="3065"/>
      <c r="AJ19" s="3320"/>
    </row>
    <row r="20" spans="1:36" ht="15.5">
      <c r="A20" s="2437" t="s">
        <v>1059</v>
      </c>
      <c r="B20" s="1426"/>
      <c r="C20" s="1426"/>
      <c r="D20" s="1426"/>
      <c r="E20" s="1425"/>
      <c r="F20" s="1426"/>
      <c r="G20" s="2659"/>
      <c r="H20" s="1426"/>
      <c r="I20" s="2659"/>
      <c r="J20" s="1426"/>
      <c r="K20" s="2659"/>
      <c r="L20" s="1426"/>
      <c r="M20" s="2659"/>
      <c r="N20" s="1426"/>
      <c r="O20" s="3807"/>
      <c r="P20" s="1426"/>
      <c r="Q20" s="2659"/>
      <c r="R20" s="1426"/>
      <c r="S20" s="2659"/>
      <c r="T20" s="1426"/>
      <c r="U20" s="2659"/>
      <c r="V20" s="1426"/>
      <c r="W20" s="2659"/>
      <c r="X20" s="1426"/>
      <c r="Y20" s="2659"/>
      <c r="Z20" s="1426"/>
      <c r="AA20" s="2739"/>
      <c r="AB20" s="3065"/>
      <c r="AC20" s="3065"/>
      <c r="AD20" s="3357"/>
      <c r="AE20" s="3065"/>
      <c r="AF20" s="3318"/>
      <c r="AG20" s="3318"/>
      <c r="AH20" s="3320"/>
      <c r="AI20" s="3065"/>
      <c r="AJ20" s="3320"/>
    </row>
    <row r="21" spans="1:36" ht="15.5">
      <c r="A21" s="2215" t="s">
        <v>1000</v>
      </c>
      <c r="B21" s="1426"/>
      <c r="C21" s="1425">
        <f>+'Exhibit F'!D17</f>
        <v>3601.8</v>
      </c>
      <c r="D21" s="1425"/>
      <c r="E21" s="1425">
        <f>+'Exhibit F'!F17</f>
        <v>3217.7</v>
      </c>
      <c r="F21" s="1425"/>
      <c r="G21" s="1425">
        <f>+'Exhibit F'!H17</f>
        <v>3702.6000000000004</v>
      </c>
      <c r="H21" s="1425"/>
      <c r="I21" s="1425">
        <f>+'Exhibit F'!J17</f>
        <v>3408.2</v>
      </c>
      <c r="J21" s="1425"/>
      <c r="K21" s="1425">
        <f>+'Exhibit F'!L17</f>
        <v>3778.4000000000005</v>
      </c>
      <c r="L21" s="1425"/>
      <c r="M21" s="1425">
        <f>+'Exhibit F'!N17</f>
        <v>3634.7999999999984</v>
      </c>
      <c r="N21" s="1425"/>
      <c r="O21" s="3107"/>
      <c r="P21" s="1426"/>
      <c r="Q21" s="1425"/>
      <c r="R21" s="1426"/>
      <c r="S21" s="1425"/>
      <c r="T21" s="1426"/>
      <c r="U21" s="1425"/>
      <c r="V21" s="1426"/>
      <c r="W21" s="1425"/>
      <c r="X21" s="1426"/>
      <c r="Y21" s="1425"/>
      <c r="Z21" s="1426"/>
      <c r="AA21" s="2739"/>
      <c r="AB21" s="3107">
        <f>ROUND(SUM(C21:Y21),1)</f>
        <v>21343.5</v>
      </c>
      <c r="AC21" s="3065"/>
      <c r="AD21" s="3357"/>
      <c r="AE21" s="3107">
        <f>+'Exhibit F'!AF17</f>
        <v>18636</v>
      </c>
      <c r="AF21" s="3318"/>
      <c r="AG21" s="3318"/>
      <c r="AH21" s="1984">
        <f>ROUND(SUM(+AB21-AE21),1)</f>
        <v>2707.5</v>
      </c>
      <c r="AI21" s="2442"/>
      <c r="AJ21" s="1802">
        <f t="shared" ref="AJ21:AJ26" si="0">ROUND(SUM(+AH21/ABS(AE21)),3)</f>
        <v>0.14499999999999999</v>
      </c>
    </row>
    <row r="22" spans="1:36" ht="15.5">
      <c r="A22" s="2215" t="s">
        <v>1267</v>
      </c>
      <c r="B22" s="1426"/>
      <c r="C22" s="1425">
        <f>+'Exhibit F'!D18</f>
        <v>3342.2000000000003</v>
      </c>
      <c r="D22" s="1425"/>
      <c r="E22" s="1425">
        <f>+'Exhibit F'!F18</f>
        <v>6128.6999999999989</v>
      </c>
      <c r="F22" s="1425"/>
      <c r="G22" s="1425">
        <f>+'Exhibit F'!H18</f>
        <v>2740.7000000000007</v>
      </c>
      <c r="H22" s="1425"/>
      <c r="I22" s="1425">
        <f>+'Exhibit F'!J18</f>
        <v>147.10000000000036</v>
      </c>
      <c r="J22" s="1425"/>
      <c r="K22" s="1425">
        <f>+'Exhibit F'!L18</f>
        <v>131.09999999999854</v>
      </c>
      <c r="L22" s="1425"/>
      <c r="M22" s="1425">
        <f>+'Exhibit F'!N18</f>
        <v>3241.9000000000015</v>
      </c>
      <c r="N22" s="1425"/>
      <c r="O22" s="3107"/>
      <c r="P22" s="1426"/>
      <c r="Q22" s="1425"/>
      <c r="R22" s="1426"/>
      <c r="S22" s="1425"/>
      <c r="T22" s="1426"/>
      <c r="U22" s="1425"/>
      <c r="V22" s="1426"/>
      <c r="W22" s="1425"/>
      <c r="X22" s="1426"/>
      <c r="Y22" s="1425"/>
      <c r="Z22" s="1426"/>
      <c r="AA22" s="2739"/>
      <c r="AB22" s="3107">
        <f>ROUND(SUM(C22:Y22),1)</f>
        <v>15731.7</v>
      </c>
      <c r="AC22" s="3065"/>
      <c r="AD22" s="3357"/>
      <c r="AE22" s="3107">
        <f>+'Exhibit F'!AF18</f>
        <v>10735.8</v>
      </c>
      <c r="AF22" s="3318"/>
      <c r="AG22" s="3318"/>
      <c r="AH22" s="1984">
        <f t="shared" ref="AH22:AH28" si="1">ROUND(SUM(+AB22-AE22),1)</f>
        <v>4995.8999999999996</v>
      </c>
      <c r="AI22" s="2442"/>
      <c r="AJ22" s="1813">
        <f t="shared" si="0"/>
        <v>0.46500000000000002</v>
      </c>
    </row>
    <row r="23" spans="1:36" ht="15.5">
      <c r="A23" s="2215" t="s">
        <v>1001</v>
      </c>
      <c r="B23" s="1426"/>
      <c r="C23" s="1425">
        <f>+'Exhibit F'!D19</f>
        <v>913.6</v>
      </c>
      <c r="D23" s="1425"/>
      <c r="E23" s="1425">
        <f>+'Exhibit F'!F19</f>
        <v>2184.3000000000002</v>
      </c>
      <c r="F23" s="1425"/>
      <c r="G23" s="1425">
        <f>+'Exhibit F'!H19</f>
        <v>139.59999999999991</v>
      </c>
      <c r="H23" s="1425"/>
      <c r="I23" s="1425">
        <f>+'Exhibit F'!J19</f>
        <v>65</v>
      </c>
      <c r="J23" s="1425"/>
      <c r="K23" s="1425">
        <f>+'Exhibit F'!L19</f>
        <v>59.900000000000091</v>
      </c>
      <c r="L23" s="1425"/>
      <c r="M23" s="1425">
        <f>+'Exhibit F'!N19</f>
        <v>77.5</v>
      </c>
      <c r="N23" s="1425"/>
      <c r="O23" s="3107"/>
      <c r="P23" s="1426"/>
      <c r="Q23" s="1425"/>
      <c r="R23" s="1426"/>
      <c r="S23" s="1425"/>
      <c r="T23" s="1426"/>
      <c r="U23" s="1425"/>
      <c r="V23" s="1426"/>
      <c r="W23" s="1425"/>
      <c r="X23" s="1426"/>
      <c r="Y23" s="1425"/>
      <c r="Z23" s="1426"/>
      <c r="AA23" s="2739"/>
      <c r="AB23" s="3107">
        <f t="shared" ref="AB23:AB29" si="2">ROUND(SUM(C23:Y23),1)</f>
        <v>3439.9</v>
      </c>
      <c r="AC23" s="3065"/>
      <c r="AD23" s="3357"/>
      <c r="AE23" s="3107">
        <f>+'Exhibit F'!AF19</f>
        <v>2642.5</v>
      </c>
      <c r="AF23" s="3318"/>
      <c r="AG23" s="3318"/>
      <c r="AH23" s="1984">
        <f t="shared" si="1"/>
        <v>797.4</v>
      </c>
      <c r="AI23" s="2442"/>
      <c r="AJ23" s="1802">
        <f t="shared" si="0"/>
        <v>0.30199999999999999</v>
      </c>
    </row>
    <row r="24" spans="1:36" ht="15.5">
      <c r="A24" s="2741" t="s">
        <v>1002</v>
      </c>
      <c r="B24" s="1426"/>
      <c r="C24" s="1425">
        <f>+'Exhibit F'!D20</f>
        <v>-203</v>
      </c>
      <c r="D24" s="1425"/>
      <c r="E24" s="1425">
        <f>+'Exhibit F'!F20</f>
        <v>-264.7</v>
      </c>
      <c r="F24" s="1425"/>
      <c r="G24" s="1425">
        <f>+'Exhibit F'!H20</f>
        <v>-21.600000000000023</v>
      </c>
      <c r="H24" s="1425"/>
      <c r="I24" s="1425">
        <f>+'Exhibit F'!J20</f>
        <v>-31.800000000000011</v>
      </c>
      <c r="J24" s="1425"/>
      <c r="K24" s="1425">
        <f>+'Exhibit F'!L20</f>
        <v>-19.100000000000023</v>
      </c>
      <c r="L24" s="1425"/>
      <c r="M24" s="1425">
        <f>+'Exhibit F'!N20</f>
        <v>-28.099999999999909</v>
      </c>
      <c r="N24" s="1425"/>
      <c r="O24" s="3107"/>
      <c r="P24" s="1426"/>
      <c r="Q24" s="1425"/>
      <c r="R24" s="1426"/>
      <c r="S24" s="1425"/>
      <c r="T24" s="1426"/>
      <c r="U24" s="1425"/>
      <c r="V24" s="1426"/>
      <c r="W24" s="1425"/>
      <c r="X24" s="1426"/>
      <c r="Y24" s="1425"/>
      <c r="Z24" s="1426"/>
      <c r="AA24" s="2739"/>
      <c r="AB24" s="3107">
        <f>ROUND(SUM(C24:Y24),1)</f>
        <v>-568.29999999999995</v>
      </c>
      <c r="AC24" s="3065"/>
      <c r="AD24" s="3357"/>
      <c r="AE24" s="3107">
        <f>+'Exhibit F'!AF20</f>
        <v>-454.8</v>
      </c>
      <c r="AF24" s="3318"/>
      <c r="AG24" s="3318"/>
      <c r="AH24" s="1984">
        <f>-ROUND(SUM(+AB24-AE24),1)</f>
        <v>113.5</v>
      </c>
      <c r="AI24" s="2442"/>
      <c r="AJ24" s="1802">
        <f t="shared" si="0"/>
        <v>0.25</v>
      </c>
    </row>
    <row r="25" spans="1:36" ht="15.5">
      <c r="A25" s="2741" t="s">
        <v>1266</v>
      </c>
      <c r="B25" s="1426"/>
      <c r="C25" s="1425">
        <f>+'Exhibit F'!D21</f>
        <v>154.1</v>
      </c>
      <c r="D25" s="1425"/>
      <c r="E25" s="1425">
        <f>+'Exhibit F'!F21</f>
        <v>87.200000000000017</v>
      </c>
      <c r="F25" s="1425"/>
      <c r="G25" s="1425">
        <f>+'Exhibit F'!H21</f>
        <v>111.30000000000001</v>
      </c>
      <c r="H25" s="1425"/>
      <c r="I25" s="1425">
        <f>+'Exhibit F'!J21</f>
        <v>91.899999999999949</v>
      </c>
      <c r="J25" s="1425"/>
      <c r="K25" s="1425">
        <f>+'Exhibit F'!L21</f>
        <v>112.39999999999995</v>
      </c>
      <c r="L25" s="1425"/>
      <c r="M25" s="1425">
        <f>+'Exhibit F'!N21</f>
        <v>104.20000000000002</v>
      </c>
      <c r="N25" s="1425"/>
      <c r="O25" s="3107"/>
      <c r="P25" s="1426"/>
      <c r="Q25" s="1425"/>
      <c r="R25" s="1426"/>
      <c r="S25" s="1425"/>
      <c r="T25" s="1426"/>
      <c r="U25" s="1425"/>
      <c r="V25" s="1426"/>
      <c r="W25" s="1425"/>
      <c r="X25" s="1426"/>
      <c r="Y25" s="1425"/>
      <c r="Z25" s="1426"/>
      <c r="AA25" s="2739"/>
      <c r="AB25" s="3107">
        <f t="shared" si="2"/>
        <v>661.1</v>
      </c>
      <c r="AC25" s="3065"/>
      <c r="AD25" s="3357"/>
      <c r="AE25" s="3107">
        <f>+'Exhibit F'!AF21</f>
        <v>506.5</v>
      </c>
      <c r="AF25" s="3318"/>
      <c r="AG25" s="3318"/>
      <c r="AH25" s="1984">
        <f t="shared" si="1"/>
        <v>154.6</v>
      </c>
      <c r="AI25" s="2442"/>
      <c r="AJ25" s="1802">
        <f t="shared" si="0"/>
        <v>0.30499999999999999</v>
      </c>
    </row>
    <row r="26" spans="1:36" ht="15.5">
      <c r="A26" s="2291" t="s">
        <v>1003</v>
      </c>
      <c r="B26" s="1426"/>
      <c r="C26" s="2026">
        <f>ROUND(SUM(C21:C25),1)</f>
        <v>7808.7</v>
      </c>
      <c r="D26" s="1426"/>
      <c r="E26" s="2026">
        <f>ROUND(SUM(E21:E25),1)</f>
        <v>11353.2</v>
      </c>
      <c r="F26" s="1426"/>
      <c r="G26" s="2026">
        <f>ROUND(SUM(G21:G25),1)</f>
        <v>6672.6</v>
      </c>
      <c r="H26" s="1426"/>
      <c r="I26" s="2026">
        <f>ROUND(SUM(I21:I25),1)</f>
        <v>3680.4</v>
      </c>
      <c r="J26" s="1426"/>
      <c r="K26" s="2026">
        <f>ROUND(SUM(K21:K25),1)</f>
        <v>4062.7</v>
      </c>
      <c r="L26" s="1426"/>
      <c r="M26" s="2026">
        <f>ROUND(SUM(M21:M25),1)</f>
        <v>7030.3</v>
      </c>
      <c r="N26" s="1426"/>
      <c r="O26" s="1446">
        <f>ROUND(SUM(O21:O25),1)</f>
        <v>0</v>
      </c>
      <c r="P26" s="1426"/>
      <c r="Q26" s="2026">
        <f>ROUND(SUM(Q21:Q25),1)</f>
        <v>0</v>
      </c>
      <c r="R26" s="1426"/>
      <c r="S26" s="2026">
        <f>ROUND(SUM(S21:S25),1)</f>
        <v>0</v>
      </c>
      <c r="T26" s="1426"/>
      <c r="U26" s="2026">
        <f>ROUND(SUM(U21:U25),1)</f>
        <v>0</v>
      </c>
      <c r="V26" s="1426"/>
      <c r="W26" s="2026">
        <f>ROUND(SUM(W21:W25),1)</f>
        <v>0</v>
      </c>
      <c r="X26" s="1426"/>
      <c r="Y26" s="2026">
        <f>ROUND(SUM(Y21:Y25),1)</f>
        <v>0</v>
      </c>
      <c r="Z26" s="1426"/>
      <c r="AA26" s="2739"/>
      <c r="AB26" s="1446">
        <f>ROUND(SUM(AB21:AB25),1)</f>
        <v>40607.9</v>
      </c>
      <c r="AC26" s="3065"/>
      <c r="AD26" s="3357"/>
      <c r="AE26" s="1446">
        <f>ROUND(SUM(AE21:AE25),1)</f>
        <v>32066</v>
      </c>
      <c r="AF26" s="3318"/>
      <c r="AG26" s="3318"/>
      <c r="AH26" s="2001">
        <f t="shared" si="1"/>
        <v>8541.9</v>
      </c>
      <c r="AI26" s="2442"/>
      <c r="AJ26" s="2522">
        <f t="shared" si="0"/>
        <v>0.26600000000000001</v>
      </c>
    </row>
    <row r="27" spans="1:36" ht="15.5">
      <c r="A27" s="2741" t="s">
        <v>1005</v>
      </c>
      <c r="B27" s="1426"/>
      <c r="C27" s="1425">
        <f>+'Exhibit F'!D23+'Exhibit G State'!D17</f>
        <v>0</v>
      </c>
      <c r="D27" s="1426"/>
      <c r="E27" s="1425">
        <f>+'Exhibit F'!F23+'Exhibit G State'!F17</f>
        <v>0</v>
      </c>
      <c r="F27" s="1426"/>
      <c r="G27" s="1425">
        <f>+'Exhibit F'!H23+'Exhibit G State'!H17</f>
        <v>0</v>
      </c>
      <c r="H27" s="1426"/>
      <c r="I27" s="1425">
        <f>+'Exhibit F'!J23+'Exhibit G State'!J17</f>
        <v>0</v>
      </c>
      <c r="J27" s="1426"/>
      <c r="K27" s="1425">
        <f>+'Exhibit F'!L23+'Exhibit G State'!L17</f>
        <v>0</v>
      </c>
      <c r="L27" s="1426"/>
      <c r="M27" s="1425">
        <f>+'Exhibit F'!N23+'Exhibit G State'!N17</f>
        <v>0</v>
      </c>
      <c r="N27" s="1426"/>
      <c r="O27" s="1425"/>
      <c r="P27" s="1426"/>
      <c r="Q27" s="1425"/>
      <c r="R27" s="1426"/>
      <c r="S27" s="1425"/>
      <c r="T27" s="1426"/>
      <c r="U27" s="1425"/>
      <c r="V27" s="1426"/>
      <c r="W27" s="1425"/>
      <c r="X27" s="1426"/>
      <c r="Y27" s="1425"/>
      <c r="Z27" s="1426"/>
      <c r="AA27" s="2739"/>
      <c r="AB27" s="3107">
        <f>ROUND(SUM(C27:Y27),1)</f>
        <v>0</v>
      </c>
      <c r="AC27" s="3065"/>
      <c r="AD27" s="3357"/>
      <c r="AE27" s="3107">
        <f>+'Exhibit F'!AF23+'Exhibit G State'!AG17</f>
        <v>0</v>
      </c>
      <c r="AF27" s="3318"/>
      <c r="AG27" s="3318"/>
      <c r="AH27" s="1984">
        <f t="shared" si="1"/>
        <v>0</v>
      </c>
      <c r="AI27" s="2442"/>
      <c r="AJ27" s="1708">
        <f>ROUND(IF(AE27=0,0,AH27/ABS(AE27)),3)</f>
        <v>0</v>
      </c>
    </row>
    <row r="28" spans="1:36" ht="15.5">
      <c r="A28" s="2741" t="s">
        <v>1006</v>
      </c>
      <c r="B28" s="1426"/>
      <c r="C28" s="1425">
        <f>+'Exhibit F'!D24+'Exhibit H'!B16</f>
        <v>0</v>
      </c>
      <c r="D28" s="1426"/>
      <c r="E28" s="1425">
        <f>+'Exhibit F'!F24+'Exhibit H'!D16</f>
        <v>0</v>
      </c>
      <c r="F28" s="1426"/>
      <c r="G28" s="1425">
        <f>+'Exhibit F'!H24+'Exhibit H'!F16</f>
        <v>0</v>
      </c>
      <c r="H28" s="1426"/>
      <c r="I28" s="1425">
        <f>+'Exhibit F'!J24+'Exhibit H'!H16</f>
        <v>0</v>
      </c>
      <c r="J28" s="1426"/>
      <c r="K28" s="1425">
        <f>+'Exhibit F'!L24+'Exhibit H'!J16</f>
        <v>0</v>
      </c>
      <c r="L28" s="1426"/>
      <c r="M28" s="1425">
        <f>+'Exhibit F'!N24+'Exhibit H'!L16</f>
        <v>0</v>
      </c>
      <c r="N28" s="1426"/>
      <c r="O28" s="3107"/>
      <c r="P28" s="1426"/>
      <c r="Q28" s="1425"/>
      <c r="R28" s="1426"/>
      <c r="S28" s="1425"/>
      <c r="T28" s="1426"/>
      <c r="U28" s="1425"/>
      <c r="V28" s="1426"/>
      <c r="W28" s="1425"/>
      <c r="X28" s="1426"/>
      <c r="Y28" s="1425"/>
      <c r="Z28" s="1426"/>
      <c r="AA28" s="2739"/>
      <c r="AB28" s="3107">
        <f t="shared" si="2"/>
        <v>0</v>
      </c>
      <c r="AC28" s="3065"/>
      <c r="AD28" s="3357"/>
      <c r="AE28" s="3107">
        <f>+'Exhibit F'!AF24+'Exhibit H'!AD16</f>
        <v>0</v>
      </c>
      <c r="AF28" s="3318"/>
      <c r="AG28" s="3318"/>
      <c r="AH28" s="1984">
        <f t="shared" si="1"/>
        <v>0</v>
      </c>
      <c r="AI28" s="2442"/>
      <c r="AJ28" s="1708">
        <f>ROUND(IF(AE28=0,0,AH28/ABS(AE28)),3)</f>
        <v>0</v>
      </c>
    </row>
    <row r="29" spans="1:36" ht="15.5">
      <c r="A29" s="2215" t="s">
        <v>1268</v>
      </c>
      <c r="B29" s="1425"/>
      <c r="C29" s="1425">
        <f>+'Exhibit F'!D25</f>
        <v>-1282.9000000000001</v>
      </c>
      <c r="D29" s="1425"/>
      <c r="E29" s="1425">
        <f>+'Exhibit F'!F25</f>
        <v>-1520.1999999999998</v>
      </c>
      <c r="F29" s="1425"/>
      <c r="G29" s="1425">
        <f>+'Exhibit F'!H25</f>
        <v>-852</v>
      </c>
      <c r="H29" s="1425"/>
      <c r="I29" s="1425">
        <f>+'Exhibit F'!J25</f>
        <v>-315.80000000000018</v>
      </c>
      <c r="J29" s="1425"/>
      <c r="K29" s="1425">
        <f>+'Exhibit F'!L25</f>
        <v>-261.29999999999973</v>
      </c>
      <c r="L29" s="1426"/>
      <c r="M29" s="1425">
        <f>+'Exhibit F'!N25</f>
        <v>-580.5</v>
      </c>
      <c r="N29" s="1426"/>
      <c r="O29" s="3107"/>
      <c r="P29" s="1426"/>
      <c r="Q29" s="1425"/>
      <c r="R29" s="1426"/>
      <c r="S29" s="1425"/>
      <c r="T29" s="1426"/>
      <c r="U29" s="1425"/>
      <c r="V29" s="1426"/>
      <c r="W29" s="1425"/>
      <c r="X29" s="1426"/>
      <c r="Y29" s="1425"/>
      <c r="Z29" s="1426"/>
      <c r="AA29" s="2739"/>
      <c r="AB29" s="3107">
        <f t="shared" si="2"/>
        <v>-4812.7</v>
      </c>
      <c r="AC29" s="3065"/>
      <c r="AD29" s="3357"/>
      <c r="AE29" s="3107">
        <f>+'Exhibit F'!AF25</f>
        <v>-5207</v>
      </c>
      <c r="AF29" s="3318"/>
      <c r="AG29" s="3318"/>
      <c r="AH29" s="1984">
        <f>-ROUND(SUM(+AB29-AE29),1)</f>
        <v>-394.3</v>
      </c>
      <c r="AI29" s="2442"/>
      <c r="AJ29" s="1802">
        <f>ROUND(SUM(+AH29/ABS(AE29)),3)</f>
        <v>-7.5999999999999998E-2</v>
      </c>
    </row>
    <row r="30" spans="1:36" ht="15.5">
      <c r="A30" s="2447" t="s">
        <v>1004</v>
      </c>
      <c r="B30" s="1426"/>
      <c r="C30" s="2026">
        <f>ROUND(SUM(C26+C27+C28+C29),1)</f>
        <v>6525.8</v>
      </c>
      <c r="D30" s="1426"/>
      <c r="E30" s="2026">
        <f>ROUND(SUM(E26+E27+E28+E29),1)</f>
        <v>9833</v>
      </c>
      <c r="F30" s="1426"/>
      <c r="G30" s="2026">
        <f>ROUND(SUM(G26+G27+G28+G29),1)</f>
        <v>5820.6</v>
      </c>
      <c r="H30" s="1426"/>
      <c r="I30" s="2026">
        <f>ROUND(SUM(I26+I27+I28+I29),1)</f>
        <v>3364.6</v>
      </c>
      <c r="J30" s="1426"/>
      <c r="K30" s="2026">
        <f>ROUND(SUM(K26+K27+K28+K29),1)</f>
        <v>3801.4</v>
      </c>
      <c r="L30" s="1426"/>
      <c r="M30" s="2026">
        <f>ROUND(SUM(M26+M27+M28+M29),1)</f>
        <v>6449.8</v>
      </c>
      <c r="N30" s="1426"/>
      <c r="O30" s="1446">
        <f>ROUND(SUM(O26+O27+O28+O29),1)</f>
        <v>0</v>
      </c>
      <c r="P30" s="1426"/>
      <c r="Q30" s="2026">
        <f>ROUND(SUM(Q26+Q27+Q28+Q29),1)</f>
        <v>0</v>
      </c>
      <c r="R30" s="1426"/>
      <c r="S30" s="2026">
        <f>ROUND(SUM(S26+S27+S28+S29),1)</f>
        <v>0</v>
      </c>
      <c r="T30" s="1426"/>
      <c r="U30" s="2026">
        <f>ROUND(SUM(U26+U27+U28+U29),1)</f>
        <v>0</v>
      </c>
      <c r="V30" s="1426"/>
      <c r="W30" s="2026">
        <f>ROUND(SUM(W26+W27+W28+W29),1)</f>
        <v>0</v>
      </c>
      <c r="X30" s="1426"/>
      <c r="Y30" s="2026">
        <f>ROUND(SUM(Y26+Y27+Y28+Y29),1)</f>
        <v>0</v>
      </c>
      <c r="Z30" s="1426"/>
      <c r="AA30" s="2739"/>
      <c r="AB30" s="1446">
        <f>ROUND(SUM(AB26+AB27+AB28+AB29),1)</f>
        <v>35795.199999999997</v>
      </c>
      <c r="AC30" s="3065"/>
      <c r="AD30" s="3357"/>
      <c r="AE30" s="1446">
        <f>ROUND(SUM(AE26+AE27+AE28+AE29),1)</f>
        <v>26859</v>
      </c>
      <c r="AF30" s="3318"/>
      <c r="AG30" s="3318"/>
      <c r="AH30" s="1446">
        <f>ROUND(SUM(AH26+AH27+AH28-AH29),1)</f>
        <v>8936.2000000000007</v>
      </c>
      <c r="AI30" s="3321"/>
      <c r="AJ30" s="2522">
        <f>ROUND(SUM(+AH30/ABS(AE30)),3)</f>
        <v>0.33300000000000002</v>
      </c>
    </row>
    <row r="31" spans="1:36" ht="15.5">
      <c r="A31" s="2437" t="s">
        <v>1056</v>
      </c>
      <c r="B31" s="1426"/>
      <c r="C31" s="1426"/>
      <c r="D31" s="1426"/>
      <c r="E31" s="1426"/>
      <c r="F31" s="1426"/>
      <c r="G31" s="1426"/>
      <c r="H31" s="1426"/>
      <c r="I31" s="1426"/>
      <c r="J31" s="1426"/>
      <c r="K31" s="1426"/>
      <c r="L31" s="1426"/>
      <c r="M31" s="1426"/>
      <c r="N31" s="1426"/>
      <c r="O31" s="3065"/>
      <c r="P31" s="1426"/>
      <c r="Q31" s="1426"/>
      <c r="R31" s="1426"/>
      <c r="S31" s="1426"/>
      <c r="T31" s="1426"/>
      <c r="U31" s="1426"/>
      <c r="V31" s="1426"/>
      <c r="W31" s="1426"/>
      <c r="X31" s="1426"/>
      <c r="Y31" s="1426"/>
      <c r="Z31" s="1426"/>
      <c r="AA31" s="2739"/>
      <c r="AB31" s="3065"/>
      <c r="AC31" s="3065"/>
      <c r="AD31" s="3357"/>
      <c r="AE31" s="3107"/>
      <c r="AF31" s="3318"/>
      <c r="AG31" s="3318"/>
      <c r="AH31" s="3320"/>
      <c r="AI31" s="3065"/>
      <c r="AJ31" s="3320"/>
    </row>
    <row r="32" spans="1:36" ht="15.5">
      <c r="A32" s="2215" t="s">
        <v>1009</v>
      </c>
      <c r="B32" s="1426"/>
      <c r="C32" s="1425">
        <f>+'Exhibit F'!D28+'Exhibit H'!B19+'Exhibit G State'!D20</f>
        <v>1297.4000000000001</v>
      </c>
      <c r="D32" s="1425"/>
      <c r="E32" s="1425">
        <f>+'Exhibit F'!F28+'Exhibit H'!D19+'Exhibit G State'!F20</f>
        <v>1261.4000000000001</v>
      </c>
      <c r="F32" s="1425"/>
      <c r="G32" s="1425">
        <f>+'Exhibit F'!H28+'Exhibit H'!F19+'Exhibit G State'!H20</f>
        <v>1711.7</v>
      </c>
      <c r="H32" s="1425"/>
      <c r="I32" s="1425">
        <f>+'Exhibit F'!J28+'Exhibit H'!H19+'Exhibit G State'!J20</f>
        <v>1382.9</v>
      </c>
      <c r="J32" s="1425"/>
      <c r="K32" s="1425">
        <f>+'Exhibit F'!L28+'Exhibit H'!J19+'Exhibit G State'!L20</f>
        <v>1334.7999999999993</v>
      </c>
      <c r="L32" s="1426"/>
      <c r="M32" s="1425">
        <f>+'Exhibit F'!N28+'Exhibit H'!L19+'Exhibit G State'!N20</f>
        <v>1739.7000000000012</v>
      </c>
      <c r="N32" s="1426"/>
      <c r="O32" s="3107"/>
      <c r="P32" s="1426"/>
      <c r="Q32" s="1425"/>
      <c r="R32" s="1426"/>
      <c r="S32" s="1425"/>
      <c r="T32" s="1426"/>
      <c r="U32" s="1425"/>
      <c r="V32" s="1426"/>
      <c r="W32" s="1425"/>
      <c r="X32" s="1426"/>
      <c r="Y32" s="1425"/>
      <c r="Z32" s="1426"/>
      <c r="AA32" s="2739"/>
      <c r="AB32" s="3107">
        <f t="shared" ref="AB32:AB38" si="3">ROUND(SUM(C32:Y32),1)</f>
        <v>8727.9</v>
      </c>
      <c r="AC32" s="3065"/>
      <c r="AD32" s="3357"/>
      <c r="AE32" s="3107">
        <f>+'Exhibit F'!AF28+'Exhibit H'!AD19+'Exhibit G State'!AG20</f>
        <v>6689.2</v>
      </c>
      <c r="AF32" s="3318"/>
      <c r="AG32" s="3318"/>
      <c r="AH32" s="1984">
        <f t="shared" ref="AH32:AH38" si="4">ROUND(SUM(+AB32-AE32),1)</f>
        <v>2038.7</v>
      </c>
      <c r="AI32" s="2442"/>
      <c r="AJ32" s="1802">
        <f>ROUND(SUM(+AH32/ABS(AE32)),3)</f>
        <v>0.30499999999999999</v>
      </c>
    </row>
    <row r="33" spans="1:36" ht="15.5">
      <c r="A33" s="2215" t="s">
        <v>1010</v>
      </c>
      <c r="B33" s="1426"/>
      <c r="C33" s="1425">
        <f>+'Exhibit F'!D29+'Exhibit G State'!D21</f>
        <v>-0.2</v>
      </c>
      <c r="D33" s="1425"/>
      <c r="E33" s="1425">
        <f>+'Exhibit F'!F29+'Exhibit G State'!F21</f>
        <v>0</v>
      </c>
      <c r="F33" s="1425"/>
      <c r="G33" s="1425">
        <f>+'Exhibit F'!H29+'Exhibit G State'!H21</f>
        <v>5.1000000000000005</v>
      </c>
      <c r="H33" s="1425"/>
      <c r="I33" s="1425">
        <f>+'Exhibit F'!J29+'Exhibit G State'!J21</f>
        <v>0</v>
      </c>
      <c r="J33" s="1425"/>
      <c r="K33" s="1425">
        <f>+'Exhibit F'!L29+'Exhibit G State'!L21</f>
        <v>0</v>
      </c>
      <c r="L33" s="1426"/>
      <c r="M33" s="1425">
        <f>+'Exhibit F'!N29+'Exhibit G State'!N21</f>
        <v>7.6999999999999984</v>
      </c>
      <c r="N33" s="1426"/>
      <c r="O33" s="3107"/>
      <c r="P33" s="1426"/>
      <c r="Q33" s="1425"/>
      <c r="R33" s="1426"/>
      <c r="S33" s="1425"/>
      <c r="T33" s="1426"/>
      <c r="U33" s="1425"/>
      <c r="V33" s="1426"/>
      <c r="W33" s="1425"/>
      <c r="X33" s="1426"/>
      <c r="Y33" s="1425"/>
      <c r="Z33" s="1426"/>
      <c r="AA33" s="2739"/>
      <c r="AB33" s="3107">
        <f t="shared" si="3"/>
        <v>12.6</v>
      </c>
      <c r="AC33" s="3065"/>
      <c r="AD33" s="3357"/>
      <c r="AE33" s="3107">
        <f>+'Exhibit F'!AF29+'Exhibit G State'!AG21</f>
        <v>4.9000000000000004</v>
      </c>
      <c r="AF33" s="3318"/>
      <c r="AG33" s="3318"/>
      <c r="AH33" s="1984">
        <f t="shared" si="4"/>
        <v>7.7</v>
      </c>
      <c r="AI33" s="2442"/>
      <c r="AJ33" s="1708">
        <f>ROUND(IF(AE33=0,1,AH33/ABS(AE33)),3)</f>
        <v>1.571</v>
      </c>
    </row>
    <row r="34" spans="1:36" ht="15.5">
      <c r="A34" s="2215" t="s">
        <v>1011</v>
      </c>
      <c r="B34" s="1426"/>
      <c r="C34" s="1425">
        <f>+'Exhibit F'!D30+'Exhibit G State'!D22</f>
        <v>98.300000000000011</v>
      </c>
      <c r="D34" s="1425"/>
      <c r="E34" s="1425">
        <f>+'Exhibit F'!F30+'Exhibit G State'!F22</f>
        <v>76.599999999999994</v>
      </c>
      <c r="F34" s="1425"/>
      <c r="G34" s="1425">
        <f>+'Exhibit F'!H30+'Exhibit G State'!H22</f>
        <v>90.6</v>
      </c>
      <c r="H34" s="1425"/>
      <c r="I34" s="1425">
        <f>+'Exhibit F'!J30+'Exhibit G State'!J22</f>
        <v>85.4</v>
      </c>
      <c r="J34" s="1425"/>
      <c r="K34" s="1425">
        <f>+'Exhibit F'!L30+'Exhibit G State'!L22</f>
        <v>88.3</v>
      </c>
      <c r="L34" s="1426"/>
      <c r="M34" s="1425">
        <f>+'Exhibit F'!N30+'Exhibit G State'!N22</f>
        <v>82.80000000000004</v>
      </c>
      <c r="N34" s="1426"/>
      <c r="O34" s="3107"/>
      <c r="P34" s="1426"/>
      <c r="Q34" s="1425"/>
      <c r="R34" s="1426"/>
      <c r="S34" s="1425"/>
      <c r="T34" s="1426"/>
      <c r="U34" s="1425"/>
      <c r="V34" s="1426"/>
      <c r="W34" s="1425"/>
      <c r="X34" s="1426"/>
      <c r="Y34" s="1425"/>
      <c r="Z34" s="1426"/>
      <c r="AA34" s="2739"/>
      <c r="AB34" s="3107">
        <f t="shared" si="3"/>
        <v>522</v>
      </c>
      <c r="AC34" s="3065"/>
      <c r="AD34" s="3357"/>
      <c r="AE34" s="3107">
        <f>+'Exhibit F'!AF30+'Exhibit G State'!AG22</f>
        <v>547.1</v>
      </c>
      <c r="AF34" s="3318"/>
      <c r="AG34" s="3318"/>
      <c r="AH34" s="1984">
        <f t="shared" si="4"/>
        <v>-25.1</v>
      </c>
      <c r="AI34" s="2442"/>
      <c r="AJ34" s="1802">
        <f>ROUND(SUM(+AH34/ABS(AE34)),3)</f>
        <v>-4.5999999999999999E-2</v>
      </c>
    </row>
    <row r="35" spans="1:36" ht="15.5">
      <c r="A35" s="2215" t="s">
        <v>1153</v>
      </c>
      <c r="B35" s="1426"/>
      <c r="C35" s="1425">
        <f>'Exhibit G State'!D23</f>
        <v>1.5</v>
      </c>
      <c r="D35" s="1425"/>
      <c r="E35" s="1425">
        <f>'Exhibit G State'!F23</f>
        <v>1.1000000000000001</v>
      </c>
      <c r="F35" s="1425"/>
      <c r="G35" s="1425">
        <f>'Exhibit G State'!H23</f>
        <v>1.1000000000000001</v>
      </c>
      <c r="H35" s="1425"/>
      <c r="I35" s="1425">
        <f>'Exhibit G State'!J23</f>
        <v>0.90000000000000036</v>
      </c>
      <c r="J35" s="1425"/>
      <c r="K35" s="1425">
        <f>'Exhibit G State'!L23</f>
        <v>1.0999999999999996</v>
      </c>
      <c r="L35" s="1426"/>
      <c r="M35" s="1425">
        <f>'Exhibit G State'!N23</f>
        <v>0.99999999999999956</v>
      </c>
      <c r="N35" s="1426"/>
      <c r="O35" s="3107"/>
      <c r="P35" s="1426"/>
      <c r="Q35" s="1425"/>
      <c r="R35" s="1426"/>
      <c r="S35" s="1425"/>
      <c r="T35" s="1426"/>
      <c r="U35" s="1425"/>
      <c r="V35" s="1426"/>
      <c r="W35" s="1425"/>
      <c r="X35" s="1426"/>
      <c r="Y35" s="1425"/>
      <c r="Z35" s="1426"/>
      <c r="AA35" s="2739"/>
      <c r="AB35" s="3107">
        <f t="shared" si="3"/>
        <v>6.7</v>
      </c>
      <c r="AC35" s="3065"/>
      <c r="AD35" s="3357"/>
      <c r="AE35" s="3107">
        <f>'Exhibit G State'!AG23</f>
        <v>3.9</v>
      </c>
      <c r="AF35" s="3318"/>
      <c r="AG35" s="3318"/>
      <c r="AH35" s="1984">
        <f>ROUND(SUM(+AB35-AE35),1)</f>
        <v>2.8</v>
      </c>
      <c r="AI35" s="2442"/>
      <c r="AJ35" s="1708">
        <f>ROUND(IF(AE35=0,1,AH35/ABS(AE35)),3)</f>
        <v>0.71799999999999997</v>
      </c>
    </row>
    <row r="36" spans="1:36" ht="15.5">
      <c r="A36" s="2215" t="s">
        <v>1012</v>
      </c>
      <c r="B36" s="1426"/>
      <c r="C36" s="1425">
        <f>+'Exhibit F'!D31+'Exhibit G State'!D24</f>
        <v>7.2</v>
      </c>
      <c r="D36" s="1425"/>
      <c r="E36" s="1425">
        <f>+'Exhibit F'!F31+'Exhibit G State'!F24</f>
        <v>8.6000000000000014</v>
      </c>
      <c r="F36" s="1425"/>
      <c r="G36" s="1425">
        <f>+'Exhibit F'!H31+'Exhibit G State'!H24</f>
        <v>9.8999999999999986</v>
      </c>
      <c r="H36" s="1425"/>
      <c r="I36" s="1425">
        <f>+'Exhibit F'!J31+'Exhibit G State'!J24</f>
        <v>9.5000000000000036</v>
      </c>
      <c r="J36" s="1425"/>
      <c r="K36" s="1425">
        <f>+'Exhibit F'!L31+'Exhibit G State'!L24</f>
        <v>9.6999999999999922</v>
      </c>
      <c r="L36" s="1426"/>
      <c r="M36" s="1425">
        <f>+'Exhibit F'!N31+'Exhibit G State'!N24</f>
        <v>10.200000000000003</v>
      </c>
      <c r="N36" s="1426"/>
      <c r="O36" s="3107"/>
      <c r="P36" s="1426"/>
      <c r="Q36" s="1425"/>
      <c r="R36" s="1426"/>
      <c r="S36" s="1425"/>
      <c r="T36" s="1426"/>
      <c r="U36" s="1425"/>
      <c r="V36" s="1426"/>
      <c r="W36" s="1425"/>
      <c r="X36" s="1426"/>
      <c r="Y36" s="1425"/>
      <c r="Z36" s="1426"/>
      <c r="AA36" s="2739"/>
      <c r="AB36" s="3107">
        <f t="shared" si="3"/>
        <v>55.1</v>
      </c>
      <c r="AC36" s="3065"/>
      <c r="AD36" s="3357"/>
      <c r="AE36" s="3107">
        <f>+'Exhibit F'!AF31+'Exhibit G State'!AG24</f>
        <v>44.3</v>
      </c>
      <c r="AF36" s="3318"/>
      <c r="AG36" s="3318"/>
      <c r="AH36" s="1984">
        <f t="shared" si="4"/>
        <v>10.8</v>
      </c>
      <c r="AI36" s="2442"/>
      <c r="AJ36" s="1802">
        <f>ROUND(SUM(+AH36/ABS(AE36)),3)</f>
        <v>0.24399999999999999</v>
      </c>
    </row>
    <row r="37" spans="1:36" ht="15.5">
      <c r="A37" s="2215" t="s">
        <v>1013</v>
      </c>
      <c r="B37" s="1426"/>
      <c r="C37" s="1425">
        <f>+'Exhibit F'!D32+'Exhibit G State'!D25</f>
        <v>23</v>
      </c>
      <c r="D37" s="1425"/>
      <c r="E37" s="1425">
        <f>+'Exhibit F'!F32+'Exhibit G State'!F25</f>
        <v>21.799999999999997</v>
      </c>
      <c r="F37" s="1425"/>
      <c r="G37" s="1425">
        <f>+'Exhibit F'!H32+'Exhibit G State'!H25</f>
        <v>21.700000000000003</v>
      </c>
      <c r="H37" s="1425"/>
      <c r="I37" s="1425">
        <f>+'Exhibit F'!J32+'Exhibit G State'!J25</f>
        <v>29.700000000000003</v>
      </c>
      <c r="J37" s="1425"/>
      <c r="K37" s="1425">
        <f>+'Exhibit F'!L32+'Exhibit G State'!L25</f>
        <v>22.700000000000003</v>
      </c>
      <c r="L37" s="1426"/>
      <c r="M37" s="1425">
        <f>+'Exhibit F'!N32+'Exhibit G State'!N25</f>
        <v>25.299999999999983</v>
      </c>
      <c r="N37" s="1426"/>
      <c r="O37" s="3107"/>
      <c r="P37" s="1426"/>
      <c r="Q37" s="1425"/>
      <c r="R37" s="1426"/>
      <c r="S37" s="1425"/>
      <c r="T37" s="1426"/>
      <c r="U37" s="1425"/>
      <c r="V37" s="1426"/>
      <c r="W37" s="1425"/>
      <c r="X37" s="1426"/>
      <c r="Y37" s="1425"/>
      <c r="Z37" s="1426"/>
      <c r="AA37" s="2739"/>
      <c r="AB37" s="3107">
        <f t="shared" si="3"/>
        <v>144.19999999999999</v>
      </c>
      <c r="AC37" s="3065"/>
      <c r="AD37" s="3357"/>
      <c r="AE37" s="3107">
        <f>+'Exhibit F'!AF32+'Exhibit G State'!AG25</f>
        <v>143.30000000000001</v>
      </c>
      <c r="AF37" s="3318"/>
      <c r="AG37" s="3318"/>
      <c r="AH37" s="1984">
        <f t="shared" si="4"/>
        <v>0.9</v>
      </c>
      <c r="AI37" s="2442"/>
      <c r="AJ37" s="1802">
        <f>ROUND(SUM(+AH37/ABS(AE37)),3)</f>
        <v>6.0000000000000001E-3</v>
      </c>
    </row>
    <row r="38" spans="1:36" ht="15.5">
      <c r="A38" s="2215" t="s">
        <v>1014</v>
      </c>
      <c r="B38" s="1426"/>
      <c r="C38" s="1425">
        <f>+'Exhibit F'!D33+'Exhibit G State'!D26</f>
        <v>0.1</v>
      </c>
      <c r="D38" s="1425"/>
      <c r="E38" s="1425">
        <f>+'Exhibit F'!F33+'Exhibit G State'!F26</f>
        <v>0</v>
      </c>
      <c r="F38" s="1425"/>
      <c r="G38" s="1425">
        <f>+'Exhibit F'!H33+'Exhibit G State'!H26</f>
        <v>0</v>
      </c>
      <c r="H38" s="1425"/>
      <c r="I38" s="1425">
        <f>+'Exhibit F'!J33+'Exhibit G State'!J26</f>
        <v>0.1</v>
      </c>
      <c r="J38" s="1425"/>
      <c r="K38" s="1425">
        <f>+'Exhibit F'!L33+'Exhibit G State'!L26</f>
        <v>0</v>
      </c>
      <c r="L38" s="1426"/>
      <c r="M38" s="1425">
        <f>+'Exhibit F'!N33+'Exhibit G State'!N26</f>
        <v>9.9999999999999978E-2</v>
      </c>
      <c r="N38" s="1426"/>
      <c r="O38" s="3107"/>
      <c r="P38" s="1426"/>
      <c r="Q38" s="1425"/>
      <c r="R38" s="1426"/>
      <c r="S38" s="1425"/>
      <c r="T38" s="1426"/>
      <c r="U38" s="1425"/>
      <c r="V38" s="1426"/>
      <c r="W38" s="1425"/>
      <c r="X38" s="1426"/>
      <c r="Y38" s="1425"/>
      <c r="Z38" s="1426"/>
      <c r="AA38" s="2739"/>
      <c r="AB38" s="3107">
        <f t="shared" si="3"/>
        <v>0.3</v>
      </c>
      <c r="AC38" s="3065"/>
      <c r="AD38" s="3357"/>
      <c r="AE38" s="3107">
        <f>+'Exhibit F'!AF33+'Exhibit G State'!AG26</f>
        <v>0.2</v>
      </c>
      <c r="AF38" s="3318"/>
      <c r="AG38" s="3318"/>
      <c r="AH38" s="1984">
        <f t="shared" si="4"/>
        <v>0.1</v>
      </c>
      <c r="AI38" s="2442"/>
      <c r="AJ38" s="1713">
        <f>ROUND(IF(AE38=0,1,AH38/ABS(AE38)),3)</f>
        <v>0.5</v>
      </c>
    </row>
    <row r="39" spans="1:36" ht="15.5">
      <c r="A39" s="2215" t="s">
        <v>1350</v>
      </c>
      <c r="B39" s="1426"/>
      <c r="C39" s="1425">
        <f>'Exhibit F'!D34+'Exhibit G'!D27</f>
        <v>0.2</v>
      </c>
      <c r="D39" s="1425"/>
      <c r="E39" s="1425">
        <f>'Exhibit F'!F34+'Exhibit G'!F27</f>
        <v>0</v>
      </c>
      <c r="F39" s="1425"/>
      <c r="G39" s="1425">
        <f>'Exhibit F'!H34+'Exhibit G'!H27</f>
        <v>6.6</v>
      </c>
      <c r="H39" s="1425"/>
      <c r="I39" s="1425">
        <f>'Exhibit F'!J34+'Exhibit G'!J27</f>
        <v>0.20000000000000018</v>
      </c>
      <c r="J39" s="1425"/>
      <c r="K39" s="1425">
        <f>'Exhibit F'!L34+'Exhibit G'!L27</f>
        <v>0</v>
      </c>
      <c r="L39" s="1426"/>
      <c r="M39" s="1425">
        <f>'Exhibit F'!N34+'Exhibit G'!N27</f>
        <v>7.8000000000000016</v>
      </c>
      <c r="N39" s="1426"/>
      <c r="O39" s="3107"/>
      <c r="P39" s="1426"/>
      <c r="Q39" s="1425"/>
      <c r="R39" s="1426"/>
      <c r="S39" s="1425"/>
      <c r="T39" s="1426"/>
      <c r="U39" s="1425"/>
      <c r="V39" s="1426"/>
      <c r="W39" s="1425"/>
      <c r="X39" s="1426"/>
      <c r="Y39" s="1425"/>
      <c r="Z39" s="1426"/>
      <c r="AA39" s="2739"/>
      <c r="AB39" s="3107">
        <f>ROUND(SUM(C39:Y39),1)</f>
        <v>14.8</v>
      </c>
      <c r="AC39" s="3065"/>
      <c r="AD39" s="3357"/>
      <c r="AE39" s="3107">
        <f>+'Exhibit F'!AF34+'Exhibit G State'!AG27</f>
        <v>18.7</v>
      </c>
      <c r="AF39" s="3318"/>
      <c r="AG39" s="3318"/>
      <c r="AH39" s="1984">
        <f>ROUND(SUM(+AB39-AE39),1)</f>
        <v>-3.9</v>
      </c>
      <c r="AI39" s="2442"/>
      <c r="AJ39" s="1713">
        <f>ROUND(IF(AE39=0,1,AH39/ABS(AE39)),3)</f>
        <v>-0.20899999999999999</v>
      </c>
    </row>
    <row r="40" spans="1:36" ht="15.5">
      <c r="A40" s="2215" t="s">
        <v>1351</v>
      </c>
      <c r="B40" s="1426"/>
      <c r="C40" s="1425">
        <f>'Exhibit F'!D35</f>
        <v>6.7</v>
      </c>
      <c r="D40" s="1425"/>
      <c r="E40" s="1425">
        <f>'Exhibit F'!F35</f>
        <v>9.9999999999999645E-2</v>
      </c>
      <c r="F40" s="1425"/>
      <c r="G40" s="1425">
        <f>'Exhibit F'!H35</f>
        <v>0</v>
      </c>
      <c r="H40" s="1425"/>
      <c r="I40" s="1425">
        <f>'Exhibit F'!J35</f>
        <v>7.5000000000000009</v>
      </c>
      <c r="J40" s="1425"/>
      <c r="K40" s="1425">
        <f>'Exhibit F'!L35</f>
        <v>0</v>
      </c>
      <c r="L40" s="1426"/>
      <c r="M40" s="1425">
        <f>'Exhibit F'!N35</f>
        <v>0</v>
      </c>
      <c r="N40" s="1426"/>
      <c r="O40" s="3107"/>
      <c r="P40" s="1426"/>
      <c r="Q40" s="1425"/>
      <c r="R40" s="1426"/>
      <c r="S40" s="1425"/>
      <c r="T40" s="1426"/>
      <c r="U40" s="1425"/>
      <c r="V40" s="1426"/>
      <c r="W40" s="1425"/>
      <c r="X40" s="1426"/>
      <c r="Y40" s="1425"/>
      <c r="Z40" s="1426"/>
      <c r="AA40" s="2739"/>
      <c r="AB40" s="3107">
        <f t="shared" ref="AB40" si="5">ROUND(SUM(C40:Y40),1)</f>
        <v>14.3</v>
      </c>
      <c r="AC40" s="3065"/>
      <c r="AD40" s="3357"/>
      <c r="AE40" s="3107">
        <f>+'Exhibit F'!AF35</f>
        <v>16.399999999999999</v>
      </c>
      <c r="AF40" s="3318"/>
      <c r="AG40" s="3318"/>
      <c r="AH40" s="1984">
        <f t="shared" ref="AH40" si="6">ROUND(SUM(+AB40-AE40),1)</f>
        <v>-2.1</v>
      </c>
      <c r="AI40" s="2442"/>
      <c r="AJ40" s="1713">
        <f>ROUND(IF(AE40=0,1,AH40/ABS(AE40)),3)</f>
        <v>-0.128</v>
      </c>
    </row>
    <row r="41" spans="1:36" ht="15.5">
      <c r="A41" s="2447" t="s">
        <v>1008</v>
      </c>
      <c r="B41" s="1426"/>
      <c r="C41" s="2026">
        <f>ROUND(SUM(C32:C40),1)</f>
        <v>1434.2</v>
      </c>
      <c r="D41" s="1426"/>
      <c r="E41" s="2026">
        <f>ROUND(SUM(E32:E40),1)</f>
        <v>1369.6</v>
      </c>
      <c r="F41" s="1426"/>
      <c r="G41" s="2026">
        <f>ROUND(SUM(G32:G40),1)</f>
        <v>1846.7</v>
      </c>
      <c r="H41" s="1426"/>
      <c r="I41" s="2026">
        <f>ROUND(SUM(I32:I40),1)</f>
        <v>1516.2</v>
      </c>
      <c r="J41" s="1426"/>
      <c r="K41" s="2026">
        <f>ROUND(SUM(K32:K40),1)</f>
        <v>1456.6</v>
      </c>
      <c r="L41" s="1426"/>
      <c r="M41" s="2026">
        <f>ROUND(SUM(M32:M40),1)</f>
        <v>1874.6</v>
      </c>
      <c r="N41" s="1426"/>
      <c r="O41" s="1446">
        <f>ROUND(SUM(O32:O40),1)</f>
        <v>0</v>
      </c>
      <c r="P41" s="1426"/>
      <c r="Q41" s="2026">
        <f>ROUND(SUM(Q32:Q40),1)</f>
        <v>0</v>
      </c>
      <c r="R41" s="1426"/>
      <c r="S41" s="2026">
        <f>ROUND(SUM(S32:S40),1)</f>
        <v>0</v>
      </c>
      <c r="T41" s="1426"/>
      <c r="U41" s="2026">
        <f>ROUND(SUM(U32:U40),1)</f>
        <v>0</v>
      </c>
      <c r="V41" s="1426"/>
      <c r="W41" s="2026">
        <f>ROUND(SUM(W32:W40),1)</f>
        <v>0</v>
      </c>
      <c r="X41" s="1426"/>
      <c r="Y41" s="2026">
        <f>ROUND(SUM(Y32:Y40),1)</f>
        <v>0</v>
      </c>
      <c r="Z41" s="1426"/>
      <c r="AA41" s="2739"/>
      <c r="AB41" s="1446">
        <f>ROUND(SUM(AB32:AB40),1)</f>
        <v>9497.9</v>
      </c>
      <c r="AC41" s="3065"/>
      <c r="AD41" s="3357"/>
      <c r="AE41" s="1446">
        <f>ROUND(SUM(AE32:AE40),1)</f>
        <v>7468</v>
      </c>
      <c r="AF41" s="3318"/>
      <c r="AG41" s="3318"/>
      <c r="AH41" s="1446">
        <f>ROUND(SUM(AH32:AH40),1)</f>
        <v>2029.9</v>
      </c>
      <c r="AI41" s="3321"/>
      <c r="AJ41" s="2522">
        <f>ROUND(SUM(+AH41/ABS(AE41)),3)</f>
        <v>0.27200000000000002</v>
      </c>
    </row>
    <row r="42" spans="1:36" ht="15.5">
      <c r="A42" s="2437" t="s">
        <v>1057</v>
      </c>
      <c r="B42" s="1426"/>
      <c r="C42" s="1426"/>
      <c r="D42" s="1426"/>
      <c r="E42" s="1426"/>
      <c r="F42" s="1426"/>
      <c r="G42" s="1426"/>
      <c r="H42" s="1426"/>
      <c r="I42" s="1426"/>
      <c r="J42" s="1426"/>
      <c r="K42" s="1426"/>
      <c r="L42" s="1426"/>
      <c r="M42" s="1426"/>
      <c r="N42" s="1426"/>
      <c r="O42" s="3065"/>
      <c r="P42" s="1426"/>
      <c r="Q42" s="1426"/>
      <c r="R42" s="1426"/>
      <c r="S42" s="1426"/>
      <c r="T42" s="1426"/>
      <c r="U42" s="1426"/>
      <c r="V42" s="1426"/>
      <c r="W42" s="1426"/>
      <c r="X42" s="1426"/>
      <c r="Y42" s="1426"/>
      <c r="Z42" s="1426"/>
      <c r="AA42" s="2739"/>
      <c r="AB42" s="3065"/>
      <c r="AC42" s="3065"/>
      <c r="AD42" s="3357"/>
      <c r="AE42" s="3107"/>
      <c r="AF42" s="3318"/>
      <c r="AG42" s="3318"/>
      <c r="AH42" s="3320"/>
      <c r="AI42" s="3065"/>
      <c r="AJ42" s="3320"/>
    </row>
    <row r="43" spans="1:36" ht="15.5">
      <c r="A43" s="2215" t="s">
        <v>1016</v>
      </c>
      <c r="B43" s="1426"/>
      <c r="C43" s="1425">
        <f>+'Exhibit F'!D38+'Exhibit G State'!D30</f>
        <v>768.4</v>
      </c>
      <c r="D43" s="1425"/>
      <c r="E43" s="1425">
        <f>+'Exhibit F'!F38+'Exhibit G State'!F30</f>
        <v>106.00000000000006</v>
      </c>
      <c r="F43" s="1425"/>
      <c r="G43" s="1425">
        <f>+'Exhibit F'!H38+'Exhibit G State'!H30</f>
        <v>1452.1</v>
      </c>
      <c r="H43" s="1425"/>
      <c r="I43" s="1425">
        <f>+'Exhibit F'!J38+'Exhibit G State'!J30</f>
        <v>274.00000000000011</v>
      </c>
      <c r="J43" s="1425"/>
      <c r="K43" s="1425">
        <f>+'Exhibit F'!L38+'Exhibit G State'!L30</f>
        <v>28.500000000000114</v>
      </c>
      <c r="L43" s="1425"/>
      <c r="M43" s="1425">
        <f>+'Exhibit F'!N38+'Exhibit G State'!N30</f>
        <v>1477.1</v>
      </c>
      <c r="N43" s="1426"/>
      <c r="O43" s="3107"/>
      <c r="P43" s="1426"/>
      <c r="Q43" s="1425"/>
      <c r="R43" s="1426"/>
      <c r="S43" s="1425"/>
      <c r="T43" s="1426"/>
      <c r="U43" s="1425"/>
      <c r="V43" s="1426"/>
      <c r="W43" s="1425"/>
      <c r="X43" s="1426"/>
      <c r="Y43" s="1425"/>
      <c r="Z43" s="1426"/>
      <c r="AA43" s="2739"/>
      <c r="AB43" s="3107">
        <f>ROUND(SUM(C43:Y43),1)</f>
        <v>4106.1000000000004</v>
      </c>
      <c r="AC43" s="3065"/>
      <c r="AD43" s="3357"/>
      <c r="AE43" s="3107">
        <f>+'Exhibit F'!AF38+'Exhibit G State'!AG30</f>
        <v>2270.8000000000002</v>
      </c>
      <c r="AF43" s="3318"/>
      <c r="AG43" s="3318"/>
      <c r="AH43" s="1984">
        <f t="shared" ref="AH43:AH54" si="7">ROUND(SUM(+AB43-AE43),1)</f>
        <v>1835.3</v>
      </c>
      <c r="AI43" s="2442"/>
      <c r="AJ43" s="1802">
        <f t="shared" ref="AJ43:AJ48" si="8">ROUND(SUM(+AH43/ABS(AE43)),3)</f>
        <v>0.80800000000000005</v>
      </c>
    </row>
    <row r="44" spans="1:36" ht="15.5">
      <c r="A44" s="2215" t="s">
        <v>1017</v>
      </c>
      <c r="B44" s="1426"/>
      <c r="C44" s="1425">
        <f>+'Exhibit G State'!D31+'Exhibit F'!D39</f>
        <v>47.900000000000006</v>
      </c>
      <c r="D44" s="1425"/>
      <c r="E44" s="1425">
        <f>+'Exhibit G State'!F31+'Exhibit F'!F39</f>
        <v>1.0999999999999979</v>
      </c>
      <c r="F44" s="1425"/>
      <c r="G44" s="1425">
        <f>+'Exhibit G State'!H31+'Exhibit F'!H39</f>
        <v>81.800000000000011</v>
      </c>
      <c r="H44" s="1425"/>
      <c r="I44" s="1425">
        <f>+'Exhibit G State'!J31+'Exhibit F'!J39</f>
        <v>-6.1999999999999993</v>
      </c>
      <c r="J44" s="1425"/>
      <c r="K44" s="1425">
        <f>+'Exhibit G State'!L31+'Exhibit F'!L39</f>
        <v>-0.90000000000000924</v>
      </c>
      <c r="L44" s="1425"/>
      <c r="M44" s="1425">
        <f>+'Exhibit G State'!N31+'Exhibit F'!N39</f>
        <v>103</v>
      </c>
      <c r="N44" s="1426"/>
      <c r="O44" s="3107"/>
      <c r="P44" s="1426"/>
      <c r="Q44" s="1425"/>
      <c r="R44" s="1426"/>
      <c r="S44" s="1425"/>
      <c r="T44" s="1426"/>
      <c r="U44" s="1425"/>
      <c r="V44" s="1426"/>
      <c r="W44" s="1425"/>
      <c r="X44" s="1426"/>
      <c r="Y44" s="1425"/>
      <c r="Z44" s="1426"/>
      <c r="AA44" s="2739"/>
      <c r="AB44" s="3107">
        <f>ROUND(SUM(C44:Y44),1)</f>
        <v>226.7</v>
      </c>
      <c r="AC44" s="3065"/>
      <c r="AD44" s="3357"/>
      <c r="AE44" s="3107">
        <f>+'Exhibit G State'!AG31+'Exhibit F'!AF39</f>
        <v>236.3</v>
      </c>
      <c r="AF44" s="3318"/>
      <c r="AG44" s="3318"/>
      <c r="AH44" s="1984">
        <f t="shared" si="7"/>
        <v>-9.6</v>
      </c>
      <c r="AI44" s="2442"/>
      <c r="AJ44" s="1802">
        <f t="shared" si="8"/>
        <v>-4.1000000000000002E-2</v>
      </c>
    </row>
    <row r="45" spans="1:36" ht="15.5">
      <c r="A45" s="2215" t="s">
        <v>1018</v>
      </c>
      <c r="B45" s="1426"/>
      <c r="C45" s="1425">
        <f>+'Exhibit F'!D40+'Exhibit G State'!D32</f>
        <v>64.2</v>
      </c>
      <c r="D45" s="1425"/>
      <c r="E45" s="1425">
        <f>+'Exhibit F'!F40+'Exhibit G State'!F32</f>
        <v>57.3</v>
      </c>
      <c r="F45" s="1425"/>
      <c r="G45" s="1425">
        <f>+'Exhibit F'!H40+'Exhibit G State'!H32</f>
        <v>373.2</v>
      </c>
      <c r="H45" s="1425"/>
      <c r="I45" s="1425">
        <f>+'Exhibit F'!J40+'Exhibit G State'!J32</f>
        <v>15.900000000000034</v>
      </c>
      <c r="J45" s="1425"/>
      <c r="K45" s="1425">
        <f>+'Exhibit F'!L40+'Exhibit G State'!L32</f>
        <v>52.800000000000011</v>
      </c>
      <c r="L45" s="1425"/>
      <c r="M45" s="1425">
        <f>+'Exhibit F'!N40+'Exhibit G State'!N32</f>
        <v>453.60000000000014</v>
      </c>
      <c r="N45" s="1426"/>
      <c r="O45" s="3107"/>
      <c r="P45" s="1426"/>
      <c r="Q45" s="1425"/>
      <c r="R45" s="1426"/>
      <c r="S45" s="1425"/>
      <c r="T45" s="1426"/>
      <c r="U45" s="1425"/>
      <c r="V45" s="1426"/>
      <c r="W45" s="1425"/>
      <c r="X45" s="1426"/>
      <c r="Y45" s="1425"/>
      <c r="Z45" s="1426"/>
      <c r="AA45" s="2739"/>
      <c r="AB45" s="3107">
        <f>ROUND(SUM(C45:Y45),1)</f>
        <v>1017</v>
      </c>
      <c r="AC45" s="3065"/>
      <c r="AD45" s="3357"/>
      <c r="AE45" s="3107">
        <f>+'Exhibit F'!AF40+'Exhibit G State'!AG32</f>
        <v>881.7</v>
      </c>
      <c r="AF45" s="3318"/>
      <c r="AG45" s="3318"/>
      <c r="AH45" s="1984">
        <f t="shared" si="7"/>
        <v>135.30000000000001</v>
      </c>
      <c r="AI45" s="2442"/>
      <c r="AJ45" s="1802">
        <f t="shared" si="8"/>
        <v>0.153</v>
      </c>
    </row>
    <row r="46" spans="1:36" ht="15.5">
      <c r="A46" s="2215" t="s">
        <v>1019</v>
      </c>
      <c r="B46" s="1426"/>
      <c r="C46" s="1425">
        <f>+'Exhibit F'!D41+'Exhibit G State'!D33</f>
        <v>17.3</v>
      </c>
      <c r="D46" s="1425"/>
      <c r="E46" s="1425">
        <f>+'Exhibit F'!F41+'Exhibit G State'!F33</f>
        <v>-20.099999999999998</v>
      </c>
      <c r="F46" s="1425"/>
      <c r="G46" s="1425">
        <f>+'Exhibit F'!H41+'Exhibit G State'!H33</f>
        <v>10.199999999999998</v>
      </c>
      <c r="H46" s="1425"/>
      <c r="I46" s="1425">
        <f>+'Exhibit F'!J41+'Exhibit G State'!J33</f>
        <v>0.20000000000000107</v>
      </c>
      <c r="J46" s="1425"/>
      <c r="K46" s="1425">
        <f>+'Exhibit F'!L41+'Exhibit G State'!L33</f>
        <v>0</v>
      </c>
      <c r="L46" s="1425"/>
      <c r="M46" s="1425">
        <f>+'Exhibit F'!N41+'Exhibit G State'!N33</f>
        <v>-0.70000000000000107</v>
      </c>
      <c r="N46" s="1426"/>
      <c r="O46" s="3107"/>
      <c r="P46" s="1426"/>
      <c r="Q46" s="1425"/>
      <c r="R46" s="1426"/>
      <c r="S46" s="1425"/>
      <c r="T46" s="1426"/>
      <c r="U46" s="1425"/>
      <c r="V46" s="1426"/>
      <c r="W46" s="1425"/>
      <c r="X46" s="1426"/>
      <c r="Y46" s="1425"/>
      <c r="Z46" s="1426"/>
      <c r="AA46" s="2739"/>
      <c r="AB46" s="3107">
        <f>ROUND(SUM(C46:Y46),1)</f>
        <v>6.9</v>
      </c>
      <c r="AC46" s="3065"/>
      <c r="AD46" s="3357"/>
      <c r="AE46" s="3107">
        <f>+'Exhibit F'!AF41+'Exhibit G State'!AG33</f>
        <v>164.3</v>
      </c>
      <c r="AF46" s="3318"/>
      <c r="AG46" s="3318"/>
      <c r="AH46" s="1984">
        <f t="shared" si="7"/>
        <v>-157.4</v>
      </c>
      <c r="AI46" s="2442"/>
      <c r="AJ46" s="1813">
        <f t="shared" si="8"/>
        <v>-0.95799999999999996</v>
      </c>
    </row>
    <row r="47" spans="1:36" ht="15.5">
      <c r="A47" s="2215" t="s">
        <v>1020</v>
      </c>
      <c r="B47" s="1426"/>
      <c r="C47" s="1425">
        <f>+'Exhibit F'!D42+'Exhibit G State'!D34</f>
        <v>30.7</v>
      </c>
      <c r="D47" s="1425"/>
      <c r="E47" s="1425">
        <f>+'Exhibit F'!F42+'Exhibit G State'!F34</f>
        <v>39.799999999999997</v>
      </c>
      <c r="F47" s="1425"/>
      <c r="G47" s="1425">
        <f>+'Exhibit F'!H42+'Exhibit G State'!H34</f>
        <v>40.599999999999994</v>
      </c>
      <c r="H47" s="1425"/>
      <c r="I47" s="1425">
        <f>+'Exhibit F'!J42+'Exhibit G State'!J34</f>
        <v>43.700000000000017</v>
      </c>
      <c r="J47" s="1425"/>
      <c r="K47" s="1425">
        <f>+'Exhibit F'!L42+'Exhibit G State'!L34</f>
        <v>42.2</v>
      </c>
      <c r="L47" s="1425"/>
      <c r="M47" s="1425">
        <f>+'Exhibit F'!N42+'Exhibit G State'!N34</f>
        <v>33.799999999999997</v>
      </c>
      <c r="N47" s="1426"/>
      <c r="O47" s="3107"/>
      <c r="P47" s="1426"/>
      <c r="Q47" s="1425"/>
      <c r="R47" s="1426"/>
      <c r="S47" s="1425"/>
      <c r="T47" s="1426"/>
      <c r="U47" s="1425"/>
      <c r="V47" s="1426"/>
      <c r="W47" s="1425"/>
      <c r="X47" s="1426"/>
      <c r="Y47" s="1425"/>
      <c r="Z47" s="1426"/>
      <c r="AA47" s="2739"/>
      <c r="AB47" s="3107">
        <f>ROUND(SUM(C47:Y47),1)</f>
        <v>230.8</v>
      </c>
      <c r="AC47" s="3065"/>
      <c r="AD47" s="3357"/>
      <c r="AE47" s="3107">
        <f>+'Exhibit F'!AF42+'Exhibit G State'!AG34</f>
        <v>206.3</v>
      </c>
      <c r="AF47" s="3318"/>
      <c r="AG47" s="3318"/>
      <c r="AH47" s="1984">
        <f t="shared" si="7"/>
        <v>24.5</v>
      </c>
      <c r="AI47" s="2442"/>
      <c r="AJ47" s="1802">
        <f t="shared" si="8"/>
        <v>0.11899999999999999</v>
      </c>
    </row>
    <row r="48" spans="1:36" ht="15.5">
      <c r="A48" s="2447" t="s">
        <v>1015</v>
      </c>
      <c r="B48" s="1426"/>
      <c r="C48" s="2026">
        <f>ROUND(SUM(C43:C47),1)</f>
        <v>928.5</v>
      </c>
      <c r="D48" s="1426"/>
      <c r="E48" s="2026">
        <f>ROUND(SUM(E43:E47),1)</f>
        <v>184.1</v>
      </c>
      <c r="F48" s="1426"/>
      <c r="G48" s="2026">
        <f>ROUND(SUM(G43:G47),1)</f>
        <v>1957.9</v>
      </c>
      <c r="H48" s="1426"/>
      <c r="I48" s="2026">
        <f>ROUND(SUM(I43:I47),1)</f>
        <v>327.60000000000002</v>
      </c>
      <c r="J48" s="1426"/>
      <c r="K48" s="2026">
        <f>ROUND(SUM(K43:K47),1)</f>
        <v>122.6</v>
      </c>
      <c r="L48" s="1426"/>
      <c r="M48" s="2026">
        <f>ROUND(SUM(M43:M47),1)</f>
        <v>2066.8000000000002</v>
      </c>
      <c r="N48" s="1426"/>
      <c r="O48" s="1446">
        <f>ROUND(SUM(O43:O47),1)</f>
        <v>0</v>
      </c>
      <c r="P48" s="1426"/>
      <c r="Q48" s="2026">
        <f>ROUND(SUM(Q43:Q47),1)</f>
        <v>0</v>
      </c>
      <c r="R48" s="1426"/>
      <c r="S48" s="2026">
        <f>ROUND(SUM(S43:S47),1)</f>
        <v>0</v>
      </c>
      <c r="T48" s="1426"/>
      <c r="U48" s="2026">
        <f>ROUND(SUM(U43:U47),1)</f>
        <v>0</v>
      </c>
      <c r="V48" s="1426"/>
      <c r="W48" s="2026">
        <f>ROUND(SUM(W43:W47),1)</f>
        <v>0</v>
      </c>
      <c r="X48" s="1426"/>
      <c r="Y48" s="2026">
        <f>ROUND(SUM(Y43:Y47),1)</f>
        <v>0</v>
      </c>
      <c r="Z48" s="1426"/>
      <c r="AA48" s="2739"/>
      <c r="AB48" s="1446">
        <f>ROUND(SUM(AB43:AB47),1)</f>
        <v>5587.5</v>
      </c>
      <c r="AC48" s="3065"/>
      <c r="AD48" s="3357"/>
      <c r="AE48" s="1446">
        <f>ROUND(SUM(AE43:AE47),1)</f>
        <v>3759.4</v>
      </c>
      <c r="AF48" s="3318"/>
      <c r="AG48" s="3318"/>
      <c r="AH48" s="1446">
        <f>ROUND(SUM(AH43:AH47),1)</f>
        <v>1828.1</v>
      </c>
      <c r="AI48" s="3321"/>
      <c r="AJ48" s="2522">
        <f t="shared" si="8"/>
        <v>0.48599999999999999</v>
      </c>
    </row>
    <row r="49" spans="1:36" ht="15.5">
      <c r="A49" s="2437" t="s">
        <v>1058</v>
      </c>
      <c r="B49" s="1426"/>
      <c r="C49" s="1426"/>
      <c r="D49" s="1426"/>
      <c r="E49" s="1426"/>
      <c r="F49" s="1426"/>
      <c r="G49" s="1426"/>
      <c r="H49" s="1426"/>
      <c r="I49" s="1426"/>
      <c r="J49" s="1426"/>
      <c r="K49" s="1426"/>
      <c r="L49" s="1426"/>
      <c r="M49" s="1426"/>
      <c r="N49" s="1426"/>
      <c r="O49" s="3065"/>
      <c r="P49" s="1426"/>
      <c r="Q49" s="1426"/>
      <c r="R49" s="1426"/>
      <c r="S49" s="1426"/>
      <c r="T49" s="1426"/>
      <c r="U49" s="1426"/>
      <c r="V49" s="1426"/>
      <c r="W49" s="1426"/>
      <c r="X49" s="1426"/>
      <c r="Y49" s="1426"/>
      <c r="Z49" s="1426"/>
      <c r="AA49" s="2739"/>
      <c r="AB49" s="3065"/>
      <c r="AC49" s="3065"/>
      <c r="AD49" s="3357"/>
      <c r="AE49" s="3107"/>
      <c r="AF49" s="3318"/>
      <c r="AG49" s="3318"/>
      <c r="AH49" s="3320"/>
      <c r="AI49" s="3065"/>
      <c r="AJ49" s="3320"/>
    </row>
    <row r="50" spans="1:36" ht="15.5">
      <c r="A50" s="2215" t="s">
        <v>1023</v>
      </c>
      <c r="B50" s="1426"/>
      <c r="C50" s="1425">
        <f>+'Exhibit F'!D45</f>
        <v>0</v>
      </c>
      <c r="D50" s="1425"/>
      <c r="E50" s="1425">
        <f>+'Exhibit F'!F45</f>
        <v>0</v>
      </c>
      <c r="F50" s="1425"/>
      <c r="G50" s="1425">
        <f>+'Exhibit F'!H45</f>
        <v>0</v>
      </c>
      <c r="H50" s="1425"/>
      <c r="I50" s="1425">
        <f>+'Exhibit F'!J45</f>
        <v>0</v>
      </c>
      <c r="J50" s="1425"/>
      <c r="K50" s="1425">
        <f>+'Exhibit F'!L45</f>
        <v>0</v>
      </c>
      <c r="L50" s="1426"/>
      <c r="M50" s="1425">
        <f>+'Exhibit F'!N45</f>
        <v>0</v>
      </c>
      <c r="N50" s="1426"/>
      <c r="O50" s="3107"/>
      <c r="P50" s="1426"/>
      <c r="Q50" s="1425"/>
      <c r="R50" s="1426"/>
      <c r="S50" s="1425"/>
      <c r="T50" s="1426"/>
      <c r="U50" s="1425"/>
      <c r="V50" s="1426"/>
      <c r="W50" s="1425"/>
      <c r="X50" s="1426"/>
      <c r="Y50" s="1425"/>
      <c r="Z50" s="1426"/>
      <c r="AA50" s="2739"/>
      <c r="AB50" s="3107">
        <f t="shared" ref="AB50:AB54" si="9">ROUND(SUM(C50:Y50),1)</f>
        <v>0</v>
      </c>
      <c r="AC50" s="3065"/>
      <c r="AD50" s="3357"/>
      <c r="AE50" s="3107">
        <f>+'Exhibit F'!AF45</f>
        <v>0</v>
      </c>
      <c r="AF50" s="3318"/>
      <c r="AG50" s="3318"/>
      <c r="AH50" s="1984">
        <f t="shared" si="7"/>
        <v>0</v>
      </c>
      <c r="AI50" s="3065"/>
      <c r="AJ50" s="1708">
        <f>ROUND(IF(AE50=0,0,AH50/ABS(AE50)),3)</f>
        <v>0</v>
      </c>
    </row>
    <row r="51" spans="1:36" ht="15.5">
      <c r="A51" s="2215" t="s">
        <v>1024</v>
      </c>
      <c r="B51" s="1426"/>
      <c r="C51" s="1425">
        <f>+'Exhibit F'!D46</f>
        <v>119.8</v>
      </c>
      <c r="D51" s="1425"/>
      <c r="E51" s="1425">
        <f>+'Exhibit F'!F46</f>
        <v>117.00000000000001</v>
      </c>
      <c r="F51" s="1425"/>
      <c r="G51" s="1425">
        <f>+'Exhibit F'!H46</f>
        <v>108.89999999999996</v>
      </c>
      <c r="H51" s="1425"/>
      <c r="I51" s="1425">
        <f>+'Exhibit F'!J46</f>
        <v>103.10000000000004</v>
      </c>
      <c r="J51" s="1425"/>
      <c r="K51" s="1425">
        <f>+'Exhibit F'!L46</f>
        <v>100.59999999999998</v>
      </c>
      <c r="L51" s="1426"/>
      <c r="M51" s="1425">
        <f>+'Exhibit F'!N46</f>
        <v>108.70000000000012</v>
      </c>
      <c r="N51" s="1426"/>
      <c r="O51" s="3107"/>
      <c r="P51" s="1426"/>
      <c r="Q51" s="1425"/>
      <c r="R51" s="1426"/>
      <c r="S51" s="1425"/>
      <c r="T51" s="1426"/>
      <c r="U51" s="1425"/>
      <c r="V51" s="1426"/>
      <c r="W51" s="1425"/>
      <c r="X51" s="1426"/>
      <c r="Y51" s="1425"/>
      <c r="Z51" s="1426"/>
      <c r="AA51" s="2739"/>
      <c r="AB51" s="3107">
        <f t="shared" si="9"/>
        <v>658.1</v>
      </c>
      <c r="AC51" s="3065"/>
      <c r="AD51" s="3357"/>
      <c r="AE51" s="3107">
        <f>+'Exhibit F'!AF46</f>
        <v>566.79999999999995</v>
      </c>
      <c r="AF51" s="3318"/>
      <c r="AG51" s="3318"/>
      <c r="AH51" s="1984">
        <f t="shared" si="7"/>
        <v>91.3</v>
      </c>
      <c r="AI51" s="3065"/>
      <c r="AJ51" s="1802">
        <f t="shared" ref="AJ51:AJ56" si="10">ROUND(SUM(+AH51/ABS(AE51)),3)</f>
        <v>0.161</v>
      </c>
    </row>
    <row r="52" spans="1:36" ht="15.5">
      <c r="A52" s="2215" t="s">
        <v>1025</v>
      </c>
      <c r="B52" s="1426"/>
      <c r="C52" s="1425">
        <f>+'Exhibit F'!D47</f>
        <v>1.3</v>
      </c>
      <c r="D52" s="1425"/>
      <c r="E52" s="1425">
        <f>+'Exhibit F'!F47</f>
        <v>1.0999999999999999</v>
      </c>
      <c r="F52" s="1425"/>
      <c r="G52" s="1425">
        <f>+'Exhibit F'!H47</f>
        <v>1.1000000000000003</v>
      </c>
      <c r="H52" s="1425"/>
      <c r="I52" s="1425">
        <f>+'Exhibit F'!J47</f>
        <v>1.0999999999999999</v>
      </c>
      <c r="J52" s="1425"/>
      <c r="K52" s="1425">
        <f>+'Exhibit F'!L47</f>
        <v>2.1000000000000005</v>
      </c>
      <c r="L52" s="1426"/>
      <c r="M52" s="1425">
        <f>+'Exhibit F'!N47</f>
        <v>1.7000000000000004</v>
      </c>
      <c r="N52" s="1426"/>
      <c r="O52" s="3107"/>
      <c r="P52" s="1426"/>
      <c r="Q52" s="1425"/>
      <c r="R52" s="1426"/>
      <c r="S52" s="1425"/>
      <c r="T52" s="1426"/>
      <c r="U52" s="1425"/>
      <c r="V52" s="1426"/>
      <c r="W52" s="1425"/>
      <c r="X52" s="1426"/>
      <c r="Y52" s="1425"/>
      <c r="Z52" s="1426"/>
      <c r="AA52" s="2739"/>
      <c r="AB52" s="3107">
        <f t="shared" si="9"/>
        <v>8.4</v>
      </c>
      <c r="AC52" s="3065"/>
      <c r="AD52" s="3357"/>
      <c r="AE52" s="3107">
        <f>+'Exhibit F'!AF47</f>
        <v>4.8</v>
      </c>
      <c r="AF52" s="3318"/>
      <c r="AG52" s="3318"/>
      <c r="AH52" s="1984">
        <f t="shared" si="7"/>
        <v>3.6</v>
      </c>
      <c r="AI52" s="3065"/>
      <c r="AJ52" s="1802">
        <f t="shared" si="10"/>
        <v>0.75</v>
      </c>
    </row>
    <row r="53" spans="1:36" ht="15.5">
      <c r="A53" s="2215" t="s">
        <v>1026</v>
      </c>
      <c r="B53" s="1426"/>
      <c r="C53" s="1425">
        <f>+'Exhibit F'!D48+'Exhibit H'!B22</f>
        <v>97.4</v>
      </c>
      <c r="D53" s="1425"/>
      <c r="E53" s="1425">
        <f>+'Exhibit F'!F48+'Exhibit H'!D22</f>
        <v>110</v>
      </c>
      <c r="F53" s="1425"/>
      <c r="G53" s="1425">
        <f>+'Exhibit F'!H48+'Exhibit H'!F22</f>
        <v>115.1</v>
      </c>
      <c r="H53" s="1425"/>
      <c r="I53" s="1425">
        <f>+'Exhibit F'!J48+'Exhibit H'!H22</f>
        <v>132.00000000000003</v>
      </c>
      <c r="J53" s="1425"/>
      <c r="K53" s="1425">
        <f>+'Exhibit F'!L48+'Exhibit H'!J22</f>
        <v>139.99999999999997</v>
      </c>
      <c r="L53" s="1426"/>
      <c r="M53" s="1425">
        <f>+'Exhibit F'!N48+'Exhibit H'!L22</f>
        <v>133.29999999999998</v>
      </c>
      <c r="N53" s="1426"/>
      <c r="O53" s="3107"/>
      <c r="P53" s="1426"/>
      <c r="Q53" s="1425"/>
      <c r="R53" s="1426"/>
      <c r="S53" s="1425"/>
      <c r="T53" s="1426"/>
      <c r="U53" s="1425"/>
      <c r="V53" s="1426"/>
      <c r="W53" s="1425"/>
      <c r="X53" s="1426"/>
      <c r="Y53" s="1425"/>
      <c r="Z53" s="1426"/>
      <c r="AA53" s="2739"/>
      <c r="AB53" s="3107">
        <f t="shared" si="9"/>
        <v>727.8</v>
      </c>
      <c r="AC53" s="3065"/>
      <c r="AD53" s="3357"/>
      <c r="AE53" s="3107">
        <f>+'Exhibit F'!AF48+'Exhibit I State'!AG28+'Exhibit H'!AD22</f>
        <v>323.2</v>
      </c>
      <c r="AF53" s="3318"/>
      <c r="AG53" s="3318"/>
      <c r="AH53" s="1984">
        <f t="shared" si="7"/>
        <v>404.6</v>
      </c>
      <c r="AI53" s="3065"/>
      <c r="AJ53" s="1802">
        <f t="shared" si="10"/>
        <v>1.252</v>
      </c>
    </row>
    <row r="54" spans="1:36" ht="15.5">
      <c r="A54" s="2215" t="s">
        <v>1027</v>
      </c>
      <c r="B54" s="1426"/>
      <c r="C54" s="1425">
        <f>+'Exhibit F'!D49</f>
        <v>0</v>
      </c>
      <c r="D54" s="1425"/>
      <c r="E54" s="1425">
        <f>+'Exhibit F'!F49</f>
        <v>0</v>
      </c>
      <c r="F54" s="1425"/>
      <c r="G54" s="1425">
        <f>+'Exhibit F'!H49</f>
        <v>0</v>
      </c>
      <c r="H54" s="1425"/>
      <c r="I54" s="1425">
        <f>+'Exhibit F'!J49</f>
        <v>0</v>
      </c>
      <c r="J54" s="1425"/>
      <c r="K54" s="1425">
        <f>+'Exhibit F'!L49</f>
        <v>0.1</v>
      </c>
      <c r="L54" s="1426"/>
      <c r="M54" s="1425">
        <f>+'Exhibit F'!N49</f>
        <v>0.19999999999999998</v>
      </c>
      <c r="N54" s="1426"/>
      <c r="O54" s="3107"/>
      <c r="P54" s="1426"/>
      <c r="Q54" s="1425"/>
      <c r="R54" s="1426"/>
      <c r="S54" s="1425"/>
      <c r="T54" s="1426"/>
      <c r="U54" s="1425"/>
      <c r="V54" s="1426"/>
      <c r="W54" s="1425"/>
      <c r="X54" s="1426"/>
      <c r="Y54" s="1425"/>
      <c r="Z54" s="1426"/>
      <c r="AA54" s="2739"/>
      <c r="AB54" s="3107">
        <f t="shared" si="9"/>
        <v>0.3</v>
      </c>
      <c r="AC54" s="3065"/>
      <c r="AD54" s="3357"/>
      <c r="AE54" s="3107">
        <f>+'Exhibit F'!AF49</f>
        <v>0.1</v>
      </c>
      <c r="AF54" s="3318"/>
      <c r="AG54" s="3318"/>
      <c r="AH54" s="1984">
        <f t="shared" si="7"/>
        <v>0.2</v>
      </c>
      <c r="AI54" s="3065"/>
      <c r="AJ54" s="1802">
        <f>ROUND(IF(AE54=0,0,AH54/ABS(AE54)),3)</f>
        <v>2</v>
      </c>
    </row>
    <row r="55" spans="1:36" ht="15.5">
      <c r="A55" s="2741" t="s">
        <v>1284</v>
      </c>
      <c r="B55" s="1426"/>
      <c r="C55" s="1425">
        <f>+'Exhibit F'!D50+'Exhibit H'!B23</f>
        <v>0.2</v>
      </c>
      <c r="D55" s="1425"/>
      <c r="E55" s="1425">
        <f>+'Exhibit F'!F50+'Exhibit H'!D23</f>
        <v>0.2</v>
      </c>
      <c r="F55" s="1425"/>
      <c r="G55" s="1425">
        <f>+'Exhibit F'!H50+'Exhibit H'!F23</f>
        <v>0.19999999999999996</v>
      </c>
      <c r="H55" s="1425"/>
      <c r="I55" s="1425">
        <f>+'Exhibit F'!J50+'Exhibit H'!H23</f>
        <v>0.40000000000000013</v>
      </c>
      <c r="J55" s="1425"/>
      <c r="K55" s="1425">
        <f>+'Exhibit F'!L50+'Exhibit H'!J23</f>
        <v>0.29999999999999993</v>
      </c>
      <c r="L55" s="1425"/>
      <c r="M55" s="1425">
        <f>+'Exhibit F'!N50+'Exhibit H'!L23</f>
        <v>0.30000000000000016</v>
      </c>
      <c r="N55" s="1425"/>
      <c r="O55" s="3107"/>
      <c r="P55" s="1426"/>
      <c r="Q55" s="1425"/>
      <c r="R55" s="1426"/>
      <c r="S55" s="1425"/>
      <c r="T55" s="1426"/>
      <c r="U55" s="1425"/>
      <c r="V55" s="1426"/>
      <c r="W55" s="1425"/>
      <c r="X55" s="1426"/>
      <c r="Y55" s="1425"/>
      <c r="Z55" s="1426"/>
      <c r="AA55" s="2739"/>
      <c r="AB55" s="3107">
        <f t="shared" ref="AB55" si="11">ROUND(SUM(C55:Y55),1)</f>
        <v>1.6</v>
      </c>
      <c r="AC55" s="3065"/>
      <c r="AD55" s="3357"/>
      <c r="AE55" s="3109">
        <f>+'Exhibit F'!AF50+'Exhibit H'!AD23</f>
        <v>0.8</v>
      </c>
      <c r="AF55" s="3318"/>
      <c r="AG55" s="3318"/>
      <c r="AH55" s="1984">
        <f t="shared" ref="AH55" si="12">ROUND(SUM(+AB55-AE55),1)</f>
        <v>0.8</v>
      </c>
      <c r="AI55" s="2442"/>
      <c r="AJ55" s="1708">
        <f>ROUND(IF(AE55=0,1,AH55/ABS(AE55)),3)</f>
        <v>1</v>
      </c>
    </row>
    <row r="56" spans="1:36" ht="15.5">
      <c r="A56" s="2447" t="s">
        <v>1021</v>
      </c>
      <c r="B56" s="1426"/>
      <c r="C56" s="1446">
        <f>ROUND(SUM(C50:C55),1)</f>
        <v>218.7</v>
      </c>
      <c r="D56" s="1426"/>
      <c r="E56" s="1446">
        <f>ROUND(SUM(E50:E55),1)</f>
        <v>228.3</v>
      </c>
      <c r="F56" s="1426"/>
      <c r="G56" s="1446">
        <f>ROUND(SUM(G50:G55),1)</f>
        <v>225.3</v>
      </c>
      <c r="H56" s="1426"/>
      <c r="I56" s="1446">
        <f>ROUND(SUM(I50:I55),1)</f>
        <v>236.6</v>
      </c>
      <c r="J56" s="1426"/>
      <c r="K56" s="1446">
        <f>ROUND(SUM(K50:K55),1)</f>
        <v>243.1</v>
      </c>
      <c r="L56" s="1426"/>
      <c r="M56" s="1446">
        <f>ROUND(SUM(M50:M55),1)</f>
        <v>244.2</v>
      </c>
      <c r="N56" s="1426"/>
      <c r="O56" s="1446">
        <f>ROUND(SUM(O50:O55),1)</f>
        <v>0</v>
      </c>
      <c r="P56" s="1426"/>
      <c r="Q56" s="1446">
        <f>ROUND(SUM(Q50:Q55),1)</f>
        <v>0</v>
      </c>
      <c r="R56" s="1426"/>
      <c r="S56" s="1446">
        <f>ROUND(SUM(S50:S55),1)</f>
        <v>0</v>
      </c>
      <c r="T56" s="1426"/>
      <c r="U56" s="1446">
        <f>ROUND(SUM(U50:U55),1)</f>
        <v>0</v>
      </c>
      <c r="V56" s="1426"/>
      <c r="W56" s="1446">
        <f>ROUND(SUM(W50:W55),1)</f>
        <v>0</v>
      </c>
      <c r="X56" s="1426"/>
      <c r="Y56" s="1446">
        <f>ROUND(SUM(Y50:Y55),1)</f>
        <v>0</v>
      </c>
      <c r="Z56" s="1426"/>
      <c r="AA56" s="2739"/>
      <c r="AB56" s="1446">
        <f>ROUND(SUM(AB50:AB55),1)</f>
        <v>1396.2</v>
      </c>
      <c r="AC56" s="3065"/>
      <c r="AD56" s="3357"/>
      <c r="AE56" s="1446">
        <f>ROUND(SUM(AE50:AE55),1)</f>
        <v>895.7</v>
      </c>
      <c r="AF56" s="3318"/>
      <c r="AG56" s="3318"/>
      <c r="AH56" s="1446">
        <f>ROUND(SUM(AH50:AH55),1)</f>
        <v>500.5</v>
      </c>
      <c r="AI56" s="3321"/>
      <c r="AJ56" s="1804">
        <f t="shared" si="10"/>
        <v>0.55900000000000005</v>
      </c>
    </row>
    <row r="57" spans="1:36" ht="15.5">
      <c r="A57" s="1426"/>
      <c r="B57" s="1426"/>
      <c r="C57" s="2742"/>
      <c r="D57" s="1425"/>
      <c r="E57" s="2742"/>
      <c r="F57" s="2742"/>
      <c r="G57" s="2742"/>
      <c r="H57" s="2742"/>
      <c r="I57" s="2742"/>
      <c r="J57" s="2742"/>
      <c r="K57" s="2742"/>
      <c r="L57" s="2742"/>
      <c r="M57" s="2742"/>
      <c r="N57" s="2742"/>
      <c r="O57" s="3109"/>
      <c r="P57" s="2742"/>
      <c r="Q57" s="2742"/>
      <c r="R57" s="2742"/>
      <c r="S57" s="2742"/>
      <c r="T57" s="2742"/>
      <c r="U57" s="2742"/>
      <c r="V57" s="2742"/>
      <c r="W57" s="2742"/>
      <c r="X57" s="2742"/>
      <c r="Y57" s="2742"/>
      <c r="Z57" s="1425"/>
      <c r="AA57" s="2743"/>
      <c r="AB57" s="3108"/>
      <c r="AC57" s="3107"/>
      <c r="AD57" s="3358"/>
      <c r="AE57" s="3109"/>
      <c r="AF57" s="3109"/>
      <c r="AG57" s="3109"/>
      <c r="AH57" s="3109"/>
      <c r="AI57" s="3065"/>
      <c r="AJ57" s="1805"/>
    </row>
    <row r="58" spans="1:36" ht="15.5">
      <c r="A58" s="2447" t="s">
        <v>995</v>
      </c>
      <c r="B58" s="2006"/>
      <c r="C58" s="17">
        <f>ROUND(SUM(C56+C48+C41+C30),1)</f>
        <v>9107.2000000000007</v>
      </c>
      <c r="D58" s="1990"/>
      <c r="E58" s="17">
        <f>ROUND(SUM(E56+E48+E41+E30),1)</f>
        <v>11615</v>
      </c>
      <c r="F58" s="1990"/>
      <c r="G58" s="17">
        <f>ROUND(SUM(G56+G48+G41+G30),1)</f>
        <v>9850.5</v>
      </c>
      <c r="H58" s="1990"/>
      <c r="I58" s="17">
        <f>ROUND(SUM(I56+I48+I41+I30),1)</f>
        <v>5445</v>
      </c>
      <c r="J58" s="1990"/>
      <c r="K58" s="17">
        <f>ROUND(SUM(K56+K48+K41+K30),1)</f>
        <v>5623.7</v>
      </c>
      <c r="L58" s="1990"/>
      <c r="M58" s="17">
        <f>ROUND(SUM(M56+M48+M41+M30),1)</f>
        <v>10635.4</v>
      </c>
      <c r="N58" s="1990"/>
      <c r="O58" s="1636">
        <f>ROUND(SUM(O56+O48+O41+O30),1)</f>
        <v>0</v>
      </c>
      <c r="P58" s="1990"/>
      <c r="Q58" s="17">
        <f>ROUND(SUM(Q56+Q48+Q41+Q30),1)</f>
        <v>0</v>
      </c>
      <c r="R58" s="1990"/>
      <c r="S58" s="17">
        <f>ROUND(SUM(S56+S48+S41+S30),1)</f>
        <v>0</v>
      </c>
      <c r="T58" s="1990"/>
      <c r="U58" s="17">
        <f>ROUND(SUM(U56+U48+U41+U30),1)</f>
        <v>0</v>
      </c>
      <c r="V58" s="1990"/>
      <c r="W58" s="17">
        <f>ROUND(SUM(W56+W48+W41+W30),1)</f>
        <v>0</v>
      </c>
      <c r="X58" s="1449"/>
      <c r="Y58" s="17">
        <f>ROUND(SUM(Y56+Y48+Y41+Y30),1)</f>
        <v>0</v>
      </c>
      <c r="Z58" s="1449"/>
      <c r="AA58" s="2027"/>
      <c r="AB58" s="3359">
        <f>ROUND(SUM(C58:Y58),1)</f>
        <v>52276.800000000003</v>
      </c>
      <c r="AC58" s="1979"/>
      <c r="AD58" s="2023"/>
      <c r="AE58" s="1967">
        <f>ROUND(SUM(+AE30+AE41+AE48+AE56),1)</f>
        <v>38982.1</v>
      </c>
      <c r="AF58" s="1961"/>
      <c r="AG58" s="3121"/>
      <c r="AH58" s="1967">
        <f>ROUND(+AB58-AE58,1)</f>
        <v>13294.7</v>
      </c>
      <c r="AI58" s="2025"/>
      <c r="AJ58" s="3322">
        <f>ROUND(SUM(+AH58/ABS(AE58)),3)</f>
        <v>0.34100000000000003</v>
      </c>
    </row>
    <row r="59" spans="1:36" ht="15.5">
      <c r="A59" s="1426"/>
      <c r="B59" s="1426"/>
      <c r="C59" s="1425"/>
      <c r="D59" s="1425"/>
      <c r="E59" s="1425"/>
      <c r="F59" s="1425"/>
      <c r="G59" s="1425"/>
      <c r="H59" s="1425"/>
      <c r="I59" s="1425"/>
      <c r="J59" s="1425"/>
      <c r="K59" s="1425"/>
      <c r="L59" s="1425"/>
      <c r="M59" s="1425"/>
      <c r="N59" s="1425"/>
      <c r="O59" s="3107"/>
      <c r="P59" s="1425"/>
      <c r="Q59" s="1425"/>
      <c r="R59" s="1425"/>
      <c r="S59" s="1425"/>
      <c r="T59" s="1425"/>
      <c r="U59" s="1425"/>
      <c r="V59" s="1425"/>
      <c r="W59" s="1425"/>
      <c r="X59" s="1425"/>
      <c r="Y59" s="1425"/>
      <c r="Z59" s="1425"/>
      <c r="AA59" s="2743"/>
      <c r="AB59" s="3107"/>
      <c r="AC59" s="3107"/>
      <c r="AD59" s="3358"/>
      <c r="AE59" s="3107"/>
      <c r="AF59" s="3109"/>
      <c r="AG59" s="3109"/>
      <c r="AH59" s="3107"/>
      <c r="AI59" s="3065"/>
      <c r="AJ59" s="1802"/>
    </row>
    <row r="60" spans="1:36" ht="15.5">
      <c r="A60" s="2436" t="s">
        <v>930</v>
      </c>
      <c r="B60" s="1426"/>
      <c r="C60" s="1425"/>
      <c r="D60" s="1425"/>
      <c r="E60" s="1425"/>
      <c r="F60" s="1425"/>
      <c r="G60" s="1425"/>
      <c r="H60" s="1425"/>
      <c r="I60" s="1425"/>
      <c r="J60" s="1425"/>
      <c r="K60" s="1425"/>
      <c r="L60" s="1425"/>
      <c r="M60" s="1425"/>
      <c r="N60" s="1425"/>
      <c r="O60" s="3107"/>
      <c r="P60" s="1425"/>
      <c r="Q60" s="1425"/>
      <c r="R60" s="1425"/>
      <c r="S60" s="1425"/>
      <c r="T60" s="1425"/>
      <c r="U60" s="1425"/>
      <c r="V60" s="1425"/>
      <c r="W60" s="1425"/>
      <c r="X60" s="1425"/>
      <c r="Y60" s="1425"/>
      <c r="Z60" s="1425"/>
      <c r="AA60" s="2744"/>
      <c r="AB60" s="3107"/>
      <c r="AC60" s="3107"/>
      <c r="AD60" s="3358"/>
      <c r="AE60" s="3107"/>
      <c r="AF60" s="3109"/>
      <c r="AG60" s="3109"/>
      <c r="AH60" s="3107"/>
      <c r="AI60" s="3065"/>
      <c r="AJ60" s="1708"/>
    </row>
    <row r="61" spans="1:36" ht="15.5">
      <c r="A61" s="2459" t="s">
        <v>1049</v>
      </c>
      <c r="B61" s="1426"/>
      <c r="C61" s="1425"/>
      <c r="D61" s="1425"/>
      <c r="E61" s="1425"/>
      <c r="F61" s="1425"/>
      <c r="G61" s="1425"/>
      <c r="H61" s="1425"/>
      <c r="I61" s="1425"/>
      <c r="J61" s="1425"/>
      <c r="K61" s="1425"/>
      <c r="L61" s="1425"/>
      <c r="M61" s="1425"/>
      <c r="N61" s="1425"/>
      <c r="O61" s="3107"/>
      <c r="P61" s="1425"/>
      <c r="Q61" s="1425"/>
      <c r="R61" s="1425"/>
      <c r="S61" s="1425"/>
      <c r="T61" s="1425"/>
      <c r="U61" s="1425"/>
      <c r="V61" s="1425"/>
      <c r="W61" s="1425"/>
      <c r="X61" s="1425"/>
      <c r="Y61" s="1425"/>
      <c r="Z61" s="1425"/>
      <c r="AA61" s="2744"/>
      <c r="AB61" s="3107"/>
      <c r="AC61" s="3107"/>
      <c r="AD61" s="3358"/>
      <c r="AE61" s="3107"/>
      <c r="AF61" s="3109"/>
      <c r="AG61" s="3109"/>
      <c r="AH61" s="3107"/>
      <c r="AI61" s="3065"/>
      <c r="AJ61" s="1708"/>
    </row>
    <row r="62" spans="1:36" ht="15.5">
      <c r="A62" s="2459" t="s">
        <v>928</v>
      </c>
      <c r="B62" s="1426"/>
      <c r="C62" s="1425">
        <f>+'Exhibit F'!D57+'Exhibit G State'!D41</f>
        <v>1.3</v>
      </c>
      <c r="D62" s="1425"/>
      <c r="E62" s="1425">
        <f>+'Exhibit F'!F57+'Exhibit G State'!F41</f>
        <v>0.99999999999999989</v>
      </c>
      <c r="F62" s="1425"/>
      <c r="G62" s="1425">
        <f>+'Exhibit F'!H57+'Exhibit G State'!H41</f>
        <v>0.80000000000000038</v>
      </c>
      <c r="H62" s="1425"/>
      <c r="I62" s="1425">
        <f>+'Exhibit F'!J57+'Exhibit G State'!J41</f>
        <v>0.8999999999999998</v>
      </c>
      <c r="J62" s="1425"/>
      <c r="K62" s="1425">
        <f>+'Exhibit F'!L57+'Exhibit G State'!L41</f>
        <v>10.9</v>
      </c>
      <c r="L62" s="1425"/>
      <c r="M62" s="1425">
        <f>+'Exhibit F'!N57+'Exhibit G State'!N41</f>
        <v>101.2</v>
      </c>
      <c r="N62" s="1425"/>
      <c r="O62" s="3107"/>
      <c r="P62" s="1425"/>
      <c r="Q62" s="1425"/>
      <c r="R62" s="1425"/>
      <c r="S62" s="1425"/>
      <c r="T62" s="1425"/>
      <c r="U62" s="1425"/>
      <c r="V62" s="1425"/>
      <c r="W62" s="1425"/>
      <c r="X62" s="1425"/>
      <c r="Y62" s="1425"/>
      <c r="Z62" s="1425"/>
      <c r="AA62" s="2744"/>
      <c r="AB62" s="3107">
        <f>ROUND(SUM(C62:Y62),1)</f>
        <v>116.1</v>
      </c>
      <c r="AC62" s="3107"/>
      <c r="AD62" s="3358"/>
      <c r="AE62" s="3107">
        <f>+'Exhibit F'!AF57+'Exhibit G State'!AG41</f>
        <v>115.89999999999998</v>
      </c>
      <c r="AF62" s="3109"/>
      <c r="AG62" s="3109"/>
      <c r="AH62" s="3107">
        <f t="shared" ref="AH62:AH102" si="13">ROUND(SUM(AB62-AE62),1)</f>
        <v>0.2</v>
      </c>
      <c r="AI62" s="3065"/>
      <c r="AJ62" s="1802">
        <f>ROUND(SUM(AH62/ABS(AE62)),3)</f>
        <v>2E-3</v>
      </c>
    </row>
    <row r="63" spans="1:36" ht="15.5">
      <c r="A63" s="2459" t="s">
        <v>929</v>
      </c>
      <c r="B63" s="1426"/>
      <c r="C63" s="1425">
        <f>+'Exhibit F'!D58</f>
        <v>1</v>
      </c>
      <c r="D63" s="1425"/>
      <c r="E63" s="1425">
        <f>+'Exhibit F'!F58</f>
        <v>0.30000000000000004</v>
      </c>
      <c r="F63" s="1425"/>
      <c r="G63" s="1425">
        <f>+'Exhibit F'!H58</f>
        <v>8.1</v>
      </c>
      <c r="H63" s="1425"/>
      <c r="I63" s="1425">
        <f>+'Exhibit F'!J58</f>
        <v>2</v>
      </c>
      <c r="J63" s="1425"/>
      <c r="K63" s="1425">
        <f>+'Exhibit F'!L58</f>
        <v>0.19999999999999929</v>
      </c>
      <c r="L63" s="1425"/>
      <c r="M63" s="1425">
        <f>+'Exhibit F'!N58</f>
        <v>34.9</v>
      </c>
      <c r="N63" s="1425"/>
      <c r="O63" s="3107"/>
      <c r="P63" s="1425"/>
      <c r="Q63" s="1425"/>
      <c r="R63" s="1425"/>
      <c r="S63" s="1425"/>
      <c r="T63" s="1425"/>
      <c r="U63" s="1425"/>
      <c r="V63" s="1425"/>
      <c r="W63" s="1425"/>
      <c r="X63" s="1425"/>
      <c r="Y63" s="1425"/>
      <c r="Z63" s="1425"/>
      <c r="AA63" s="2744"/>
      <c r="AB63" s="3107">
        <f>ROUND(SUM(C63:Y63),1)</f>
        <v>46.5</v>
      </c>
      <c r="AC63" s="3107"/>
      <c r="AD63" s="3358"/>
      <c r="AE63" s="3107">
        <f>+'Exhibit F'!AF58</f>
        <v>60.3</v>
      </c>
      <c r="AF63" s="3109"/>
      <c r="AG63" s="3109"/>
      <c r="AH63" s="3107">
        <f t="shared" si="13"/>
        <v>-13.8</v>
      </c>
      <c r="AI63" s="3065"/>
      <c r="AJ63" s="1802">
        <f>ROUND(SUM(AH63/ABS(AE63)),3)</f>
        <v>-0.22900000000000001</v>
      </c>
    </row>
    <row r="64" spans="1:36" ht="15.5">
      <c r="A64" s="2459" t="s">
        <v>1050</v>
      </c>
      <c r="B64" s="1426"/>
      <c r="C64" s="1425"/>
      <c r="D64" s="1425"/>
      <c r="E64" s="1425"/>
      <c r="F64" s="1425"/>
      <c r="G64" s="1425"/>
      <c r="H64" s="1425"/>
      <c r="I64" s="1425"/>
      <c r="J64" s="1425"/>
      <c r="K64" s="1425"/>
      <c r="L64" s="1425"/>
      <c r="M64" s="1425"/>
      <c r="N64" s="1425"/>
      <c r="O64" s="3107"/>
      <c r="P64" s="1425"/>
      <c r="Q64" s="1425"/>
      <c r="R64" s="1425"/>
      <c r="S64" s="1425"/>
      <c r="T64" s="1425"/>
      <c r="U64" s="1425"/>
      <c r="V64" s="1425"/>
      <c r="W64" s="1425"/>
      <c r="X64" s="1425"/>
      <c r="Y64" s="1425"/>
      <c r="Z64" s="1425"/>
      <c r="AA64" s="2744"/>
      <c r="AB64" s="3107"/>
      <c r="AC64" s="3107"/>
      <c r="AD64" s="3358"/>
      <c r="AE64" s="3107"/>
      <c r="AF64" s="3109"/>
      <c r="AG64" s="3109"/>
      <c r="AH64" s="3107" t="s">
        <v>14</v>
      </c>
      <c r="AI64" s="3065" t="s">
        <v>14</v>
      </c>
      <c r="AJ64" s="1708" t="s">
        <v>14</v>
      </c>
    </row>
    <row r="65" spans="1:36" ht="15.5">
      <c r="A65" s="2459" t="s">
        <v>933</v>
      </c>
      <c r="B65" s="1426"/>
      <c r="C65" s="1425">
        <f>+'Exhibit F'!D60+'Exhibit G State'!D43</f>
        <v>63.7</v>
      </c>
      <c r="D65" s="1425"/>
      <c r="E65" s="1425">
        <f>+'Exhibit F'!F60+'Exhibit G State'!F43</f>
        <v>5.0999999999999943</v>
      </c>
      <c r="F65" s="1425"/>
      <c r="G65" s="1425">
        <f>+'Exhibit F'!H60+'Exhibit G State'!H43</f>
        <v>61.3</v>
      </c>
      <c r="H65" s="1425"/>
      <c r="I65" s="1425">
        <f>+'Exhibit F'!J60+'Exhibit G State'!J43</f>
        <v>93.499999999999986</v>
      </c>
      <c r="J65" s="1425"/>
      <c r="K65" s="1425">
        <f>+'Exhibit F'!L60+'Exhibit G State'!L43</f>
        <v>20.100000000000023</v>
      </c>
      <c r="L65" s="1425"/>
      <c r="M65" s="1425">
        <f>+'Exhibit F'!N60+'Exhibit G State'!N43</f>
        <v>29.700000000000003</v>
      </c>
      <c r="N65" s="1425"/>
      <c r="O65" s="3107"/>
      <c r="P65" s="1425"/>
      <c r="Q65" s="1425"/>
      <c r="R65" s="1425"/>
      <c r="S65" s="1425"/>
      <c r="T65" s="1425"/>
      <c r="U65" s="1425"/>
      <c r="V65" s="1425"/>
      <c r="W65" s="1425"/>
      <c r="X65" s="1425"/>
      <c r="Y65" s="1425"/>
      <c r="Z65" s="1425"/>
      <c r="AA65" s="2744"/>
      <c r="AB65" s="3107">
        <f>ROUND(SUM(C65:Y65),1)</f>
        <v>273.39999999999998</v>
      </c>
      <c r="AC65" s="3107"/>
      <c r="AD65" s="3358"/>
      <c r="AE65" s="3107">
        <f>+'Exhibit F'!AF60+'Exhibit G State'!AG43</f>
        <v>315.60000000000002</v>
      </c>
      <c r="AF65" s="3109"/>
      <c r="AG65" s="3109"/>
      <c r="AH65" s="3107">
        <f t="shared" si="13"/>
        <v>-42.2</v>
      </c>
      <c r="AI65" s="3065"/>
      <c r="AJ65" s="1802">
        <f>ROUND(SUM(AH65/ABS(AE65)),3)</f>
        <v>-0.13400000000000001</v>
      </c>
    </row>
    <row r="66" spans="1:36" ht="15.5">
      <c r="A66" s="2459" t="s">
        <v>934</v>
      </c>
      <c r="B66" s="1426"/>
      <c r="C66" s="1425">
        <f>+'Exhibit F'!D61+'Exhibit G State'!D44</f>
        <v>484.5</v>
      </c>
      <c r="D66" s="1425"/>
      <c r="E66" s="1425">
        <f>+'Exhibit F'!F61+'Exhibit G State'!F44</f>
        <v>533.89999999999986</v>
      </c>
      <c r="F66" s="1425"/>
      <c r="G66" s="1425">
        <f>+'Exhibit F'!H61+'Exhibit G State'!H44</f>
        <v>544.90000000000009</v>
      </c>
      <c r="H66" s="1425"/>
      <c r="I66" s="1425">
        <f>+'Exhibit F'!J61+'Exhibit G State'!J44</f>
        <v>526.30000000000018</v>
      </c>
      <c r="J66" s="1425"/>
      <c r="K66" s="1425">
        <f>+'Exhibit F'!L61+'Exhibit G State'!L44</f>
        <v>536.0999999999998</v>
      </c>
      <c r="L66" s="1425"/>
      <c r="M66" s="1425">
        <f>+'Exhibit F'!N61+'Exhibit G State'!N44</f>
        <v>530.40000000000032</v>
      </c>
      <c r="N66" s="1425"/>
      <c r="O66" s="3107"/>
      <c r="P66" s="1425"/>
      <c r="Q66" s="1425"/>
      <c r="R66" s="1425"/>
      <c r="S66" s="1425"/>
      <c r="T66" s="1425"/>
      <c r="U66" s="1425"/>
      <c r="V66" s="1425"/>
      <c r="W66" s="1425"/>
      <c r="X66" s="1425"/>
      <c r="Y66" s="1425"/>
      <c r="Z66" s="1425"/>
      <c r="AA66" s="2744"/>
      <c r="AB66" s="3107">
        <f>ROUND(SUM(C66:Y66),1)</f>
        <v>3156.1</v>
      </c>
      <c r="AC66" s="3107"/>
      <c r="AD66" s="3358"/>
      <c r="AE66" s="3107">
        <f>+'Exhibit F'!AF61+'Exhibit G State'!AG44+'Exhibit H'!AD30</f>
        <v>2970.3</v>
      </c>
      <c r="AF66" s="3109"/>
      <c r="AG66" s="3109"/>
      <c r="AH66" s="3107">
        <f t="shared" si="13"/>
        <v>185.8</v>
      </c>
      <c r="AI66" s="3065"/>
      <c r="AJ66" s="1802">
        <f>ROUND(SUM(AH66/ABS(AE66)),3)</f>
        <v>6.3E-2</v>
      </c>
    </row>
    <row r="67" spans="1:36" ht="15.5">
      <c r="A67" s="2459" t="s">
        <v>935</v>
      </c>
      <c r="B67" s="1426"/>
      <c r="C67" s="1425">
        <f>+'Exhibit F'!D62+'Exhibit G State'!D45</f>
        <v>1.5</v>
      </c>
      <c r="D67" s="1425"/>
      <c r="E67" s="1425">
        <f>+'Exhibit F'!F62+'Exhibit G State'!F45</f>
        <v>0</v>
      </c>
      <c r="F67" s="1425"/>
      <c r="G67" s="1425">
        <f>+'Exhibit F'!H62+'Exhibit G State'!H45</f>
        <v>0.70000000000000018</v>
      </c>
      <c r="H67" s="1425"/>
      <c r="I67" s="1425">
        <f>+'Exhibit F'!J62+'Exhibit G State'!J45</f>
        <v>0</v>
      </c>
      <c r="J67" s="1425"/>
      <c r="K67" s="1425">
        <f>+'Exhibit F'!L62+'Exhibit G State'!L45</f>
        <v>9.9999999999999645E-2</v>
      </c>
      <c r="L67" s="1425"/>
      <c r="M67" s="1425">
        <f>+'Exhibit F'!N62+'Exhibit G State'!N45</f>
        <v>44.4</v>
      </c>
      <c r="N67" s="1425"/>
      <c r="O67" s="3107"/>
      <c r="P67" s="1425"/>
      <c r="Q67" s="1425"/>
      <c r="R67" s="1425"/>
      <c r="S67" s="1425"/>
      <c r="T67" s="1425"/>
      <c r="U67" s="1425"/>
      <c r="V67" s="1425"/>
      <c r="W67" s="1425"/>
      <c r="X67" s="1425"/>
      <c r="Y67" s="1425"/>
      <c r="Z67" s="1425"/>
      <c r="AA67" s="2744"/>
      <c r="AB67" s="3107">
        <f>ROUND(SUM(C67:Y67),1)</f>
        <v>46.7</v>
      </c>
      <c r="AC67" s="3107"/>
      <c r="AD67" s="3358"/>
      <c r="AE67" s="3107">
        <f>+'Exhibit F'!AF62+'Exhibit G State'!AG45</f>
        <v>50.7</v>
      </c>
      <c r="AF67" s="3109"/>
      <c r="AG67" s="3109"/>
      <c r="AH67" s="3107">
        <f t="shared" si="13"/>
        <v>-4</v>
      </c>
      <c r="AI67" s="3065"/>
      <c r="AJ67" s="1713">
        <f>ROUND(IF(AE67=0,0,AH67/ABS(AE67)),3)</f>
        <v>-7.9000000000000001E-2</v>
      </c>
    </row>
    <row r="68" spans="1:36" ht="15.5">
      <c r="A68" s="2459" t="s">
        <v>936</v>
      </c>
      <c r="B68" s="1426"/>
      <c r="C68" s="1425">
        <f>+'Exhibit F'!D63+'Exhibit G State'!D46</f>
        <v>0</v>
      </c>
      <c r="D68" s="1425"/>
      <c r="E68" s="1425">
        <f>+'Exhibit F'!F63+'Exhibit G State'!F46</f>
        <v>0.1</v>
      </c>
      <c r="F68" s="1425"/>
      <c r="G68" s="1425">
        <f>+'Exhibit F'!H63+'Exhibit G State'!H46</f>
        <v>0</v>
      </c>
      <c r="H68" s="1425"/>
      <c r="I68" s="1425">
        <f>+'Exhibit F'!J63+'Exhibit G State'!J46</f>
        <v>0.1</v>
      </c>
      <c r="J68" s="1425"/>
      <c r="K68" s="1425">
        <f>+'Exhibit F'!L63+'Exhibit G State'!L46</f>
        <v>9.9999999999999978E-2</v>
      </c>
      <c r="L68" s="1425"/>
      <c r="M68" s="1425">
        <f>+'Exhibit F'!N63+'Exhibit G State'!N46</f>
        <v>0.1</v>
      </c>
      <c r="N68" s="1425"/>
      <c r="O68" s="3107"/>
      <c r="P68" s="1425"/>
      <c r="Q68" s="1425"/>
      <c r="R68" s="1425"/>
      <c r="S68" s="1425"/>
      <c r="T68" s="1425"/>
      <c r="U68" s="1425"/>
      <c r="V68" s="1425"/>
      <c r="W68" s="1425"/>
      <c r="X68" s="1425"/>
      <c r="Y68" s="1425"/>
      <c r="Z68" s="1425"/>
      <c r="AA68" s="2744"/>
      <c r="AB68" s="3107">
        <f>ROUND(SUM(C68:Y68),1)</f>
        <v>0.4</v>
      </c>
      <c r="AC68" s="3107"/>
      <c r="AD68" s="3358"/>
      <c r="AE68" s="3107">
        <f>+'Exhibit F'!AF63+'Exhibit G State'!AG46</f>
        <v>0.1</v>
      </c>
      <c r="AF68" s="3109"/>
      <c r="AG68" s="3109"/>
      <c r="AH68" s="3107">
        <f t="shared" si="13"/>
        <v>0.3</v>
      </c>
      <c r="AI68" s="3065"/>
      <c r="AJ68" s="1708">
        <f>ROUND(IF(AE68=0,0,AH68/ABS(AE68)),3)</f>
        <v>3</v>
      </c>
    </row>
    <row r="69" spans="1:36" ht="15.5">
      <c r="A69" s="2459" t="s">
        <v>1055</v>
      </c>
      <c r="B69" s="1426"/>
      <c r="C69" s="1425"/>
      <c r="D69" s="1425"/>
      <c r="E69" s="1425"/>
      <c r="F69" s="1425"/>
      <c r="G69" s="1425"/>
      <c r="H69" s="1425"/>
      <c r="I69" s="1425"/>
      <c r="J69" s="1425"/>
      <c r="K69" s="1425"/>
      <c r="L69" s="1425"/>
      <c r="M69" s="1425"/>
      <c r="N69" s="1425"/>
      <c r="O69" s="3107"/>
      <c r="P69" s="1425"/>
      <c r="Q69" s="1425"/>
      <c r="R69" s="1425"/>
      <c r="S69" s="1425"/>
      <c r="T69" s="1425"/>
      <c r="U69" s="1425"/>
      <c r="V69" s="1425"/>
      <c r="W69" s="1425"/>
      <c r="X69" s="1425"/>
      <c r="Y69" s="1425"/>
      <c r="Z69" s="1425"/>
      <c r="AA69" s="2744"/>
      <c r="AB69" s="3107"/>
      <c r="AC69" s="3107"/>
      <c r="AD69" s="3358"/>
      <c r="AE69" s="3107"/>
      <c r="AF69" s="3109"/>
      <c r="AG69" s="3109"/>
      <c r="AH69" s="3107"/>
      <c r="AI69" s="3065"/>
      <c r="AJ69" s="1708"/>
    </row>
    <row r="70" spans="1:36" ht="15.5">
      <c r="A70" s="2459" t="s">
        <v>937</v>
      </c>
      <c r="B70" s="1426"/>
      <c r="C70" s="1425">
        <f>+'Exhibit F'!D65+'Exhibit H'!B32</f>
        <v>5.3</v>
      </c>
      <c r="D70" s="1425"/>
      <c r="E70" s="1425">
        <f>+'Exhibit F'!F65+'Exhibit H'!D32</f>
        <v>5.5000000000000009</v>
      </c>
      <c r="F70" s="1425"/>
      <c r="G70" s="1425">
        <f>+'Exhibit F'!H65+'Exhibit H'!F32</f>
        <v>6.9999999999999991</v>
      </c>
      <c r="H70" s="1425"/>
      <c r="I70" s="1425">
        <f>+'Exhibit F'!J65+'Exhibit H'!H32</f>
        <v>6.2</v>
      </c>
      <c r="J70" s="1425"/>
      <c r="K70" s="1425">
        <f>+'Exhibit F'!L65+'Exhibit H'!J32</f>
        <v>6.2</v>
      </c>
      <c r="L70" s="1425"/>
      <c r="M70" s="1425">
        <f>+'Exhibit F'!N65+'Exhibit H'!L32</f>
        <v>5.0000000000000044</v>
      </c>
      <c r="N70" s="1425"/>
      <c r="O70" s="3107"/>
      <c r="P70" s="1425"/>
      <c r="Q70" s="1425"/>
      <c r="R70" s="1425"/>
      <c r="S70" s="1425"/>
      <c r="T70" s="1425"/>
      <c r="U70" s="1425"/>
      <c r="V70" s="1425"/>
      <c r="W70" s="1425"/>
      <c r="X70" s="1425"/>
      <c r="Y70" s="1425"/>
      <c r="Z70" s="1425"/>
      <c r="AA70" s="2744"/>
      <c r="AB70" s="3107">
        <f t="shared" ref="AB70:AB77" si="14">ROUND(SUM(C70:Y70),1)</f>
        <v>35.200000000000003</v>
      </c>
      <c r="AC70" s="3107"/>
      <c r="AD70" s="3358"/>
      <c r="AE70" s="3107">
        <f>+'Exhibit F'!AF65+'Exhibit H'!AD32</f>
        <v>23.1</v>
      </c>
      <c r="AF70" s="3109"/>
      <c r="AG70" s="3109"/>
      <c r="AH70" s="3107">
        <f t="shared" si="13"/>
        <v>12.1</v>
      </c>
      <c r="AI70" s="3065"/>
      <c r="AJ70" s="1802">
        <f>ROUND(SUM(AH70/ABS(AE70)),3)</f>
        <v>0.52400000000000002</v>
      </c>
    </row>
    <row r="71" spans="1:36" ht="15.5">
      <c r="A71" s="2459" t="s">
        <v>1147</v>
      </c>
      <c r="B71" s="1426"/>
      <c r="C71" s="1425">
        <f>'Exhibit G State'!D48</f>
        <v>0</v>
      </c>
      <c r="D71" s="1425" t="s">
        <v>14</v>
      </c>
      <c r="E71" s="1425">
        <f>'Exhibit G State'!F48</f>
        <v>0</v>
      </c>
      <c r="F71" s="1425"/>
      <c r="G71" s="1425">
        <f>'Exhibit G State'!H48</f>
        <v>0</v>
      </c>
      <c r="H71" s="1425"/>
      <c r="I71" s="1425">
        <f>'Exhibit G State'!J48</f>
        <v>0.7</v>
      </c>
      <c r="J71" s="1425"/>
      <c r="K71" s="1425">
        <f>'Exhibit G State'!L48</f>
        <v>1.5000000000000002</v>
      </c>
      <c r="L71" s="1425"/>
      <c r="M71" s="1425">
        <f>'Exhibit G State'!N48</f>
        <v>9.9999999999999645E-2</v>
      </c>
      <c r="N71" s="1425"/>
      <c r="O71" s="3107"/>
      <c r="P71" s="1425"/>
      <c r="Q71" s="1425"/>
      <c r="R71" s="1425"/>
      <c r="S71" s="1425"/>
      <c r="T71" s="1425"/>
      <c r="U71" s="1425"/>
      <c r="V71" s="1425"/>
      <c r="W71" s="1425"/>
      <c r="X71" s="1425"/>
      <c r="Y71" s="1425"/>
      <c r="Z71" s="1425"/>
      <c r="AA71" s="2743"/>
      <c r="AB71" s="3107">
        <f t="shared" si="14"/>
        <v>2.2999999999999998</v>
      </c>
      <c r="AC71" s="3107"/>
      <c r="AD71" s="3358"/>
      <c r="AE71" s="3107">
        <f>'Exhibit G State'!AG48</f>
        <v>1.7</v>
      </c>
      <c r="AF71" s="3109"/>
      <c r="AG71" s="3109"/>
      <c r="AH71" s="3107">
        <f t="shared" si="13"/>
        <v>0.6</v>
      </c>
      <c r="AI71" s="3065"/>
      <c r="AJ71" s="1708">
        <f>ROUND(IF(AE71=0,0,AH71/ABS(AE71)),3)</f>
        <v>0.35299999999999998</v>
      </c>
    </row>
    <row r="72" spans="1:36" ht="15.5">
      <c r="A72" s="2459" t="s">
        <v>938</v>
      </c>
      <c r="B72" s="1426"/>
      <c r="C72" s="1425">
        <f>+'Exhibit F'!D67+'Exhibit G State'!D49+'Exhibit H'!B33</f>
        <v>52.6</v>
      </c>
      <c r="D72" s="1425"/>
      <c r="E72" s="1425">
        <f>+'Exhibit F'!F67+'Exhibit G State'!F49+'Exhibit H'!D33</f>
        <v>47.4</v>
      </c>
      <c r="F72" s="1425"/>
      <c r="G72" s="1425">
        <f>+'Exhibit F'!H67+'Exhibit G State'!H49+'Exhibit H'!F33</f>
        <v>125.00000000000001</v>
      </c>
      <c r="H72" s="1425"/>
      <c r="I72" s="1425">
        <f>+'Exhibit F'!J67+'Exhibit G State'!J49+'Exhibit H'!H33</f>
        <v>50.800000000000011</v>
      </c>
      <c r="J72" s="1425"/>
      <c r="K72" s="1425">
        <f>+'Exhibit F'!L67+'Exhibit G State'!L49+'Exhibit H'!J33</f>
        <v>56.899999999999991</v>
      </c>
      <c r="L72" s="1425"/>
      <c r="M72" s="1425">
        <f>+'Exhibit F'!N67+'Exhibit G State'!N49+'Exhibit H'!L33</f>
        <v>124.19999999999999</v>
      </c>
      <c r="N72" s="1425"/>
      <c r="O72" s="3107"/>
      <c r="P72" s="1425"/>
      <c r="Q72" s="1425"/>
      <c r="R72" s="1425"/>
      <c r="S72" s="1425"/>
      <c r="T72" s="1425"/>
      <c r="U72" s="1425"/>
      <c r="V72" s="1425"/>
      <c r="W72" s="1425"/>
      <c r="X72" s="1425"/>
      <c r="Y72" s="1425"/>
      <c r="Z72" s="1425"/>
      <c r="AA72" s="2744"/>
      <c r="AB72" s="3107">
        <f t="shared" si="14"/>
        <v>456.9</v>
      </c>
      <c r="AC72" s="3107"/>
      <c r="AD72" s="3358"/>
      <c r="AE72" s="3107">
        <f>+'Exhibit F'!AF67+'Exhibit G State'!AG49+'Exhibit H'!AD33</f>
        <v>477.2</v>
      </c>
      <c r="AF72" s="3109"/>
      <c r="AG72" s="3109"/>
      <c r="AH72" s="3107">
        <f t="shared" si="13"/>
        <v>-20.3</v>
      </c>
      <c r="AI72" s="3065"/>
      <c r="AJ72" s="1802">
        <f>ROUND(SUM(AH72/AE72),3)</f>
        <v>-4.2999999999999997E-2</v>
      </c>
    </row>
    <row r="73" spans="1:36" ht="15.5">
      <c r="A73" s="2459" t="s">
        <v>939</v>
      </c>
      <c r="B73" s="1426"/>
      <c r="C73" s="1425">
        <f>+'Exhibit F'!D68+'Exhibit G State'!D50+'Exhibit H'!B34</f>
        <v>25.9</v>
      </c>
      <c r="D73" s="1425"/>
      <c r="E73" s="1425">
        <f>+'Exhibit F'!F68+'Exhibit G State'!F50+'Exhibit H'!D34</f>
        <v>28.200000000000003</v>
      </c>
      <c r="F73" s="1425"/>
      <c r="G73" s="1425">
        <f>+'Exhibit F'!H68+'Exhibit G State'!H50+'Exhibit H'!F34</f>
        <v>18.900000000000002</v>
      </c>
      <c r="H73" s="1425"/>
      <c r="I73" s="1425">
        <f>+'Exhibit F'!J68+'Exhibit G State'!J50+'Exhibit H'!H34</f>
        <v>19.900000000000006</v>
      </c>
      <c r="J73" s="1425"/>
      <c r="K73" s="1425">
        <f>+'Exhibit F'!L68+'Exhibit G State'!L50+'Exhibit H'!J34</f>
        <v>26</v>
      </c>
      <c r="L73" s="1425"/>
      <c r="M73" s="1425">
        <f>+'Exhibit F'!N68+'Exhibit G State'!N50+'Exhibit H'!L34</f>
        <v>23.4</v>
      </c>
      <c r="N73" s="1425"/>
      <c r="O73" s="3107"/>
      <c r="P73" s="1425"/>
      <c r="Q73" s="1425"/>
      <c r="R73" s="1425"/>
      <c r="S73" s="1425"/>
      <c r="T73" s="1425"/>
      <c r="U73" s="1425"/>
      <c r="V73" s="1425"/>
      <c r="W73" s="1425"/>
      <c r="X73" s="1425"/>
      <c r="Y73" s="1425"/>
      <c r="Z73" s="1425"/>
      <c r="AA73" s="2744"/>
      <c r="AB73" s="3107">
        <f t="shared" si="14"/>
        <v>142.30000000000001</v>
      </c>
      <c r="AC73" s="3107"/>
      <c r="AD73" s="3358"/>
      <c r="AE73" s="3107">
        <f>+'Exhibit F'!AF68+'Exhibit G State'!AG50+'Exhibit H'!AD34</f>
        <v>95.199999999999989</v>
      </c>
      <c r="AF73" s="3109"/>
      <c r="AG73" s="3109"/>
      <c r="AH73" s="3107">
        <f t="shared" si="13"/>
        <v>47.1</v>
      </c>
      <c r="AI73" s="3065"/>
      <c r="AJ73" s="1802">
        <f>ROUND(SUM(AH73/ABS(AE73)),3)</f>
        <v>0.495</v>
      </c>
    </row>
    <row r="74" spans="1:36" ht="15.5">
      <c r="A74" s="2459" t="s">
        <v>940</v>
      </c>
      <c r="B74" s="1426"/>
      <c r="C74" s="1425">
        <f>+'Exhibit F'!D69+'Exhibit G State'!D51+'Exhibit H'!B35</f>
        <v>1</v>
      </c>
      <c r="D74" s="1425"/>
      <c r="E74" s="1425">
        <f>+'Exhibit F'!F69+'Exhibit G State'!F51+'Exhibit H'!D35</f>
        <v>0.30000000000000004</v>
      </c>
      <c r="F74" s="1425"/>
      <c r="G74" s="1425">
        <f>+'Exhibit F'!H69+'Exhibit G State'!H51+'Exhibit H'!F35</f>
        <v>0.8999999999999998</v>
      </c>
      <c r="H74" s="1425"/>
      <c r="I74" s="1425">
        <f>+'Exhibit F'!J69+'Exhibit G State'!J51+'Exhibit H'!H35</f>
        <v>0.30000000000000027</v>
      </c>
      <c r="J74" s="1425"/>
      <c r="K74" s="1425">
        <f>+'Exhibit F'!L69+'Exhibit G State'!L51+'Exhibit H'!J35</f>
        <v>0.49999999999999989</v>
      </c>
      <c r="L74" s="1425"/>
      <c r="M74" s="1425">
        <f>+'Exhibit F'!N69+'Exhibit G State'!N51+'Exhibit H'!L35</f>
        <v>0.30000000000000004</v>
      </c>
      <c r="N74" s="1425"/>
      <c r="O74" s="3107"/>
      <c r="P74" s="1425"/>
      <c r="Q74" s="1425"/>
      <c r="R74" s="1425"/>
      <c r="S74" s="1425"/>
      <c r="T74" s="1425"/>
      <c r="U74" s="1425"/>
      <c r="V74" s="1425"/>
      <c r="W74" s="1425"/>
      <c r="X74" s="1425"/>
      <c r="Y74" s="1425"/>
      <c r="Z74" s="1425"/>
      <c r="AA74" s="2744"/>
      <c r="AB74" s="3107">
        <f t="shared" si="14"/>
        <v>3.3</v>
      </c>
      <c r="AC74" s="3107"/>
      <c r="AD74" s="3358"/>
      <c r="AE74" s="3107">
        <f>+'Exhibit F'!AF69+'Exhibit G State'!AG51+'Exhibit H'!AD35</f>
        <v>3</v>
      </c>
      <c r="AF74" s="3109"/>
      <c r="AG74" s="3109"/>
      <c r="AH74" s="3107">
        <f t="shared" si="13"/>
        <v>0.3</v>
      </c>
      <c r="AI74" s="3065"/>
      <c r="AJ74" s="1802">
        <f>ROUND(SUM(AH74/ABS(AE74)),3)</f>
        <v>0.1</v>
      </c>
    </row>
    <row r="75" spans="1:36" ht="15.5">
      <c r="A75" s="2459" t="s">
        <v>941</v>
      </c>
      <c r="B75" s="1426"/>
      <c r="C75" s="1425">
        <f>+'Exhibit F'!D70+'Exhibit G State'!D52+'Exhibit H'!B36</f>
        <v>49.8</v>
      </c>
      <c r="D75" s="1425"/>
      <c r="E75" s="1425">
        <f>+'Exhibit F'!F70+'Exhibit G State'!F52+'Exhibit H'!D36</f>
        <v>43.399999999999991</v>
      </c>
      <c r="F75" s="1425"/>
      <c r="G75" s="1425">
        <f>+'Exhibit F'!H70+'Exhibit G State'!H52+'Exhibit H'!F36</f>
        <v>79.200000000000017</v>
      </c>
      <c r="H75" s="1425"/>
      <c r="I75" s="1425">
        <f>+'Exhibit F'!J70+'Exhibit G State'!J52+'Exhibit H'!H36</f>
        <v>37.6</v>
      </c>
      <c r="J75" s="1425"/>
      <c r="K75" s="1425">
        <f>+'Exhibit F'!L70+'Exhibit G State'!L52+'Exhibit H'!J36</f>
        <v>61.599999999999994</v>
      </c>
      <c r="L75" s="1425"/>
      <c r="M75" s="1425">
        <f>+'Exhibit F'!N70+'Exhibit G State'!N52+'Exhibit H'!L36</f>
        <v>71.600000000000009</v>
      </c>
      <c r="N75" s="1425"/>
      <c r="O75" s="3107"/>
      <c r="P75" s="1425"/>
      <c r="Q75" s="1425"/>
      <c r="R75" s="1425"/>
      <c r="S75" s="1425"/>
      <c r="T75" s="1425"/>
      <c r="U75" s="1425"/>
      <c r="V75" s="1425"/>
      <c r="W75" s="1425"/>
      <c r="X75" s="1425"/>
      <c r="Y75" s="1425"/>
      <c r="Z75" s="1425"/>
      <c r="AA75" s="2744"/>
      <c r="AB75" s="3107">
        <f t="shared" si="14"/>
        <v>343.2</v>
      </c>
      <c r="AC75" s="3107"/>
      <c r="AD75" s="3358"/>
      <c r="AE75" s="3107">
        <f>+'Exhibit F'!AF70+'Exhibit G State'!AG52+'Exhibit H'!AD36</f>
        <v>281</v>
      </c>
      <c r="AF75" s="3109"/>
      <c r="AG75" s="3109"/>
      <c r="AH75" s="3107">
        <f t="shared" si="13"/>
        <v>62.2</v>
      </c>
      <c r="AI75" s="3065"/>
      <c r="AJ75" s="1708">
        <f>ROUND(IF(AE75=0,0,AH75/ABS(AE75)),3)</f>
        <v>0.221</v>
      </c>
    </row>
    <row r="76" spans="1:36" ht="15.5">
      <c r="A76" s="2459" t="s">
        <v>942</v>
      </c>
      <c r="B76" s="1426"/>
      <c r="C76" s="1425">
        <f>+'Exhibit F'!D71+'Exhibit G State'!D53+'Exhibit H'!B37</f>
        <v>66.900000000000006</v>
      </c>
      <c r="D76" s="1425"/>
      <c r="E76" s="1425">
        <f>+'Exhibit F'!F71+'Exhibit G State'!F53+'Exhibit H'!D37</f>
        <v>50.399999999999991</v>
      </c>
      <c r="F76" s="1425"/>
      <c r="G76" s="1425">
        <f>+'Exhibit F'!H71+'Exhibit G State'!H53+'Exhibit H'!F37</f>
        <v>86.000000000000028</v>
      </c>
      <c r="H76" s="1425"/>
      <c r="I76" s="1425">
        <f>+'Exhibit F'!J71+'Exhibit G State'!J53+'Exhibit H'!H37</f>
        <v>57.9</v>
      </c>
      <c r="J76" s="1425"/>
      <c r="K76" s="1425">
        <f>+'Exhibit F'!L71+'Exhibit G State'!L53+'Exhibit H'!J37</f>
        <v>92.59999999999998</v>
      </c>
      <c r="L76" s="1425"/>
      <c r="M76" s="1425">
        <f>+'Exhibit F'!N71+'Exhibit G State'!N53+'Exhibit H'!L37</f>
        <v>145.10000000000002</v>
      </c>
      <c r="N76" s="1425"/>
      <c r="O76" s="3107"/>
      <c r="P76" s="1425"/>
      <c r="Q76" s="1425"/>
      <c r="R76" s="1425"/>
      <c r="S76" s="1425"/>
      <c r="T76" s="1425"/>
      <c r="U76" s="1425"/>
      <c r="V76" s="1425"/>
      <c r="W76" s="1425"/>
      <c r="X76" s="1425"/>
      <c r="Y76" s="1425"/>
      <c r="Z76" s="1425"/>
      <c r="AA76" s="2744"/>
      <c r="AB76" s="3107">
        <f t="shared" si="14"/>
        <v>498.9</v>
      </c>
      <c r="AC76" s="3107"/>
      <c r="AD76" s="3358"/>
      <c r="AE76" s="3107">
        <f>+'Exhibit F'!AF71+'Exhibit G State'!AG53+'Exhibit H'!AD37</f>
        <v>292.89999999999998</v>
      </c>
      <c r="AF76" s="3109"/>
      <c r="AG76" s="3109"/>
      <c r="AH76" s="3107">
        <f t="shared" si="13"/>
        <v>206</v>
      </c>
      <c r="AI76" s="3065"/>
      <c r="AJ76" s="1802">
        <f>ROUND(SUM(AH76/ABS(AE76)),3)</f>
        <v>0.70299999999999996</v>
      </c>
    </row>
    <row r="77" spans="1:36" ht="15.5">
      <c r="A77" s="2459" t="s">
        <v>931</v>
      </c>
      <c r="B77" s="1426"/>
      <c r="C77" s="1425">
        <f>+'Exhibit F'!D72+'Exhibit G State'!D54</f>
        <v>47.5</v>
      </c>
      <c r="D77" s="1425"/>
      <c r="E77" s="1425">
        <f>+'Exhibit F'!F72+'Exhibit G State'!F54</f>
        <v>41.4</v>
      </c>
      <c r="F77" s="1425"/>
      <c r="G77" s="1425">
        <f>+'Exhibit F'!H72+'Exhibit G State'!H54</f>
        <v>49.100000000000009</v>
      </c>
      <c r="H77" s="1425"/>
      <c r="I77" s="1425">
        <f>+'Exhibit F'!J72+'Exhibit G State'!J54</f>
        <v>9.5999999999999783</v>
      </c>
      <c r="J77" s="1425"/>
      <c r="K77" s="1425">
        <f>+'Exhibit F'!L72+'Exhibit G State'!L54</f>
        <v>23</v>
      </c>
      <c r="L77" s="1425"/>
      <c r="M77" s="1425">
        <f>+'Exhibit F'!N72+'Exhibit G State'!N54</f>
        <v>26.1</v>
      </c>
      <c r="N77" s="1425"/>
      <c r="O77" s="3107"/>
      <c r="P77" s="1425"/>
      <c r="Q77" s="1425"/>
      <c r="R77" s="1425"/>
      <c r="S77" s="1425"/>
      <c r="T77" s="1425"/>
      <c r="U77" s="1425"/>
      <c r="V77" s="1425"/>
      <c r="W77" s="1425"/>
      <c r="X77" s="1425"/>
      <c r="Y77" s="1425"/>
      <c r="Z77" s="1425"/>
      <c r="AA77" s="2744"/>
      <c r="AB77" s="3107">
        <f t="shared" si="14"/>
        <v>196.7</v>
      </c>
      <c r="AC77" s="3107"/>
      <c r="AD77" s="3358"/>
      <c r="AE77" s="3107">
        <f>+'Exhibit F'!AF72+'Exhibit G State'!AG54</f>
        <v>563.5</v>
      </c>
      <c r="AF77" s="3109"/>
      <c r="AG77" s="3109"/>
      <c r="AH77" s="3107">
        <f t="shared" si="13"/>
        <v>-366.8</v>
      </c>
      <c r="AI77" s="3065"/>
      <c r="AJ77" s="1802">
        <f>ROUND(SUM(AH77/ABS(AE77)),3)</f>
        <v>-0.65100000000000002</v>
      </c>
    </row>
    <row r="78" spans="1:36" ht="15.5">
      <c r="A78" s="2459" t="s">
        <v>1052</v>
      </c>
      <c r="B78" s="1426"/>
      <c r="C78" s="1425"/>
      <c r="D78" s="1425"/>
      <c r="E78" s="1425"/>
      <c r="F78" s="1425"/>
      <c r="G78" s="1425"/>
      <c r="H78" s="1425"/>
      <c r="I78" s="1425"/>
      <c r="J78" s="1425"/>
      <c r="K78" s="1425"/>
      <c r="L78" s="1425"/>
      <c r="M78" s="1425"/>
      <c r="N78" s="1425"/>
      <c r="O78" s="3107"/>
      <c r="P78" s="1425"/>
      <c r="Q78" s="1425"/>
      <c r="R78" s="1425"/>
      <c r="S78" s="1425"/>
      <c r="T78" s="1425"/>
      <c r="U78" s="1425"/>
      <c r="V78" s="1425"/>
      <c r="W78" s="1425"/>
      <c r="X78" s="1425"/>
      <c r="Y78" s="1425"/>
      <c r="Z78" s="1425"/>
      <c r="AA78" s="2744"/>
      <c r="AB78" s="3107"/>
      <c r="AC78" s="3107"/>
      <c r="AD78" s="3358"/>
      <c r="AE78" s="3107"/>
      <c r="AF78" s="3109"/>
      <c r="AG78" s="3109"/>
      <c r="AH78" s="3107"/>
      <c r="AI78" s="3065"/>
      <c r="AJ78" s="1802" t="s">
        <v>14</v>
      </c>
    </row>
    <row r="79" spans="1:36" ht="15.5">
      <c r="A79" s="2459" t="s">
        <v>943</v>
      </c>
      <c r="B79" s="1426"/>
      <c r="C79" s="1425">
        <f>+'Exhibit G State'!D56</f>
        <v>34.200000000000003</v>
      </c>
      <c r="D79" s="1425"/>
      <c r="E79" s="1425">
        <f>+'Exhibit G State'!F56</f>
        <v>14.199999999999996</v>
      </c>
      <c r="F79" s="1425"/>
      <c r="G79" s="1425">
        <f>+'Exhibit G State'!H56</f>
        <v>17.100000000000001</v>
      </c>
      <c r="H79" s="1425"/>
      <c r="I79" s="1425">
        <f>+'Exhibit G State'!J56</f>
        <v>35.700000000000003</v>
      </c>
      <c r="J79" s="1425"/>
      <c r="K79" s="1425">
        <f>+'Exhibit G State'!L56</f>
        <v>15.199999999999996</v>
      </c>
      <c r="L79" s="1425"/>
      <c r="M79" s="1425">
        <f>+'Exhibit G State'!N56</f>
        <v>19.29999999999999</v>
      </c>
      <c r="N79" s="1425"/>
      <c r="O79" s="3107"/>
      <c r="P79" s="1425"/>
      <c r="Q79" s="1425"/>
      <c r="R79" s="1425"/>
      <c r="S79" s="1425"/>
      <c r="T79" s="1425"/>
      <c r="U79" s="1425"/>
      <c r="V79" s="1425"/>
      <c r="W79" s="1425"/>
      <c r="X79" s="1425"/>
      <c r="Y79" s="1425"/>
      <c r="Z79" s="1425"/>
      <c r="AA79" s="2744"/>
      <c r="AB79" s="3107">
        <f>ROUND(SUM(C79:Y79),1)</f>
        <v>135.69999999999999</v>
      </c>
      <c r="AC79" s="3107"/>
      <c r="AD79" s="3358"/>
      <c r="AE79" s="3107">
        <f>+'Exhibit G State'!AG56</f>
        <v>28.8</v>
      </c>
      <c r="AF79" s="3109"/>
      <c r="AG79" s="3109"/>
      <c r="AH79" s="3107">
        <f t="shared" si="13"/>
        <v>106.9</v>
      </c>
      <c r="AI79" s="3065"/>
      <c r="AJ79" s="1708">
        <f>ROUND(IF(AE79=0,1,AH79/ABS(AE79)),3)</f>
        <v>3.7120000000000002</v>
      </c>
    </row>
    <row r="80" spans="1:36" ht="15.5">
      <c r="A80" s="2459" t="s">
        <v>944</v>
      </c>
      <c r="B80" s="1426"/>
      <c r="C80" s="1425">
        <f>+'Exhibit G State'!D57</f>
        <v>199.5</v>
      </c>
      <c r="D80" s="1425"/>
      <c r="E80" s="1425">
        <f>+'Exhibit G State'!F57</f>
        <v>213.5</v>
      </c>
      <c r="F80" s="1425"/>
      <c r="G80" s="1425">
        <f>+'Exhibit G State'!H57</f>
        <v>238.89999999999998</v>
      </c>
      <c r="H80" s="1425"/>
      <c r="I80" s="1425">
        <f>+'Exhibit G State'!J57</f>
        <v>181.89999999999998</v>
      </c>
      <c r="J80" s="1425"/>
      <c r="K80" s="1425">
        <f>+'Exhibit G State'!L57</f>
        <v>186.80000000000007</v>
      </c>
      <c r="L80" s="1425"/>
      <c r="M80" s="1425">
        <f>+'Exhibit G State'!N57</f>
        <v>240.89999999999998</v>
      </c>
      <c r="N80" s="1425"/>
      <c r="O80" s="3107"/>
      <c r="P80" s="1425"/>
      <c r="Q80" s="1425"/>
      <c r="R80" s="1425"/>
      <c r="S80" s="1425"/>
      <c r="T80" s="1425"/>
      <c r="U80" s="1425"/>
      <c r="V80" s="1425"/>
      <c r="W80" s="1425"/>
      <c r="X80" s="1425"/>
      <c r="Y80" s="1425"/>
      <c r="Z80" s="1425"/>
      <c r="AA80" s="2744"/>
      <c r="AB80" s="3107">
        <f>ROUND(SUM(C80:Y80),1)</f>
        <v>1261.5</v>
      </c>
      <c r="AC80" s="3107"/>
      <c r="AD80" s="3358"/>
      <c r="AE80" s="3107">
        <f>+'Exhibit G State'!AG57</f>
        <v>1070.3</v>
      </c>
      <c r="AF80" s="3109"/>
      <c r="AG80" s="3109"/>
      <c r="AH80" s="3107">
        <f t="shared" si="13"/>
        <v>191.2</v>
      </c>
      <c r="AI80" s="3065"/>
      <c r="AJ80" s="1708">
        <f>ROUND(IF(AE80=0,1,AH80/ABS(AE80)),3)</f>
        <v>0.17899999999999999</v>
      </c>
    </row>
    <row r="81" spans="1:36" ht="15.5">
      <c r="A81" s="2459" t="s">
        <v>945</v>
      </c>
      <c r="B81" s="1426"/>
      <c r="C81" s="1425">
        <f>+'Exhibit G State'!D58</f>
        <v>75.900000000000006</v>
      </c>
      <c r="D81" s="1425"/>
      <c r="E81" s="1425">
        <f>+'Exhibit G State'!F58</f>
        <v>77.899999999999977</v>
      </c>
      <c r="F81" s="1425"/>
      <c r="G81" s="1425">
        <f>+'Exhibit G State'!H58</f>
        <v>101.9</v>
      </c>
      <c r="H81" s="1425"/>
      <c r="I81" s="1425">
        <f>+'Exhibit G State'!J58</f>
        <v>82.400000000000063</v>
      </c>
      <c r="J81" s="1425"/>
      <c r="K81" s="1425">
        <f>+'Exhibit G State'!L58</f>
        <v>81.5</v>
      </c>
      <c r="L81" s="1425"/>
      <c r="M81" s="1425">
        <f>+'Exhibit G State'!N58</f>
        <v>99.200000000000074</v>
      </c>
      <c r="N81" s="1425"/>
      <c r="O81" s="3107"/>
      <c r="P81" s="1425"/>
      <c r="Q81" s="1425"/>
      <c r="R81" s="1425"/>
      <c r="S81" s="1425"/>
      <c r="T81" s="1425"/>
      <c r="U81" s="1425"/>
      <c r="V81" s="1425"/>
      <c r="W81" s="1425"/>
      <c r="X81" s="1425"/>
      <c r="Y81" s="1425"/>
      <c r="Z81" s="1425"/>
      <c r="AA81" s="2744"/>
      <c r="AB81" s="3107">
        <f>ROUND(SUM(C81:Y81),1)</f>
        <v>518.79999999999995</v>
      </c>
      <c r="AC81" s="3107"/>
      <c r="AD81" s="3358"/>
      <c r="AE81" s="3107">
        <f>+'Exhibit G State'!AG58</f>
        <v>34</v>
      </c>
      <c r="AF81" s="3109"/>
      <c r="AG81" s="3109"/>
      <c r="AH81" s="3107">
        <f t="shared" si="13"/>
        <v>484.8</v>
      </c>
      <c r="AI81" s="3065"/>
      <c r="AJ81" s="1713">
        <f>ROUND(IF(AE81=0,1,AH81/ABS(AE81)),3)</f>
        <v>14.259</v>
      </c>
    </row>
    <row r="82" spans="1:36" ht="15.5">
      <c r="A82" s="2459" t="s">
        <v>932</v>
      </c>
      <c r="B82" s="1426"/>
      <c r="C82" s="1425">
        <f>+'Exhibit F'!D73+'Exhibit H'!B38+'Exhibit G State'!D59</f>
        <v>5</v>
      </c>
      <c r="D82" s="1425"/>
      <c r="E82" s="1425">
        <f>+'Exhibit F'!F73+'Exhibit H'!D38+'Exhibit G State'!F59</f>
        <v>3.8000000000000003</v>
      </c>
      <c r="F82" s="1425"/>
      <c r="G82" s="1425">
        <f>+'Exhibit F'!H73+'Exhibit H'!F38+'Exhibit G State'!H59</f>
        <v>3.6000000000000005</v>
      </c>
      <c r="H82" s="1425"/>
      <c r="I82" s="1425">
        <f>+'Exhibit F'!J73+'Exhibit H'!H38+'Exhibit G State'!J59</f>
        <v>3.6999999999999993</v>
      </c>
      <c r="J82" s="1425"/>
      <c r="K82" s="1425">
        <f>+'Exhibit F'!L73+'Exhibit H'!J38+'Exhibit G State'!L59</f>
        <v>3.7</v>
      </c>
      <c r="L82" s="1425"/>
      <c r="M82" s="1425">
        <f>+'Exhibit F'!N73+'Exhibit H'!L38+'Exhibit G State'!N59</f>
        <v>3.4</v>
      </c>
      <c r="N82" s="1425"/>
      <c r="O82" s="3107"/>
      <c r="P82" s="1425"/>
      <c r="Q82" s="1425"/>
      <c r="R82" s="1425"/>
      <c r="S82" s="1425"/>
      <c r="T82" s="1425"/>
      <c r="U82" s="1425"/>
      <c r="V82" s="1425"/>
      <c r="W82" s="1425"/>
      <c r="X82" s="1425"/>
      <c r="Y82" s="1425"/>
      <c r="Z82" s="1425"/>
      <c r="AA82" s="2744"/>
      <c r="AB82" s="3107">
        <f>ROUND(SUM(C82:Y82),1)</f>
        <v>23.2</v>
      </c>
      <c r="AC82" s="3107"/>
      <c r="AD82" s="3358"/>
      <c r="AE82" s="3107">
        <f>+'Exhibit F'!AF73+'Exhibit H'!AD38+'Exhibit G State'!AG59</f>
        <v>65.7</v>
      </c>
      <c r="AF82" s="3109"/>
      <c r="AG82" s="3109"/>
      <c r="AH82" s="3107">
        <f t="shared" si="13"/>
        <v>-42.5</v>
      </c>
      <c r="AI82" s="3065"/>
      <c r="AJ82" s="1813">
        <f>ROUND(SUM(AH82/ABS(AE82)),3)</f>
        <v>-0.64700000000000002</v>
      </c>
    </row>
    <row r="83" spans="1:36" ht="15.5">
      <c r="A83" s="2459" t="s">
        <v>950</v>
      </c>
      <c r="B83" s="1426"/>
      <c r="C83" s="1425">
        <f>+'Exhibit F'!D74+'Exhibit H'!B39+'Exhibit G State'!D60</f>
        <v>6.7</v>
      </c>
      <c r="D83" s="1425"/>
      <c r="E83" s="1425">
        <f>+'Exhibit F'!F74+'Exhibit H'!D39+'Exhibit G State'!F60</f>
        <v>2.1999999999999993</v>
      </c>
      <c r="F83" s="1425"/>
      <c r="G83" s="1425">
        <f>+'Exhibit F'!H74+'Exhibit H'!F39+'Exhibit G State'!H60</f>
        <v>4.9000000000000004</v>
      </c>
      <c r="H83" s="1425"/>
      <c r="I83" s="1425">
        <f>+'Exhibit F'!J74+'Exhibit H'!H39+'Exhibit G State'!J60</f>
        <v>3.3000000000000012</v>
      </c>
      <c r="J83" s="1425"/>
      <c r="K83" s="1425">
        <f>+'Exhibit F'!L74+'Exhibit H'!J39+'Exhibit G State'!L60</f>
        <v>1.4000000000000021</v>
      </c>
      <c r="L83" s="1425"/>
      <c r="M83" s="1425">
        <f>+'Exhibit F'!N74+'Exhibit H'!L39+'Exhibit G State'!N60</f>
        <v>6.8999999999999977</v>
      </c>
      <c r="N83" s="1425"/>
      <c r="O83" s="3107"/>
      <c r="P83" s="1425"/>
      <c r="Q83" s="1425"/>
      <c r="R83" s="1425"/>
      <c r="S83" s="1425"/>
      <c r="T83" s="1425"/>
      <c r="U83" s="1425"/>
      <c r="V83" s="1425"/>
      <c r="W83" s="1425"/>
      <c r="X83" s="1425"/>
      <c r="Y83" s="1425"/>
      <c r="Z83" s="1425"/>
      <c r="AA83" s="2744"/>
      <c r="AB83" s="3107">
        <f>ROUND(SUM(C83:Y83),1)</f>
        <v>25.4</v>
      </c>
      <c r="AC83" s="3107"/>
      <c r="AD83" s="3358"/>
      <c r="AE83" s="3107">
        <f>+'Exhibit F'!AF74+'Exhibit H'!AD39+'Exhibit G State'!AG60</f>
        <v>25.8</v>
      </c>
      <c r="AF83" s="3109"/>
      <c r="AG83" s="3109"/>
      <c r="AH83" s="3107">
        <f>ROUND(SUM(AB83-AE83),1)</f>
        <v>-0.4</v>
      </c>
      <c r="AI83" s="3065"/>
      <c r="AJ83" s="1813">
        <f>ROUND(SUM(AH83/ABS(AE83)),3)</f>
        <v>-1.6E-2</v>
      </c>
    </row>
    <row r="84" spans="1:36" ht="15.5">
      <c r="A84" s="2459" t="s">
        <v>1053</v>
      </c>
      <c r="B84" s="1426"/>
      <c r="C84" s="1425"/>
      <c r="D84" s="1425"/>
      <c r="E84" s="1425"/>
      <c r="F84" s="1425"/>
      <c r="G84" s="1425"/>
      <c r="H84" s="1425"/>
      <c r="I84" s="1425"/>
      <c r="J84" s="1425"/>
      <c r="K84" s="1425"/>
      <c r="L84" s="1425"/>
      <c r="M84" s="1425"/>
      <c r="N84" s="1425"/>
      <c r="O84" s="3107"/>
      <c r="P84" s="1425"/>
      <c r="Q84" s="1425"/>
      <c r="R84" s="1425"/>
      <c r="S84" s="1425"/>
      <c r="T84" s="1425"/>
      <c r="U84" s="1425"/>
      <c r="V84" s="1425"/>
      <c r="W84" s="1425"/>
      <c r="X84" s="1425"/>
      <c r="Y84" s="1425"/>
      <c r="Z84" s="1425"/>
      <c r="AA84" s="2744"/>
      <c r="AB84" s="3107"/>
      <c r="AC84" s="3107"/>
      <c r="AD84" s="3358"/>
      <c r="AE84" s="3107"/>
      <c r="AF84" s="3109"/>
      <c r="AG84" s="3109"/>
      <c r="AH84" s="3107"/>
      <c r="AI84" s="3065"/>
      <c r="AJ84" s="1708"/>
    </row>
    <row r="85" spans="1:36" ht="15.5">
      <c r="A85" s="2459" t="s">
        <v>946</v>
      </c>
      <c r="B85" s="1426"/>
      <c r="C85" s="1425">
        <f>+'Exhibit G State'!D62</f>
        <v>0</v>
      </c>
      <c r="D85" s="1425"/>
      <c r="E85" s="1425">
        <f>+'Exhibit G State'!F62</f>
        <v>0</v>
      </c>
      <c r="F85" s="1425"/>
      <c r="G85" s="1425">
        <f>+'Exhibit G State'!H62</f>
        <v>0</v>
      </c>
      <c r="H85" s="1425"/>
      <c r="I85" s="1425">
        <f>+'Exhibit G State'!J62</f>
        <v>0</v>
      </c>
      <c r="J85" s="1425"/>
      <c r="K85" s="1425">
        <f>+'Exhibit G State'!L62</f>
        <v>0</v>
      </c>
      <c r="L85" s="1425"/>
      <c r="M85" s="1425">
        <f>+'Exhibit G State'!N62</f>
        <v>0</v>
      </c>
      <c r="N85" s="1425"/>
      <c r="O85" s="3107"/>
      <c r="P85" s="1425"/>
      <c r="Q85" s="1425"/>
      <c r="R85" s="1425"/>
      <c r="S85" s="1425"/>
      <c r="T85" s="1425"/>
      <c r="U85" s="1425"/>
      <c r="V85" s="1425"/>
      <c r="W85" s="1425"/>
      <c r="X85" s="1425"/>
      <c r="Y85" s="1425"/>
      <c r="Z85" s="1425"/>
      <c r="AA85" s="2744"/>
      <c r="AB85" s="3107">
        <f t="shared" ref="AB85:AB89" si="15">ROUND(SUM(C85:Y85),1)</f>
        <v>0</v>
      </c>
      <c r="AC85" s="3107"/>
      <c r="AD85" s="3358"/>
      <c r="AE85" s="3107">
        <f>+'Exhibit G State'!AG62+'Exhibit H'!AD41+'Exhibit F'!AF76</f>
        <v>4500</v>
      </c>
      <c r="AF85" s="3109"/>
      <c r="AG85" s="3109"/>
      <c r="AH85" s="3107">
        <f t="shared" si="13"/>
        <v>-4500</v>
      </c>
      <c r="AI85" s="3065"/>
      <c r="AJ85" s="1708">
        <f>ROUND(IF(AE85=0,0,AH85/ABS(AE85)),3)</f>
        <v>-1</v>
      </c>
    </row>
    <row r="86" spans="1:36" ht="15.5">
      <c r="A86" s="2459" t="s">
        <v>947</v>
      </c>
      <c r="B86" s="1426"/>
      <c r="C86" s="1425">
        <f>+'Exhibit F'!D77+'Exhibit G State'!D63</f>
        <v>0</v>
      </c>
      <c r="D86" s="1425"/>
      <c r="E86" s="1425">
        <f>+'Exhibit F'!F77+'Exhibit G State'!F63</f>
        <v>0</v>
      </c>
      <c r="F86" s="1425"/>
      <c r="G86" s="1425">
        <f>+'Exhibit F'!H77+'Exhibit G State'!H63</f>
        <v>0</v>
      </c>
      <c r="H86" s="1425"/>
      <c r="I86" s="1425">
        <f>+'Exhibit F'!J77+'Exhibit G State'!J63</f>
        <v>5.9</v>
      </c>
      <c r="J86" s="1425"/>
      <c r="K86" s="1425">
        <f>+'Exhibit F'!L77+'Exhibit G State'!L63</f>
        <v>0</v>
      </c>
      <c r="L86" s="1425"/>
      <c r="M86" s="1425">
        <f>+'Exhibit F'!N77+'Exhibit G State'!N63</f>
        <v>0</v>
      </c>
      <c r="N86" s="1425"/>
      <c r="O86" s="3107"/>
      <c r="P86" s="1425"/>
      <c r="Q86" s="1425"/>
      <c r="R86" s="1425"/>
      <c r="S86" s="1425"/>
      <c r="T86" s="1425"/>
      <c r="U86" s="1425"/>
      <c r="V86" s="1425"/>
      <c r="W86" s="1425"/>
      <c r="X86" s="1425"/>
      <c r="Y86" s="1425"/>
      <c r="Z86" s="1425"/>
      <c r="AA86" s="2744"/>
      <c r="AB86" s="3107">
        <f t="shared" si="15"/>
        <v>5.9</v>
      </c>
      <c r="AC86" s="3107"/>
      <c r="AD86" s="3358"/>
      <c r="AE86" s="3107">
        <f>+'Exhibit F'!AF77+'Exhibit G State'!AG63</f>
        <v>0</v>
      </c>
      <c r="AF86" s="3109"/>
      <c r="AG86" s="3109"/>
      <c r="AH86" s="3107">
        <f t="shared" si="13"/>
        <v>5.9</v>
      </c>
      <c r="AI86" s="3065"/>
      <c r="AJ86" s="1802">
        <f>ROUND(IF(AE86=0,1,AH86/ABS(AE86)),3)</f>
        <v>1</v>
      </c>
    </row>
    <row r="87" spans="1:36" ht="15.5">
      <c r="A87" s="2459" t="s">
        <v>948</v>
      </c>
      <c r="B87" s="1426"/>
      <c r="C87" s="1425">
        <f>+'Exhibit F'!D78+'Exhibit G State'!D64</f>
        <v>2.7</v>
      </c>
      <c r="D87" s="1425"/>
      <c r="E87" s="1425">
        <f>+'Exhibit F'!F78+'Exhibit G State'!F64</f>
        <v>2.2999999999999998</v>
      </c>
      <c r="F87" s="1425"/>
      <c r="G87" s="1425">
        <f>+'Exhibit F'!H78+'Exhibit G State'!H64</f>
        <v>1.7000000000000002</v>
      </c>
      <c r="H87" s="1425"/>
      <c r="I87" s="1425">
        <f>+'Exhibit F'!J78+'Exhibit G State'!J64</f>
        <v>22</v>
      </c>
      <c r="J87" s="1425"/>
      <c r="K87" s="1425">
        <f>+'Exhibit F'!L78+'Exhibit G State'!L64</f>
        <v>0.60000000000000142</v>
      </c>
      <c r="L87" s="1425"/>
      <c r="M87" s="1425">
        <f>+'Exhibit F'!N78+'Exhibit G State'!N64</f>
        <v>0</v>
      </c>
      <c r="N87" s="1425"/>
      <c r="O87" s="3107"/>
      <c r="P87" s="1425"/>
      <c r="Q87" s="1425"/>
      <c r="R87" s="1425"/>
      <c r="S87" s="1425"/>
      <c r="T87" s="1425"/>
      <c r="U87" s="1425"/>
      <c r="V87" s="1425"/>
      <c r="W87" s="1425"/>
      <c r="X87" s="1425"/>
      <c r="Y87" s="1425"/>
      <c r="Z87" s="1425"/>
      <c r="AA87" s="2744"/>
      <c r="AB87" s="3107">
        <f t="shared" si="15"/>
        <v>29.3</v>
      </c>
      <c r="AC87" s="3107"/>
      <c r="AD87" s="3358"/>
      <c r="AE87" s="3107">
        <f>+'Exhibit F'!AF78+'Exhibit G State'!AG64</f>
        <v>53.900000000000006</v>
      </c>
      <c r="AF87" s="3109"/>
      <c r="AG87" s="3109"/>
      <c r="AH87" s="3107">
        <f t="shared" si="13"/>
        <v>-24.6</v>
      </c>
      <c r="AI87" s="3065"/>
      <c r="AJ87" s="1813">
        <f>ROUND(SUM(AH87/ABS(AE87)),3)</f>
        <v>-0.45600000000000002</v>
      </c>
    </row>
    <row r="88" spans="1:36" ht="15.5">
      <c r="A88" s="2459" t="s">
        <v>949</v>
      </c>
      <c r="B88" s="1426"/>
      <c r="C88" s="1425">
        <f>+'Exhibit F'!D79+'Exhibit G State'!D65</f>
        <v>0.2</v>
      </c>
      <c r="D88" s="1425"/>
      <c r="E88" s="1425">
        <f>+'Exhibit F'!F79+'Exhibit G State'!F65</f>
        <v>0</v>
      </c>
      <c r="F88" s="1425"/>
      <c r="G88" s="1425">
        <f>+'Exhibit F'!H79+'Exhibit G State'!H65</f>
        <v>0</v>
      </c>
      <c r="H88" s="1425"/>
      <c r="I88" s="1425">
        <f>+'Exhibit F'!J79+'Exhibit G State'!J65</f>
        <v>4.5999999999999996</v>
      </c>
      <c r="J88" s="1425"/>
      <c r="K88" s="1425">
        <f>+'Exhibit F'!L79+'Exhibit G State'!L65</f>
        <v>0.29999999999999982</v>
      </c>
      <c r="L88" s="1425"/>
      <c r="M88" s="1425">
        <f>+'Exhibit F'!N79+'Exhibit G State'!N65</f>
        <v>4.3000000000000016</v>
      </c>
      <c r="N88" s="1425"/>
      <c r="O88" s="3107"/>
      <c r="P88" s="1425"/>
      <c r="Q88" s="1425"/>
      <c r="R88" s="1425"/>
      <c r="S88" s="1425"/>
      <c r="T88" s="1425"/>
      <c r="U88" s="1425"/>
      <c r="V88" s="1425"/>
      <c r="W88" s="1425"/>
      <c r="X88" s="1425"/>
      <c r="Y88" s="1425"/>
      <c r="Z88" s="1425"/>
      <c r="AA88" s="2744"/>
      <c r="AB88" s="3107">
        <f t="shared" si="15"/>
        <v>9.4</v>
      </c>
      <c r="AC88" s="3107"/>
      <c r="AD88" s="3358"/>
      <c r="AE88" s="3107">
        <f>+'Exhibit F'!AF79+'Exhibit G State'!AG65</f>
        <v>15.2</v>
      </c>
      <c r="AF88" s="3109"/>
      <c r="AG88" s="3109"/>
      <c r="AH88" s="3107">
        <f t="shared" si="13"/>
        <v>-5.8</v>
      </c>
      <c r="AI88" s="3065"/>
      <c r="AJ88" s="1813">
        <f>ROUND(SUM(AH88/ABS(AE88)),3)</f>
        <v>-0.38200000000000001</v>
      </c>
    </row>
    <row r="89" spans="1:36" ht="15.5">
      <c r="A89" s="2459" t="s">
        <v>951</v>
      </c>
      <c r="B89" s="1426"/>
      <c r="C89" s="1425">
        <f>+'Exhibit F'!D80+'Exhibit H'!B42+'Exhibit G State'!D66</f>
        <v>42</v>
      </c>
      <c r="D89" s="1425"/>
      <c r="E89" s="1425">
        <f>+'Exhibit F'!F80+'Exhibit H'!D42+'Exhibit G State'!F66</f>
        <v>2.0000000000000058</v>
      </c>
      <c r="F89" s="1425"/>
      <c r="G89" s="1425">
        <f>+'Exhibit F'!H80+'Exhibit H'!F42+'Exhibit G State'!H66</f>
        <v>9.1</v>
      </c>
      <c r="H89" s="1425"/>
      <c r="I89" s="1425">
        <f>+'Exhibit F'!J80+'Exhibit H'!H42+'Exhibit G State'!J66</f>
        <v>2.1999999999999944</v>
      </c>
      <c r="J89" s="1425"/>
      <c r="K89" s="1425">
        <f>+'Exhibit F'!L80+'Exhibit H'!J42+'Exhibit G State'!L66</f>
        <v>16.500000000000007</v>
      </c>
      <c r="L89" s="1425"/>
      <c r="M89" s="1425">
        <f>+'Exhibit F'!N80+'Exhibit H'!L42+'Exhibit G State'!N66</f>
        <v>84.999999999999986</v>
      </c>
      <c r="N89" s="1425"/>
      <c r="O89" s="3107"/>
      <c r="P89" s="1425"/>
      <c r="Q89" s="1425"/>
      <c r="R89" s="1425"/>
      <c r="S89" s="1425"/>
      <c r="T89" s="1425"/>
      <c r="U89" s="1425"/>
      <c r="V89" s="1425"/>
      <c r="W89" s="1425"/>
      <c r="X89" s="1425"/>
      <c r="Y89" s="1425"/>
      <c r="Z89" s="1425"/>
      <c r="AA89" s="2744"/>
      <c r="AB89" s="3107">
        <f t="shared" si="15"/>
        <v>156.80000000000001</v>
      </c>
      <c r="AC89" s="3107"/>
      <c r="AD89" s="3358"/>
      <c r="AE89" s="3107">
        <f>+'Exhibit F'!AF80+'Exhibit H'!AD42+'Exhibit G State'!AG66</f>
        <v>-7.5000000000000009</v>
      </c>
      <c r="AF89" s="3109"/>
      <c r="AG89" s="3109"/>
      <c r="AH89" s="3107">
        <f t="shared" si="13"/>
        <v>164.3</v>
      </c>
      <c r="AI89" s="3065"/>
      <c r="AJ89" s="1813">
        <f>ROUND(SUM(AH89/ABS(AE89)),3)</f>
        <v>21.907</v>
      </c>
    </row>
    <row r="90" spans="1:36" ht="15.5">
      <c r="A90" s="2459" t="s">
        <v>1054</v>
      </c>
      <c r="B90" s="1426"/>
      <c r="C90" s="1425"/>
      <c r="D90" s="1425"/>
      <c r="E90" s="1425"/>
      <c r="F90" s="1425"/>
      <c r="G90" s="1425"/>
      <c r="H90" s="1425"/>
      <c r="I90" s="1425"/>
      <c r="J90" s="1425"/>
      <c r="K90" s="1425"/>
      <c r="L90" s="1425"/>
      <c r="M90" s="1425"/>
      <c r="N90" s="1425"/>
      <c r="O90" s="3107"/>
      <c r="P90" s="1425"/>
      <c r="Q90" s="1425"/>
      <c r="R90" s="1425"/>
      <c r="S90" s="1425"/>
      <c r="T90" s="1425"/>
      <c r="U90" s="1425"/>
      <c r="V90" s="1425"/>
      <c r="W90" s="1425"/>
      <c r="X90" s="1425"/>
      <c r="Y90" s="1425"/>
      <c r="Z90" s="1425"/>
      <c r="AA90" s="2744"/>
      <c r="AB90" s="3107"/>
      <c r="AC90" s="3107"/>
      <c r="AD90" s="3358"/>
      <c r="AE90" s="3107"/>
      <c r="AF90" s="3109"/>
      <c r="AG90" s="3109"/>
      <c r="AH90" s="3107"/>
      <c r="AI90" s="3065"/>
      <c r="AJ90" s="1708"/>
    </row>
    <row r="91" spans="1:36" ht="15.5">
      <c r="A91" s="2459" t="s">
        <v>952</v>
      </c>
      <c r="B91" s="1426"/>
      <c r="C91" s="1425">
        <f>+'Exhibit F'!D82+'Exhibit G State'!D68</f>
        <v>45.8</v>
      </c>
      <c r="D91" s="1425"/>
      <c r="E91" s="1425">
        <f>+'Exhibit F'!F82+'Exhibit G State'!F68</f>
        <v>9.1999999999999993</v>
      </c>
      <c r="F91" s="1425"/>
      <c r="G91" s="1425">
        <f>+'Exhibit F'!H82+'Exhibit G State'!H68</f>
        <v>36</v>
      </c>
      <c r="H91" s="1425"/>
      <c r="I91" s="1425">
        <f>+'Exhibit F'!J82+'Exhibit G State'!J68</f>
        <v>8.5999999999999908</v>
      </c>
      <c r="J91" s="1425"/>
      <c r="K91" s="1425">
        <f>+'Exhibit F'!L82+'Exhibit G State'!L68</f>
        <v>9.1000000000000085</v>
      </c>
      <c r="L91" s="1425"/>
      <c r="M91" s="1425">
        <f>+'Exhibit F'!N82+'Exhibit G State'!N68</f>
        <v>23.5</v>
      </c>
      <c r="N91" s="1425"/>
      <c r="O91" s="3107"/>
      <c r="P91" s="1425"/>
      <c r="Q91" s="1425"/>
      <c r="R91" s="1425"/>
      <c r="S91" s="1425"/>
      <c r="T91" s="1425"/>
      <c r="U91" s="1425"/>
      <c r="V91" s="1425"/>
      <c r="W91" s="1425"/>
      <c r="X91" s="1425"/>
      <c r="Y91" s="1425"/>
      <c r="Z91" s="1425"/>
      <c r="AA91" s="2744"/>
      <c r="AB91" s="3107">
        <f t="shared" ref="AB91:AB102" si="16">ROUND(SUM(C91:Y91),1)</f>
        <v>132.19999999999999</v>
      </c>
      <c r="AC91" s="3107"/>
      <c r="AD91" s="3358"/>
      <c r="AE91" s="3107">
        <f>+'Exhibit F'!AF82+'Exhibit G State'!AG68</f>
        <v>102.80000000000001</v>
      </c>
      <c r="AF91" s="3109"/>
      <c r="AG91" s="3109"/>
      <c r="AH91" s="3107">
        <f t="shared" si="13"/>
        <v>29.4</v>
      </c>
      <c r="AI91" s="3065"/>
      <c r="AJ91" s="1813">
        <f>ROUND(SUM(AH91/ABS(AE91)),3)</f>
        <v>0.28599999999999998</v>
      </c>
    </row>
    <row r="92" spans="1:36" ht="15.5">
      <c r="A92" s="2459" t="s">
        <v>953</v>
      </c>
      <c r="B92" s="1426"/>
      <c r="C92" s="1425">
        <f>+'Exhibit G State'!D69+'Exhibit F'!D83</f>
        <v>0.9</v>
      </c>
      <c r="D92" s="1425"/>
      <c r="E92" s="1425">
        <f>+'Exhibit G State'!F69+'Exhibit F'!F83</f>
        <v>0.80000000000000138</v>
      </c>
      <c r="F92" s="1425"/>
      <c r="G92" s="1425">
        <f>+'Exhibit G State'!H69+'Exhibit F'!H83</f>
        <v>0.19999999999999568</v>
      </c>
      <c r="H92" s="1425"/>
      <c r="I92" s="1425">
        <f>+'Exhibit G State'!J69+'Exhibit F'!J83</f>
        <v>0.60000000000000009</v>
      </c>
      <c r="J92" s="1425"/>
      <c r="K92" s="1425">
        <f>+'Exhibit G State'!L69+'Exhibit F'!L83</f>
        <v>0.39999999999999147</v>
      </c>
      <c r="L92" s="1425"/>
      <c r="M92" s="1425">
        <f>+'Exhibit G State'!N69+'Exhibit F'!N83</f>
        <v>1.3000000000000342</v>
      </c>
      <c r="N92" s="1425"/>
      <c r="O92" s="3107"/>
      <c r="P92" s="1425"/>
      <c r="Q92" s="1425"/>
      <c r="R92" s="1425"/>
      <c r="S92" s="1425"/>
      <c r="T92" s="1425"/>
      <c r="U92" s="1425"/>
      <c r="V92" s="1425"/>
      <c r="W92" s="1425"/>
      <c r="X92" s="1425"/>
      <c r="Y92" s="1425"/>
      <c r="Z92" s="1425"/>
      <c r="AA92" s="2744"/>
      <c r="AB92" s="3107">
        <f t="shared" si="16"/>
        <v>4.2</v>
      </c>
      <c r="AC92" s="3107"/>
      <c r="AD92" s="3358"/>
      <c r="AE92" s="3107">
        <f>+'Exhibit G State'!AG69+'Exhibit F'!AF83</f>
        <v>2</v>
      </c>
      <c r="AF92" s="3109"/>
      <c r="AG92" s="3109"/>
      <c r="AH92" s="3107">
        <f t="shared" si="13"/>
        <v>2.2000000000000002</v>
      </c>
      <c r="AI92" s="3065"/>
      <c r="AJ92" s="1713">
        <f>ROUND(IF(AE92=0,1,AH92/ABS(AE92)),3)</f>
        <v>1.1000000000000001</v>
      </c>
    </row>
    <row r="93" spans="1:36" ht="15.5">
      <c r="A93" s="881" t="s">
        <v>1287</v>
      </c>
      <c r="B93" s="1426"/>
      <c r="C93" s="1425">
        <v>0</v>
      </c>
      <c r="D93" s="1425"/>
      <c r="E93" s="1425">
        <v>0</v>
      </c>
      <c r="F93" s="1425"/>
      <c r="G93" s="1425">
        <v>0</v>
      </c>
      <c r="H93" s="1425"/>
      <c r="I93" s="1425">
        <v>0</v>
      </c>
      <c r="J93" s="1425"/>
      <c r="K93" s="1425">
        <v>0</v>
      </c>
      <c r="L93" s="1425"/>
      <c r="M93" s="1425">
        <v>0</v>
      </c>
      <c r="N93" s="1425"/>
      <c r="O93" s="3107"/>
      <c r="P93" s="1425"/>
      <c r="Q93" s="1425"/>
      <c r="R93" s="1425"/>
      <c r="S93" s="1425"/>
      <c r="T93" s="1425"/>
      <c r="U93" s="1425"/>
      <c r="V93" s="1425"/>
      <c r="W93" s="1425"/>
      <c r="X93" s="1425"/>
      <c r="Y93" s="1425"/>
      <c r="Z93" s="1425"/>
      <c r="AA93" s="2744"/>
      <c r="AB93" s="3107">
        <f t="shared" si="16"/>
        <v>0</v>
      </c>
      <c r="AC93" s="3107"/>
      <c r="AD93" s="3358"/>
      <c r="AE93" s="3107">
        <f>+'Exhibit G State'!AG70</f>
        <v>0</v>
      </c>
      <c r="AF93" s="3109"/>
      <c r="AG93" s="3109"/>
      <c r="AH93" s="3107">
        <f t="shared" si="13"/>
        <v>0</v>
      </c>
      <c r="AI93" s="3065"/>
      <c r="AJ93" s="1708">
        <f>ROUND(IF(AE93=0,0,AH93/ABS(AE93)),3)</f>
        <v>0</v>
      </c>
    </row>
    <row r="94" spans="1:36" ht="15.5">
      <c r="A94" s="2459" t="s">
        <v>954</v>
      </c>
      <c r="B94" s="1426"/>
      <c r="C94" s="1425">
        <f>+'Exhibit F'!D84+'Exhibit G State'!D71</f>
        <v>0.7</v>
      </c>
      <c r="D94" s="1425"/>
      <c r="E94" s="1425">
        <f>+'Exhibit F'!F84+'Exhibit G State'!F71</f>
        <v>0.8</v>
      </c>
      <c r="F94" s="1425"/>
      <c r="G94" s="1425">
        <f>+'Exhibit F'!H84+'Exhibit G State'!H71</f>
        <v>0.5</v>
      </c>
      <c r="H94" s="1425"/>
      <c r="I94" s="1425">
        <f>+'Exhibit F'!J84+'Exhibit G State'!J71</f>
        <v>0.29999999999999982</v>
      </c>
      <c r="J94" s="1425"/>
      <c r="K94" s="1425">
        <f>+'Exhibit F'!L84+'Exhibit G State'!L71</f>
        <v>0.50000000000000022</v>
      </c>
      <c r="L94" s="1425"/>
      <c r="M94" s="1425">
        <f>+'Exhibit F'!N84+'Exhibit G State'!N71</f>
        <v>1.7000000000000002</v>
      </c>
      <c r="N94" s="1425"/>
      <c r="O94" s="3107"/>
      <c r="P94" s="1425"/>
      <c r="Q94" s="1425"/>
      <c r="R94" s="1425"/>
      <c r="S94" s="1425"/>
      <c r="T94" s="1425"/>
      <c r="U94" s="1425"/>
      <c r="V94" s="1425"/>
      <c r="W94" s="1425"/>
      <c r="X94" s="1425"/>
      <c r="Y94" s="1425"/>
      <c r="Z94" s="1425"/>
      <c r="AA94" s="2744"/>
      <c r="AB94" s="3107">
        <f t="shared" si="16"/>
        <v>4.5</v>
      </c>
      <c r="AC94" s="3107"/>
      <c r="AD94" s="3358"/>
      <c r="AE94" s="3107">
        <f>+'Exhibit F'!AF84+'Exhibit G State'!AG71</f>
        <v>26</v>
      </c>
      <c r="AF94" s="3109"/>
      <c r="AG94" s="3109"/>
      <c r="AH94" s="3107">
        <f t="shared" si="13"/>
        <v>-21.5</v>
      </c>
      <c r="AI94" s="3065"/>
      <c r="AJ94" s="1813">
        <f t="shared" ref="AJ94:AJ101" si="17">ROUND(SUM(AH94/ABS(AE94)),3)</f>
        <v>-0.82699999999999996</v>
      </c>
    </row>
    <row r="95" spans="1:36" ht="15.5">
      <c r="A95" s="2459" t="s">
        <v>955</v>
      </c>
      <c r="B95" s="1426"/>
      <c r="C95" s="1425">
        <f>+'Exhibit F'!D85+'Exhibit G State'!D72</f>
        <v>4.9000000000000004</v>
      </c>
      <c r="D95" s="1425"/>
      <c r="E95" s="1425">
        <f>+'Exhibit F'!F85+'Exhibit G State'!F72</f>
        <v>5.6999999999999993</v>
      </c>
      <c r="F95" s="1425"/>
      <c r="G95" s="1425">
        <f>+'Exhibit F'!H85+'Exhibit G State'!H72</f>
        <v>6.3000000000000025</v>
      </c>
      <c r="H95" s="1425"/>
      <c r="I95" s="1425">
        <f>+'Exhibit F'!J85+'Exhibit G State'!J72</f>
        <v>4.9999999999999982</v>
      </c>
      <c r="J95" s="1425"/>
      <c r="K95" s="1425">
        <f>+'Exhibit F'!L85+'Exhibit G State'!L72</f>
        <v>6</v>
      </c>
      <c r="L95" s="1425"/>
      <c r="M95" s="1425">
        <f>+'Exhibit F'!N85+'Exhibit G State'!N72</f>
        <v>7.6</v>
      </c>
      <c r="N95" s="1425"/>
      <c r="O95" s="3107"/>
      <c r="P95" s="1425"/>
      <c r="Q95" s="1425"/>
      <c r="R95" s="1425"/>
      <c r="S95" s="1425"/>
      <c r="T95" s="1425"/>
      <c r="U95" s="1425"/>
      <c r="V95" s="1425"/>
      <c r="W95" s="1425"/>
      <c r="X95" s="1425"/>
      <c r="Y95" s="1425"/>
      <c r="Z95" s="1425"/>
      <c r="AA95" s="2744"/>
      <c r="AB95" s="3107">
        <f t="shared" si="16"/>
        <v>35.5</v>
      </c>
      <c r="AC95" s="3107"/>
      <c r="AD95" s="3358"/>
      <c r="AE95" s="3107">
        <f>+'Exhibit F'!AF85+'Exhibit G State'!AG72</f>
        <v>36</v>
      </c>
      <c r="AF95" s="3109"/>
      <c r="AG95" s="3109"/>
      <c r="AH95" s="3107">
        <f t="shared" si="13"/>
        <v>-0.5</v>
      </c>
      <c r="AI95" s="3065"/>
      <c r="AJ95" s="1802">
        <f t="shared" si="17"/>
        <v>-1.4E-2</v>
      </c>
    </row>
    <row r="96" spans="1:36" ht="15.5">
      <c r="A96" s="2459" t="s">
        <v>956</v>
      </c>
      <c r="B96" s="1426"/>
      <c r="C96" s="1425">
        <f>+'Exhibit F'!D86+'Exhibit H'!B44+'Exhibit G State'!D73</f>
        <v>295.79999999999995</v>
      </c>
      <c r="D96" s="1425"/>
      <c r="E96" s="1425">
        <f>+'Exhibit F'!F86+'Exhibit H'!D44+'Exhibit G State'!F73</f>
        <v>223.60000000000002</v>
      </c>
      <c r="F96" s="1425"/>
      <c r="G96" s="1425">
        <f>+'Exhibit F'!H86+'Exhibit H'!F44+'Exhibit G State'!H73</f>
        <v>214.50000000000006</v>
      </c>
      <c r="H96" s="1425"/>
      <c r="I96" s="1425">
        <f>+'Exhibit F'!J86+'Exhibit H'!H44+'Exhibit G State'!J73</f>
        <v>293.29999999999995</v>
      </c>
      <c r="J96" s="1425"/>
      <c r="K96" s="1425">
        <f>+'Exhibit F'!L86+'Exhibit H'!J44+'Exhibit G State'!L73</f>
        <v>205.89999999999998</v>
      </c>
      <c r="L96" s="1425"/>
      <c r="M96" s="1425">
        <f>+'Exhibit F'!N86+'Exhibit H'!L44+'Exhibit G State'!N73</f>
        <v>251.39999999999998</v>
      </c>
      <c r="N96" s="1425"/>
      <c r="O96" s="3107"/>
      <c r="P96" s="1425"/>
      <c r="Q96" s="1425"/>
      <c r="R96" s="1425"/>
      <c r="S96" s="1425"/>
      <c r="T96" s="1425"/>
      <c r="U96" s="1425"/>
      <c r="V96" s="1425"/>
      <c r="W96" s="1425"/>
      <c r="X96" s="1425"/>
      <c r="Y96" s="1425"/>
      <c r="Z96" s="1425"/>
      <c r="AA96" s="2744"/>
      <c r="AB96" s="3107">
        <f t="shared" si="16"/>
        <v>1484.5</v>
      </c>
      <c r="AC96" s="3107"/>
      <c r="AD96" s="3358"/>
      <c r="AE96" s="3107">
        <f>+'Exhibit F'!AF86+'Exhibit H'!AD44+'Exhibit G State'!AG73</f>
        <v>1778.2</v>
      </c>
      <c r="AF96" s="3109"/>
      <c r="AG96" s="3109"/>
      <c r="AH96" s="3107">
        <f t="shared" si="13"/>
        <v>-293.7</v>
      </c>
      <c r="AI96" s="3065"/>
      <c r="AJ96" s="1802">
        <f t="shared" si="17"/>
        <v>-0.16500000000000001</v>
      </c>
    </row>
    <row r="97" spans="1:45" ht="15.5">
      <c r="A97" s="2459" t="s">
        <v>957</v>
      </c>
      <c r="B97" s="1426"/>
      <c r="C97" s="1425">
        <f>+'Exhibit G State'!D74+'Exhibit F'!D87</f>
        <v>4.7</v>
      </c>
      <c r="D97" s="1425"/>
      <c r="E97" s="1425">
        <f>+'Exhibit G State'!F74+'Exhibit F'!F87</f>
        <v>2.1</v>
      </c>
      <c r="F97" s="1425"/>
      <c r="G97" s="1425">
        <f>+'Exhibit G State'!H74+'Exhibit F'!H87</f>
        <v>6.8</v>
      </c>
      <c r="H97" s="1425"/>
      <c r="I97" s="1425">
        <f>+'Exhibit G State'!J74+'Exhibit F'!J87</f>
        <v>4.8000000000000025</v>
      </c>
      <c r="J97" s="1425"/>
      <c r="K97" s="1425">
        <f>+'Exhibit G State'!L74+'Exhibit F'!L87</f>
        <v>3.4999999999999991</v>
      </c>
      <c r="L97" s="1425"/>
      <c r="M97" s="1425">
        <f>+'Exhibit G State'!N74+'Exhibit F'!N87</f>
        <v>7.4999999999999991</v>
      </c>
      <c r="N97" s="1425"/>
      <c r="O97" s="3107"/>
      <c r="P97" s="1425"/>
      <c r="Q97" s="1425"/>
      <c r="R97" s="1425"/>
      <c r="S97" s="1425"/>
      <c r="T97" s="1425"/>
      <c r="U97" s="1425"/>
      <c r="V97" s="1425"/>
      <c r="W97" s="1425"/>
      <c r="X97" s="1425"/>
      <c r="Y97" s="1425"/>
      <c r="Z97" s="1425"/>
      <c r="AA97" s="2744"/>
      <c r="AB97" s="3107">
        <f t="shared" si="16"/>
        <v>29.4</v>
      </c>
      <c r="AC97" s="3107"/>
      <c r="AD97" s="3358"/>
      <c r="AE97" s="3107">
        <f>+'Exhibit G State'!AG74+'Exhibit F'!AF87</f>
        <v>32.9</v>
      </c>
      <c r="AF97" s="3109"/>
      <c r="AG97" s="3109"/>
      <c r="AH97" s="3107">
        <f t="shared" si="13"/>
        <v>-3.5</v>
      </c>
      <c r="AI97" s="3065"/>
      <c r="AJ97" s="3835">
        <f t="shared" si="17"/>
        <v>-0.106</v>
      </c>
    </row>
    <row r="98" spans="1:45" ht="15.5">
      <c r="A98" s="2459" t="s">
        <v>958</v>
      </c>
      <c r="B98" s="1426"/>
      <c r="C98" s="1425">
        <f>+'Exhibit F'!D88+'Exhibit G State'!D75</f>
        <v>1.2</v>
      </c>
      <c r="D98" s="1425"/>
      <c r="E98" s="1425">
        <f>+'Exhibit F'!F88+'Exhibit G State'!F75</f>
        <v>9.8000000000000007</v>
      </c>
      <c r="F98" s="1425"/>
      <c r="G98" s="1425">
        <f>+'Exhibit F'!H88+'Exhibit G State'!H75</f>
        <v>7.3999999999999995</v>
      </c>
      <c r="H98" s="1425"/>
      <c r="I98" s="1425">
        <f>+'Exhibit F'!J88+'Exhibit G State'!J75</f>
        <v>0.60000000000000142</v>
      </c>
      <c r="J98" s="1425"/>
      <c r="K98" s="1425">
        <f>+'Exhibit F'!L88+'Exhibit G State'!L75</f>
        <v>0.89999999999999858</v>
      </c>
      <c r="L98" s="1425"/>
      <c r="M98" s="1425">
        <f>+'Exhibit F'!N88+'Exhibit G State'!N75</f>
        <v>3.9000000000000021</v>
      </c>
      <c r="N98" s="1425"/>
      <c r="O98" s="3107"/>
      <c r="P98" s="1425"/>
      <c r="Q98" s="1425"/>
      <c r="R98" s="1425"/>
      <c r="S98" s="1425"/>
      <c r="T98" s="1425"/>
      <c r="U98" s="1425"/>
      <c r="V98" s="1425"/>
      <c r="W98" s="1425"/>
      <c r="X98" s="1425"/>
      <c r="Y98" s="1425"/>
      <c r="Z98" s="1425"/>
      <c r="AA98" s="2744"/>
      <c r="AB98" s="3107">
        <f t="shared" si="16"/>
        <v>23.8</v>
      </c>
      <c r="AC98" s="3107"/>
      <c r="AD98" s="3358"/>
      <c r="AE98" s="3107">
        <f>+'Exhibit F'!AF88+'Exhibit G State'!AG75</f>
        <v>50.8</v>
      </c>
      <c r="AF98" s="3109"/>
      <c r="AG98" s="3109"/>
      <c r="AH98" s="3107">
        <f t="shared" si="13"/>
        <v>-27</v>
      </c>
      <c r="AI98" s="3065"/>
      <c r="AJ98" s="1813">
        <f t="shared" si="17"/>
        <v>-0.53100000000000003</v>
      </c>
    </row>
    <row r="99" spans="1:45" ht="15.5">
      <c r="A99" s="2459" t="s">
        <v>959</v>
      </c>
      <c r="B99" s="1426"/>
      <c r="C99" s="1425">
        <f>+'Exhibit F'!D89+'Exhibit G State'!D76</f>
        <v>2.4</v>
      </c>
      <c r="D99" s="1425"/>
      <c r="E99" s="1425">
        <f>+'Exhibit F'!F89+'Exhibit G State'!F76</f>
        <v>5.6</v>
      </c>
      <c r="F99" s="1425"/>
      <c r="G99" s="1425">
        <f>+'Exhibit F'!H89+'Exhibit G State'!H76</f>
        <v>1.3000000000000007</v>
      </c>
      <c r="H99" s="1425"/>
      <c r="I99" s="1425">
        <f>+'Exhibit F'!J89+'Exhibit G State'!J76</f>
        <v>1.8999999999999986</v>
      </c>
      <c r="J99" s="1425"/>
      <c r="K99" s="1425">
        <f>+'Exhibit F'!L89+'Exhibit G State'!L76</f>
        <v>1.4000000000000004</v>
      </c>
      <c r="L99" s="1425"/>
      <c r="M99" s="1425">
        <f>+'Exhibit F'!N89+'Exhibit G State'!N76</f>
        <v>1.2000000000000011</v>
      </c>
      <c r="N99" s="1425"/>
      <c r="O99" s="3107"/>
      <c r="P99" s="1425"/>
      <c r="Q99" s="1425"/>
      <c r="R99" s="1425"/>
      <c r="S99" s="1425"/>
      <c r="T99" s="1425"/>
      <c r="U99" s="1425"/>
      <c r="V99" s="1425"/>
      <c r="W99" s="1425"/>
      <c r="X99" s="1425"/>
      <c r="Y99" s="1425"/>
      <c r="Z99" s="1425"/>
      <c r="AA99" s="2744"/>
      <c r="AB99" s="3107">
        <f t="shared" si="16"/>
        <v>13.8</v>
      </c>
      <c r="AC99" s="3107"/>
      <c r="AD99" s="3358"/>
      <c r="AE99" s="3107">
        <f>+'Exhibit F'!AF89+'Exhibit G State'!AG76</f>
        <v>27.6</v>
      </c>
      <c r="AF99" s="3109"/>
      <c r="AG99" s="3109"/>
      <c r="AH99" s="3107">
        <f t="shared" si="13"/>
        <v>-13.8</v>
      </c>
      <c r="AI99" s="3065"/>
      <c r="AJ99" s="1802">
        <f t="shared" si="17"/>
        <v>-0.5</v>
      </c>
    </row>
    <row r="100" spans="1:45" ht="15.5">
      <c r="A100" s="2459" t="s">
        <v>960</v>
      </c>
      <c r="B100" s="1426"/>
      <c r="C100" s="1425">
        <f>+'Exhibit F'!D90+'Exhibit G State'!D77+'Exhibit H'!B45</f>
        <v>84.699999999999989</v>
      </c>
      <c r="D100" s="1425"/>
      <c r="E100" s="1425">
        <f>+'Exhibit F'!F90+'Exhibit G State'!F77+'Exhibit H'!D45</f>
        <v>60.20000000000001</v>
      </c>
      <c r="F100" s="1425"/>
      <c r="G100" s="1425">
        <f>+'Exhibit F'!H90+'Exhibit G State'!H77+'Exhibit H'!F45</f>
        <v>58.999999999999986</v>
      </c>
      <c r="H100" s="1425"/>
      <c r="I100" s="1425">
        <f>+'Exhibit F'!J90+'Exhibit G State'!J77+'Exhibit H'!H45</f>
        <v>69.900000000000006</v>
      </c>
      <c r="J100" s="1425"/>
      <c r="K100" s="1425">
        <f>+'Exhibit F'!L90+'Exhibit G State'!L77+'Exhibit H'!J45</f>
        <v>74.399999999999977</v>
      </c>
      <c r="L100" s="1425"/>
      <c r="M100" s="1425">
        <f>+'Exhibit F'!N90+'Exhibit G State'!N77+'Exhibit H'!L45</f>
        <v>33.200000000000045</v>
      </c>
      <c r="N100" s="1425"/>
      <c r="O100" s="3107"/>
      <c r="P100" s="1425"/>
      <c r="Q100" s="1425"/>
      <c r="R100" s="1425"/>
      <c r="S100" s="1425"/>
      <c r="T100" s="1425"/>
      <c r="U100" s="1425"/>
      <c r="V100" s="1425"/>
      <c r="W100" s="1425"/>
      <c r="X100" s="1425"/>
      <c r="Y100" s="1425"/>
      <c r="Z100" s="1425"/>
      <c r="AA100" s="2744"/>
      <c r="AB100" s="3107">
        <f t="shared" si="16"/>
        <v>381.4</v>
      </c>
      <c r="AC100" s="3107"/>
      <c r="AD100" s="3358"/>
      <c r="AE100" s="3107">
        <f>+'Exhibit F'!AF90+'Exhibit G State'!AG77+'Exhibit H'!AD45</f>
        <v>179.2</v>
      </c>
      <c r="AF100" s="3109"/>
      <c r="AG100" s="3109"/>
      <c r="AH100" s="3107">
        <f t="shared" si="13"/>
        <v>202.2</v>
      </c>
      <c r="AI100" s="3065"/>
      <c r="AJ100" s="1813">
        <f t="shared" si="17"/>
        <v>1.1279999999999999</v>
      </c>
    </row>
    <row r="101" spans="1:45" ht="15.5">
      <c r="A101" s="2459" t="s">
        <v>961</v>
      </c>
      <c r="B101" s="1426"/>
      <c r="C101" s="1425">
        <f>+'Exhibit F'!D91+'Exhibit G State'!D78+'Exhibit H'!B46</f>
        <v>2.3000000000000003</v>
      </c>
      <c r="D101" s="1425"/>
      <c r="E101" s="1425">
        <f>+'Exhibit F'!F91+'Exhibit G State'!F78+'Exhibit H'!D46</f>
        <v>0.5</v>
      </c>
      <c r="F101" s="1425"/>
      <c r="G101" s="1425">
        <f>+'Exhibit F'!H91+'Exhibit G State'!H78+'Exhibit H'!F46</f>
        <v>1.7000000000000002</v>
      </c>
      <c r="H101" s="1425"/>
      <c r="I101" s="1425">
        <f>+'Exhibit F'!J91+'Exhibit G State'!J78+'Exhibit H'!H46</f>
        <v>1.2999999999999994</v>
      </c>
      <c r="J101" s="1425"/>
      <c r="K101" s="1425">
        <f>+'Exhibit F'!L91+'Exhibit G State'!L78+'Exhibit H'!J46</f>
        <v>0.90000000000000036</v>
      </c>
      <c r="L101" s="1425"/>
      <c r="M101" s="1425">
        <f>+'Exhibit F'!N91+'Exhibit G State'!N78+'Exhibit H'!L46</f>
        <v>3</v>
      </c>
      <c r="N101" s="1425"/>
      <c r="O101" s="3107"/>
      <c r="P101" s="1425"/>
      <c r="Q101" s="1425"/>
      <c r="R101" s="1425"/>
      <c r="S101" s="1425"/>
      <c r="T101" s="1425"/>
      <c r="U101" s="1425"/>
      <c r="V101" s="1425"/>
      <c r="W101" s="1425"/>
      <c r="X101" s="1425"/>
      <c r="Y101" s="1425"/>
      <c r="Z101" s="1425"/>
      <c r="AA101" s="2744"/>
      <c r="AB101" s="3107">
        <f t="shared" si="16"/>
        <v>9.6999999999999993</v>
      </c>
      <c r="AC101" s="3107"/>
      <c r="AD101" s="3358"/>
      <c r="AE101" s="3107">
        <f>+'Exhibit F'!AF91+'Exhibit G State'!AG78+'Exhibit H'!AD46</f>
        <v>7.8</v>
      </c>
      <c r="AF101" s="3109"/>
      <c r="AG101" s="3109"/>
      <c r="AH101" s="3107">
        <f t="shared" si="13"/>
        <v>1.9</v>
      </c>
      <c r="AI101" s="3065"/>
      <c r="AJ101" s="1802">
        <f t="shared" si="17"/>
        <v>0.24399999999999999</v>
      </c>
    </row>
    <row r="102" spans="1:45" ht="15.5">
      <c r="A102" s="2459" t="s">
        <v>962</v>
      </c>
      <c r="B102" s="1426"/>
      <c r="C102" s="1425">
        <f>+'Exhibit G State'!D79</f>
        <v>-75.7</v>
      </c>
      <c r="D102" s="1425"/>
      <c r="E102" s="1425">
        <f>+'Exhibit G State'!F79</f>
        <v>41.6</v>
      </c>
      <c r="F102" s="1425"/>
      <c r="G102" s="1425">
        <f>+'Exhibit G State'!H79</f>
        <v>51.300000000000004</v>
      </c>
      <c r="H102" s="1425"/>
      <c r="I102" s="1425">
        <f>+'Exhibit G State'!J79</f>
        <v>56.6</v>
      </c>
      <c r="J102" s="1425"/>
      <c r="K102" s="1425">
        <f>+'Exhibit G State'!L79</f>
        <v>203.99999999999997</v>
      </c>
      <c r="L102" s="1425"/>
      <c r="M102" s="1425">
        <f>+'Exhibit G State'!N79</f>
        <v>243.30000000000004</v>
      </c>
      <c r="N102" s="1425"/>
      <c r="O102" s="3107"/>
      <c r="P102" s="1425"/>
      <c r="Q102" s="1425"/>
      <c r="R102" s="1425"/>
      <c r="S102" s="1425"/>
      <c r="T102" s="1425"/>
      <c r="U102" s="1425"/>
      <c r="V102" s="1425"/>
      <c r="W102" s="1425"/>
      <c r="X102" s="1425"/>
      <c r="Y102" s="1425"/>
      <c r="Z102" s="1425"/>
      <c r="AA102" s="2744"/>
      <c r="AB102" s="3107">
        <f t="shared" si="16"/>
        <v>521.1</v>
      </c>
      <c r="AC102" s="3107"/>
      <c r="AD102" s="3358"/>
      <c r="AE102" s="3107">
        <f>+'Exhibit G State'!AG79</f>
        <v>562.9</v>
      </c>
      <c r="AF102" s="3109"/>
      <c r="AG102" s="3109"/>
      <c r="AH102" s="3107">
        <f t="shared" si="13"/>
        <v>-41.8</v>
      </c>
      <c r="AI102" s="3065"/>
      <c r="AJ102" s="1802">
        <f>ROUND(SUM(AH102/ABS(AE102)),3)</f>
        <v>-7.3999999999999996E-2</v>
      </c>
    </row>
    <row r="103" spans="1:45" ht="15.5">
      <c r="A103" s="2447" t="s">
        <v>996</v>
      </c>
      <c r="B103" s="2402"/>
      <c r="C103" s="2026">
        <f>ROUND(SUM(C62:C102),1)</f>
        <v>1534.9</v>
      </c>
      <c r="D103" s="2463"/>
      <c r="E103" s="2026">
        <f>ROUND(SUM(E62:E102),1)</f>
        <v>1432.8</v>
      </c>
      <c r="F103" s="2463"/>
      <c r="G103" s="2026">
        <f>ROUND(SUM(G62:G102),1)</f>
        <v>1744.1</v>
      </c>
      <c r="H103" s="1447"/>
      <c r="I103" s="2026">
        <f>ROUND(SUM(I62:I102),1)</f>
        <v>1590.4</v>
      </c>
      <c r="J103" s="1447"/>
      <c r="K103" s="2026">
        <f>ROUND(SUM(K62:K102),1)</f>
        <v>1648.8</v>
      </c>
      <c r="L103" s="1447"/>
      <c r="M103" s="2026">
        <f>ROUND(SUM(M62:M102),1)</f>
        <v>2173.1</v>
      </c>
      <c r="N103" s="1447"/>
      <c r="O103" s="1446">
        <f>ROUND(SUM(O62:O102),1)</f>
        <v>0</v>
      </c>
      <c r="P103" s="1447"/>
      <c r="Q103" s="2026">
        <f>ROUND(SUM(Q62:Q102),1)</f>
        <v>0</v>
      </c>
      <c r="R103" s="1447"/>
      <c r="S103" s="2026">
        <f>ROUND(SUM(S62:S102),1)</f>
        <v>0</v>
      </c>
      <c r="T103" s="1447"/>
      <c r="U103" s="2026">
        <f>ROUND(SUM(U62:U102),1)</f>
        <v>0</v>
      </c>
      <c r="V103" s="1447"/>
      <c r="W103" s="2026">
        <f>ROUND(SUM(W62:W102),1)</f>
        <v>0</v>
      </c>
      <c r="X103" s="1994"/>
      <c r="Y103" s="2026">
        <f>ROUND(SUM(Y62:Y102),1)</f>
        <v>0</v>
      </c>
      <c r="Z103" s="1994"/>
      <c r="AA103" s="2029"/>
      <c r="AB103" s="1446">
        <f>ROUND(SUM(AB62:AB102),1)</f>
        <v>10124.1</v>
      </c>
      <c r="AC103" s="2034"/>
      <c r="AD103" s="2527"/>
      <c r="AE103" s="1446">
        <f>ROUND(SUM(AE62:AE102),1)</f>
        <v>13842.9</v>
      </c>
      <c r="AF103" s="1448"/>
      <c r="AG103" s="3323"/>
      <c r="AH103" s="1446">
        <f>ROUND(SUM(AH62:AH102),1)</f>
        <v>-3718.8</v>
      </c>
      <c r="AI103" s="1448"/>
      <c r="AJ103" s="1804">
        <f>ROUND(SUM(+AH103/ABS(AE103)),3)</f>
        <v>-0.26900000000000002</v>
      </c>
    </row>
    <row r="104" spans="1:45" ht="15.5">
      <c r="A104" s="1426"/>
      <c r="B104" s="1426"/>
      <c r="C104" s="1425"/>
      <c r="D104" s="1425"/>
      <c r="E104" s="1425"/>
      <c r="F104" s="1425"/>
      <c r="G104" s="1425"/>
      <c r="H104" s="1425"/>
      <c r="I104" s="1425"/>
      <c r="J104" s="1425"/>
      <c r="K104" s="1425"/>
      <c r="L104" s="1425"/>
      <c r="M104" s="1425"/>
      <c r="N104" s="1425"/>
      <c r="O104" s="3107"/>
      <c r="P104" s="1425"/>
      <c r="Q104" s="1425"/>
      <c r="R104" s="1425"/>
      <c r="S104" s="1425"/>
      <c r="T104" s="1425"/>
      <c r="U104" s="1425"/>
      <c r="V104" s="1425"/>
      <c r="W104" s="1425"/>
      <c r="X104" s="1425"/>
      <c r="Y104" s="1425"/>
      <c r="Z104" s="1425"/>
      <c r="AA104" s="2743"/>
      <c r="AB104" s="3107"/>
      <c r="AC104" s="3109"/>
      <c r="AD104" s="3360"/>
      <c r="AE104" s="3107"/>
      <c r="AF104" s="3109"/>
      <c r="AG104" s="3109"/>
      <c r="AH104" s="3107"/>
      <c r="AI104" s="3065"/>
      <c r="AJ104" s="1802"/>
    </row>
    <row r="105" spans="1:45" ht="15.5">
      <c r="A105" s="1426" t="s">
        <v>20</v>
      </c>
      <c r="B105" s="1426"/>
      <c r="C105" s="2745">
        <f>+'Exhibit F'!D94+'Exhibit G State'!D82+'Exhibit H'!B49</f>
        <v>0.2</v>
      </c>
      <c r="D105" s="1425"/>
      <c r="E105" s="2745">
        <f>+'Exhibit F'!F94+'Exhibit G State'!F82+'Exhibit H'!D49</f>
        <v>0</v>
      </c>
      <c r="F105" s="1425"/>
      <c r="G105" s="2745">
        <f>+'Exhibit F'!H94+'Exhibit G State'!H82+'Exhibit H'!F49</f>
        <v>0</v>
      </c>
      <c r="H105" s="1425"/>
      <c r="I105" s="2745">
        <f>+'Exhibit F'!J94+'Exhibit G State'!J82+'Exhibit H'!H49</f>
        <v>1.6</v>
      </c>
      <c r="J105" s="1425"/>
      <c r="K105" s="2745">
        <f>+'Exhibit F'!L94+'Exhibit G State'!L82+'Exhibit H'!J49</f>
        <v>28.8</v>
      </c>
      <c r="L105" s="1425"/>
      <c r="M105" s="2745">
        <f>+'Exhibit F'!N94+'Exhibit G State'!N82+'Exhibit H'!L49</f>
        <v>-0.30000000000000004</v>
      </c>
      <c r="N105" s="1425"/>
      <c r="O105" s="3110"/>
      <c r="P105" s="1425"/>
      <c r="Q105" s="2745"/>
      <c r="R105" s="1425"/>
      <c r="S105" s="2745"/>
      <c r="T105" s="1425"/>
      <c r="U105" s="2745"/>
      <c r="V105" s="1425"/>
      <c r="W105" s="2745"/>
      <c r="X105" s="1425"/>
      <c r="Y105" s="2745"/>
      <c r="Z105" s="1425"/>
      <c r="AA105" s="2744"/>
      <c r="AB105" s="3110">
        <f>ROUND(SUM(C105:Y105),1)</f>
        <v>30.3</v>
      </c>
      <c r="AC105" s="3107"/>
      <c r="AD105" s="3358"/>
      <c r="AE105" s="3110">
        <f>'Exhibit F'!AF94+'Exhibit G State'!AG82+'Exhibit H'!AD49</f>
        <v>52.4</v>
      </c>
      <c r="AF105" s="3109"/>
      <c r="AG105" s="3109"/>
      <c r="AH105" s="3110">
        <f>ROUND(SUM(AB105-AE105),1)</f>
        <v>-22.1</v>
      </c>
      <c r="AI105" s="3065"/>
      <c r="AJ105" s="3324">
        <f>ROUND(IF(AE105=0,1,AH105/ABS(AE105)),3)</f>
        <v>-0.42199999999999999</v>
      </c>
    </row>
    <row r="106" spans="1:45" ht="15.5">
      <c r="A106" s="1426"/>
      <c r="B106" s="1426"/>
      <c r="C106" s="1425"/>
      <c r="D106" s="1425"/>
      <c r="E106" s="1425"/>
      <c r="F106" s="1425"/>
      <c r="G106" s="1425"/>
      <c r="H106" s="1425"/>
      <c r="I106" s="1425"/>
      <c r="J106" s="1425"/>
      <c r="K106" s="1425"/>
      <c r="L106" s="1425"/>
      <c r="M106" s="1425"/>
      <c r="N106" s="1425"/>
      <c r="O106" s="3107"/>
      <c r="P106" s="1425"/>
      <c r="Q106" s="1425"/>
      <c r="R106" s="1425"/>
      <c r="S106" s="1425"/>
      <c r="T106" s="1425"/>
      <c r="U106" s="1425"/>
      <c r="V106" s="1425"/>
      <c r="W106" s="1425"/>
      <c r="X106" s="1425"/>
      <c r="Y106" s="1425"/>
      <c r="Z106" s="1425"/>
      <c r="AA106" s="2744"/>
      <c r="AB106" s="3107"/>
      <c r="AC106" s="3107"/>
      <c r="AD106" s="3358"/>
      <c r="AE106" s="3107"/>
      <c r="AF106" s="3109"/>
      <c r="AG106" s="3109"/>
      <c r="AH106" s="3107"/>
      <c r="AI106" s="3065"/>
      <c r="AJ106" s="3325"/>
    </row>
    <row r="107" spans="1:45" ht="15.5">
      <c r="A107" s="2401" t="s">
        <v>149</v>
      </c>
      <c r="B107" s="2006"/>
      <c r="C107" s="2004">
        <f>ROUND(SUM(C105+C103+C58),1)</f>
        <v>10642.3</v>
      </c>
      <c r="D107" s="1447"/>
      <c r="E107" s="2004">
        <f>ROUND(SUM(E105+E103+E58),1)</f>
        <v>13047.8</v>
      </c>
      <c r="F107" s="1447"/>
      <c r="G107" s="2004">
        <f>ROUND(SUM(G105+G103+G58),1)</f>
        <v>11594.6</v>
      </c>
      <c r="H107" s="1447"/>
      <c r="I107" s="2004">
        <f>ROUND(SUM(I105+I103+I58),1)</f>
        <v>7037</v>
      </c>
      <c r="J107" s="1447"/>
      <c r="K107" s="2004">
        <f>ROUND(SUM(K105+K103+K58),1)</f>
        <v>7301.3</v>
      </c>
      <c r="L107" s="1447"/>
      <c r="M107" s="2004">
        <f>ROUND(SUM(M105+M103+M58),1)</f>
        <v>12808.2</v>
      </c>
      <c r="N107" s="1447"/>
      <c r="O107" s="1544">
        <f>ROUND(SUM(O105+O103+O58),1)</f>
        <v>0</v>
      </c>
      <c r="P107" s="1447"/>
      <c r="Q107" s="2004">
        <f>ROUND(SUM(Q105+Q103+Q58),1)</f>
        <v>0</v>
      </c>
      <c r="R107" s="1447"/>
      <c r="S107" s="2004">
        <f>ROUND(SUM(S105+S103+S58),1)</f>
        <v>0</v>
      </c>
      <c r="T107" s="1447"/>
      <c r="U107" s="2004">
        <f>ROUND(SUM(U105+U103+U58),1)</f>
        <v>0</v>
      </c>
      <c r="V107" s="1447"/>
      <c r="W107" s="2004">
        <f>ROUND(SUM(W105+W103+W58),1)</f>
        <v>0</v>
      </c>
      <c r="X107" s="1994"/>
      <c r="Y107" s="2004">
        <f>ROUND(SUM(Y105+Y103+Y58),1)</f>
        <v>0</v>
      </c>
      <c r="Z107" s="2746"/>
      <c r="AA107" s="2410"/>
      <c r="AB107" s="1544">
        <f>ROUND(SUM(AB105+AB103+AB58),1)</f>
        <v>62431.199999999997</v>
      </c>
      <c r="AC107" s="2034"/>
      <c r="AD107" s="2527"/>
      <c r="AE107" s="1544">
        <f>ROUND(SUM(AE105+AE103+AE58),1)</f>
        <v>52877.4</v>
      </c>
      <c r="AF107" s="1448"/>
      <c r="AG107" s="3323"/>
      <c r="AH107" s="1544">
        <f>ROUND(SUM(AH105+AH103+AH58),1)</f>
        <v>9553.7999999999993</v>
      </c>
      <c r="AI107" s="1448"/>
      <c r="AJ107" s="3322">
        <f>ROUND(SUM(+AH107/ABS(AE107)),3)</f>
        <v>0.18099999999999999</v>
      </c>
      <c r="AK107" s="2738"/>
      <c r="AL107" s="2738"/>
      <c r="AM107" s="2738"/>
      <c r="AN107" s="2738"/>
      <c r="AO107" s="2738"/>
      <c r="AP107" s="2738"/>
      <c r="AQ107" s="2738"/>
      <c r="AR107" s="2738"/>
      <c r="AS107" s="2738"/>
    </row>
    <row r="108" spans="1:45" ht="15.5">
      <c r="A108" s="1994"/>
      <c r="B108" s="1426"/>
      <c r="C108" s="2747"/>
      <c r="D108" s="1425"/>
      <c r="E108" s="2747"/>
      <c r="F108" s="1425"/>
      <c r="G108" s="2747"/>
      <c r="H108" s="1425"/>
      <c r="I108" s="2747"/>
      <c r="J108" s="1425"/>
      <c r="K108" s="2747"/>
      <c r="L108" s="1425"/>
      <c r="M108" s="2747"/>
      <c r="N108" s="1425"/>
      <c r="O108" s="2533"/>
      <c r="P108" s="1425"/>
      <c r="Q108" s="2747"/>
      <c r="R108" s="1425"/>
      <c r="S108" s="2747"/>
      <c r="T108" s="1425"/>
      <c r="U108" s="2747"/>
      <c r="V108" s="1425"/>
      <c r="W108" s="2747"/>
      <c r="X108" s="1425"/>
      <c r="Y108" s="2747"/>
      <c r="Z108" s="1425"/>
      <c r="AA108" s="2744"/>
      <c r="AB108" s="2533"/>
      <c r="AC108" s="3107"/>
      <c r="AD108" s="3358"/>
      <c r="AE108" s="2533"/>
      <c r="AF108" s="3109"/>
      <c r="AG108" s="3109"/>
      <c r="AH108" s="1984"/>
      <c r="AI108" s="3065"/>
      <c r="AJ108" s="3320"/>
    </row>
    <row r="109" spans="1:45" ht="15.5">
      <c r="A109" s="1994" t="s">
        <v>22</v>
      </c>
      <c r="B109" s="1426"/>
      <c r="C109" s="2742"/>
      <c r="D109" s="1425"/>
      <c r="E109" s="2742"/>
      <c r="F109" s="1425"/>
      <c r="G109" s="2742"/>
      <c r="H109" s="1425"/>
      <c r="I109" s="2742"/>
      <c r="J109" s="1425"/>
      <c r="K109" s="2742"/>
      <c r="L109" s="1425"/>
      <c r="M109" s="2742"/>
      <c r="N109" s="1425"/>
      <c r="O109" s="3109"/>
      <c r="P109" s="1425"/>
      <c r="Q109" s="2742"/>
      <c r="R109" s="1425"/>
      <c r="S109" s="2742"/>
      <c r="T109" s="1425"/>
      <c r="U109" s="2742"/>
      <c r="V109" s="1425"/>
      <c r="W109" s="2742"/>
      <c r="X109" s="1425"/>
      <c r="Y109" s="2742"/>
      <c r="Z109" s="1425"/>
      <c r="AA109" s="2744"/>
      <c r="AB109" s="3109"/>
      <c r="AC109" s="3107"/>
      <c r="AD109" s="3358"/>
      <c r="AE109" s="3109"/>
      <c r="AF109" s="3109"/>
      <c r="AG109" s="3109"/>
      <c r="AH109" s="1984"/>
      <c r="AI109" s="3065"/>
      <c r="AJ109" s="3320"/>
    </row>
    <row r="110" spans="1:45" ht="15.5">
      <c r="A110" s="1426" t="s">
        <v>136</v>
      </c>
      <c r="B110" s="1426"/>
      <c r="C110" s="1425"/>
      <c r="D110" s="1425"/>
      <c r="E110" s="1425"/>
      <c r="F110" s="1425"/>
      <c r="G110" s="1425"/>
      <c r="H110" s="1425"/>
      <c r="I110" s="1425"/>
      <c r="J110" s="1425"/>
      <c r="K110" s="1425"/>
      <c r="L110" s="1425"/>
      <c r="M110" s="1425"/>
      <c r="N110" s="1425"/>
      <c r="O110" s="3107"/>
      <c r="P110" s="1425"/>
      <c r="Q110" s="1425"/>
      <c r="R110" s="1425"/>
      <c r="S110" s="1425"/>
      <c r="T110" s="1425"/>
      <c r="U110" s="1425"/>
      <c r="V110" s="1425"/>
      <c r="W110" s="1425"/>
      <c r="X110" s="1425"/>
      <c r="Y110" s="1425"/>
      <c r="Z110" s="1425"/>
      <c r="AA110" s="2744"/>
      <c r="AB110" s="3107"/>
      <c r="AC110" s="3107"/>
      <c r="AD110" s="3358"/>
      <c r="AE110" s="1984"/>
      <c r="AF110" s="3109"/>
      <c r="AG110" s="3109"/>
      <c r="AH110" s="3107"/>
      <c r="AI110" s="3065"/>
      <c r="AJ110" s="1802"/>
    </row>
    <row r="111" spans="1:45" ht="15.5">
      <c r="A111" s="2748" t="s">
        <v>24</v>
      </c>
      <c r="B111" s="1426"/>
      <c r="C111" s="1425">
        <f>+'Exhibit F'!D100+'Exhibit G State'!D88</f>
        <v>524.29999999999995</v>
      </c>
      <c r="D111" s="1425"/>
      <c r="E111" s="1425">
        <f>+'Exhibit F'!F100+'Exhibit G State'!F88</f>
        <v>3896.3</v>
      </c>
      <c r="F111" s="1425"/>
      <c r="G111" s="1425">
        <f>+'Exhibit F'!H100+'Exhibit G State'!H88</f>
        <v>3163.2999999999997</v>
      </c>
      <c r="H111" s="1425"/>
      <c r="I111" s="1425">
        <f>+'Exhibit F'!J100+'Exhibit G State'!J88</f>
        <v>1505.4999999999995</v>
      </c>
      <c r="J111" s="1425"/>
      <c r="K111" s="1425">
        <f>+'Exhibit F'!L100+'Exhibit G State'!L88</f>
        <v>723.49999999999932</v>
      </c>
      <c r="L111" s="1425"/>
      <c r="M111" s="1425">
        <f>+'Exhibit F'!N100+'Exhibit G State'!N88</f>
        <v>4010.2000000000012</v>
      </c>
      <c r="N111" s="1425"/>
      <c r="O111" s="3107"/>
      <c r="P111" s="1425"/>
      <c r="Q111" s="1425"/>
      <c r="R111" s="1425"/>
      <c r="S111" s="1425"/>
      <c r="T111" s="1425"/>
      <c r="U111" s="1425"/>
      <c r="V111" s="1425"/>
      <c r="W111" s="1425"/>
      <c r="X111" s="1425"/>
      <c r="Y111" s="1425"/>
      <c r="Z111" s="1425"/>
      <c r="AA111" s="2744"/>
      <c r="AB111" s="1984">
        <f>ROUND(SUM(C111:Y111),1)</f>
        <v>13823.1</v>
      </c>
      <c r="AC111" s="3107"/>
      <c r="AD111" s="3358"/>
      <c r="AE111" s="1984">
        <f>+'Exhibit F'!AF100+'Exhibit G State'!AG88</f>
        <v>13510.1</v>
      </c>
      <c r="AF111" s="3109"/>
      <c r="AG111" s="3109"/>
      <c r="AH111" s="3107">
        <f>ROUND(SUM(AB111-AE111),1)</f>
        <v>313</v>
      </c>
      <c r="AI111" s="3065"/>
      <c r="AJ111" s="1802">
        <f>ROUND(SUM(AH111/ABS(AE111)),3)</f>
        <v>2.3E-2</v>
      </c>
    </row>
    <row r="112" spans="1:45" ht="15.5">
      <c r="A112" s="2748" t="s">
        <v>25</v>
      </c>
      <c r="B112" s="1426"/>
      <c r="C112" s="1425">
        <f>+'Exhibit F'!D101+'Exhibit G State'!D89</f>
        <v>0.1</v>
      </c>
      <c r="D112" s="1425"/>
      <c r="E112" s="1425">
        <f>+'Exhibit F'!F101+'Exhibit G State'!F89</f>
        <v>1.9</v>
      </c>
      <c r="F112" s="1425"/>
      <c r="G112" s="1425">
        <f>+'Exhibit F'!H101+'Exhibit G State'!H89</f>
        <v>4.0999999999999996</v>
      </c>
      <c r="H112" s="1425"/>
      <c r="I112" s="1425">
        <f>+'Exhibit F'!J101+'Exhibit G State'!J89</f>
        <v>0.59999999999999964</v>
      </c>
      <c r="J112" s="1425"/>
      <c r="K112" s="1425">
        <f>+'Exhibit F'!L101+'Exhibit G State'!L89</f>
        <v>0.80000000000000049</v>
      </c>
      <c r="L112" s="1425"/>
      <c r="M112" s="1425">
        <f>+'Exhibit F'!N101+'Exhibit G State'!N89</f>
        <v>0.19999999999999996</v>
      </c>
      <c r="N112" s="1425"/>
      <c r="O112" s="3107"/>
      <c r="P112" s="1425"/>
      <c r="Q112" s="1425"/>
      <c r="R112" s="1425"/>
      <c r="S112" s="1425"/>
      <c r="T112" s="1425"/>
      <c r="U112" s="1425"/>
      <c r="V112" s="1425"/>
      <c r="W112" s="1425"/>
      <c r="X112" s="1425"/>
      <c r="Y112" s="1425"/>
      <c r="Z112" s="1425"/>
      <c r="AA112" s="2744"/>
      <c r="AB112" s="1984">
        <f t="shared" ref="AB112:AB119" si="18">ROUND(SUM(C112:Y112),1)</f>
        <v>7.7</v>
      </c>
      <c r="AC112" s="3107"/>
      <c r="AD112" s="3358"/>
      <c r="AE112" s="1984">
        <f>+'Exhibit F'!AF101+'Exhibit G State'!AG89</f>
        <v>0.9</v>
      </c>
      <c r="AF112" s="3109"/>
      <c r="AG112" s="3109"/>
      <c r="AH112" s="3107">
        <f t="shared" ref="AH112:AH119" si="19">ROUND(SUM(AB112-AE112),1)</f>
        <v>6.8</v>
      </c>
      <c r="AI112" s="3065"/>
      <c r="AJ112" s="1813">
        <f>ROUND(IF(AE112=0,1,AH112/ABS(AE112)),3)</f>
        <v>7.556</v>
      </c>
    </row>
    <row r="113" spans="1:38" ht="15.5">
      <c r="A113" s="2748" t="s">
        <v>26</v>
      </c>
      <c r="B113" s="1426"/>
      <c r="C113" s="1425">
        <f>+'Exhibit F'!D102+'Exhibit G State'!D90</f>
        <v>13</v>
      </c>
      <c r="D113" s="1425"/>
      <c r="E113" s="1425">
        <f>+'Exhibit F'!F102+'Exhibit G State'!F90</f>
        <v>66.599999999999994</v>
      </c>
      <c r="F113" s="1425"/>
      <c r="G113" s="1425">
        <f>+'Exhibit F'!H102+'Exhibit G State'!H90</f>
        <v>456.5</v>
      </c>
      <c r="H113" s="1425"/>
      <c r="I113" s="1425">
        <f>+'Exhibit F'!J102+'Exhibit G State'!J90</f>
        <v>-20.299999999999997</v>
      </c>
      <c r="J113" s="1425"/>
      <c r="K113" s="1425">
        <f>+'Exhibit F'!L102+'Exhibit G State'!L90</f>
        <v>59.29999999999999</v>
      </c>
      <c r="L113" s="1425"/>
      <c r="M113" s="1425">
        <f>+'Exhibit F'!N102+'Exhibit G State'!N90</f>
        <v>119.30000000000004</v>
      </c>
      <c r="N113" s="1425"/>
      <c r="O113" s="3107"/>
      <c r="P113" s="1425"/>
      <c r="Q113" s="1425"/>
      <c r="R113" s="1425"/>
      <c r="S113" s="1425"/>
      <c r="T113" s="1425"/>
      <c r="U113" s="1425"/>
      <c r="V113" s="1425"/>
      <c r="W113" s="1425"/>
      <c r="X113" s="1425"/>
      <c r="Y113" s="1425"/>
      <c r="Z113" s="1425"/>
      <c r="AA113" s="2744"/>
      <c r="AB113" s="1984">
        <f t="shared" si="18"/>
        <v>694.4</v>
      </c>
      <c r="AC113" s="3107"/>
      <c r="AD113" s="3358"/>
      <c r="AE113" s="1984">
        <f>+'Exhibit F'!AF102+'Exhibit G State'!AG90</f>
        <v>637.19999999999993</v>
      </c>
      <c r="AF113" s="3109"/>
      <c r="AG113" s="3109"/>
      <c r="AH113" s="3107">
        <f t="shared" si="19"/>
        <v>57.2</v>
      </c>
      <c r="AI113" s="3065"/>
      <c r="AJ113" s="1802">
        <f>ROUND(SUM(AH113/ABS(AE113)),3)</f>
        <v>0.09</v>
      </c>
    </row>
    <row r="114" spans="1:38" ht="15.5">
      <c r="A114" s="2748" t="s">
        <v>27</v>
      </c>
      <c r="B114" s="1426"/>
      <c r="C114" s="1425"/>
      <c r="D114" s="1425"/>
      <c r="E114" s="1425"/>
      <c r="F114" s="1425"/>
      <c r="G114" s="1425"/>
      <c r="H114" s="1425"/>
      <c r="I114" s="1425"/>
      <c r="J114" s="1425"/>
      <c r="K114" s="1425"/>
      <c r="L114" s="1425"/>
      <c r="M114" s="1425"/>
      <c r="N114" s="1425"/>
      <c r="O114" s="3107"/>
      <c r="P114" s="1425"/>
      <c r="Q114" s="1425"/>
      <c r="R114" s="1425"/>
      <c r="S114" s="1425"/>
      <c r="T114" s="1425"/>
      <c r="U114" s="1425"/>
      <c r="V114" s="1425"/>
      <c r="W114" s="1425"/>
      <c r="X114" s="1425"/>
      <c r="Y114" s="1425"/>
      <c r="Z114" s="1425"/>
      <c r="AA114" s="2744"/>
      <c r="AB114" s="1984"/>
      <c r="AC114" s="3107"/>
      <c r="AD114" s="3358"/>
      <c r="AE114" s="2582"/>
      <c r="AF114" s="3109"/>
      <c r="AG114" s="3109"/>
      <c r="AH114" s="3107" t="s">
        <v>14</v>
      </c>
      <c r="AI114" s="3065"/>
      <c r="AJ114" s="1802"/>
    </row>
    <row r="115" spans="1:38" ht="15.5">
      <c r="A115" s="2749" t="s">
        <v>28</v>
      </c>
      <c r="B115" s="1426"/>
      <c r="C115" s="1425">
        <f>+'Exhibit F'!D104+'Exhibit G State'!D92</f>
        <v>3127.9</v>
      </c>
      <c r="D115" s="1425"/>
      <c r="E115" s="1425">
        <f>+'Exhibit F'!F104+'Exhibit G State'!F92</f>
        <v>1954.6</v>
      </c>
      <c r="F115" s="1425"/>
      <c r="G115" s="1425">
        <f>+'Exhibit F'!H104+'Exhibit G State'!H92</f>
        <v>2221.1</v>
      </c>
      <c r="H115" s="1425"/>
      <c r="I115" s="1425">
        <f>+'Exhibit F'!J104+'Exhibit G State'!J92</f>
        <v>1436.7999999999997</v>
      </c>
      <c r="J115" s="1425"/>
      <c r="K115" s="1425">
        <f>+'Exhibit F'!L104+'Exhibit G State'!L92</f>
        <v>1895.5000000000009</v>
      </c>
      <c r="L115" s="1425"/>
      <c r="M115" s="1425">
        <f>+'Exhibit F'!N104+'Exhibit G State'!N92</f>
        <v>1794.8000000000002</v>
      </c>
      <c r="N115" s="1425"/>
      <c r="O115" s="3107"/>
      <c r="P115" s="1425"/>
      <c r="Q115" s="1425"/>
      <c r="R115" s="1425"/>
      <c r="S115" s="1425"/>
      <c r="T115" s="1425"/>
      <c r="U115" s="1425"/>
      <c r="V115" s="1425"/>
      <c r="W115" s="1425"/>
      <c r="X115" s="1425"/>
      <c r="Y115" s="1425"/>
      <c r="Z115" s="1425"/>
      <c r="AA115" s="2744"/>
      <c r="AB115" s="1984">
        <f t="shared" si="18"/>
        <v>12430.7</v>
      </c>
      <c r="AC115" s="3107"/>
      <c r="AD115" s="3358"/>
      <c r="AE115" s="1984">
        <f>+'Exhibit F'!AF104+'Exhibit G State'!AG92</f>
        <v>11048.8</v>
      </c>
      <c r="AF115" s="3109"/>
      <c r="AG115" s="3109"/>
      <c r="AH115" s="3107">
        <f t="shared" si="19"/>
        <v>1381.9</v>
      </c>
      <c r="AI115" s="3065"/>
      <c r="AJ115" s="1802">
        <f t="shared" ref="AJ115:AJ121" si="20">ROUND(SUM(AH115/ABS(AE115)),3)</f>
        <v>0.125</v>
      </c>
      <c r="AK115" s="2750"/>
    </row>
    <row r="116" spans="1:38" ht="15.5">
      <c r="A116" s="2748" t="s">
        <v>29</v>
      </c>
      <c r="B116" s="1426"/>
      <c r="C116" s="1425">
        <f>+'Exhibit F'!D105+'Exhibit G State'!D93</f>
        <v>85.199999999999989</v>
      </c>
      <c r="D116" s="1425"/>
      <c r="E116" s="1425">
        <f>+'Exhibit F'!F105+'Exhibit G State'!F93</f>
        <v>149.30000000000001</v>
      </c>
      <c r="F116" s="1425"/>
      <c r="G116" s="1425">
        <f>+'Exhibit F'!H105+'Exhibit G State'!H93</f>
        <v>587.80000000000007</v>
      </c>
      <c r="H116" s="1425"/>
      <c r="I116" s="1425">
        <f>+'Exhibit F'!J105+'Exhibit G State'!J93</f>
        <v>212.19999999999987</v>
      </c>
      <c r="J116" s="1425"/>
      <c r="K116" s="1425">
        <f>+'Exhibit F'!L105+'Exhibit G State'!L93</f>
        <v>244.3</v>
      </c>
      <c r="L116" s="1425"/>
      <c r="M116" s="1425">
        <f>+'Exhibit F'!N105+'Exhibit G State'!N93</f>
        <v>435.49999999999994</v>
      </c>
      <c r="N116" s="1425"/>
      <c r="O116" s="3107"/>
      <c r="P116" s="1425"/>
      <c r="Q116" s="1425"/>
      <c r="R116" s="1425"/>
      <c r="S116" s="1425"/>
      <c r="T116" s="1425"/>
      <c r="U116" s="1425"/>
      <c r="V116" s="1425"/>
      <c r="W116" s="1425"/>
      <c r="X116" s="1425"/>
      <c r="Y116" s="1425"/>
      <c r="Z116" s="1425"/>
      <c r="AA116" s="2744"/>
      <c r="AB116" s="1984">
        <f t="shared" si="18"/>
        <v>1714.3</v>
      </c>
      <c r="AC116" s="3361"/>
      <c r="AD116" s="3107"/>
      <c r="AE116" s="1984">
        <f>+'Exhibit F'!AF105+'Exhibit G State'!AG93</f>
        <v>1515.7</v>
      </c>
      <c r="AF116" s="3109"/>
      <c r="AG116" s="3109"/>
      <c r="AH116" s="3107">
        <f t="shared" si="19"/>
        <v>198.6</v>
      </c>
      <c r="AI116" s="3065"/>
      <c r="AJ116" s="1802">
        <f t="shared" si="20"/>
        <v>0.13100000000000001</v>
      </c>
    </row>
    <row r="117" spans="1:38" ht="15.5">
      <c r="A117" s="2748" t="s">
        <v>30</v>
      </c>
      <c r="B117" s="1426"/>
      <c r="C117" s="1425">
        <f>+'Exhibit F'!D106+'Exhibit G State'!D94</f>
        <v>23.8</v>
      </c>
      <c r="D117" s="1425"/>
      <c r="E117" s="1425">
        <f>+'Exhibit F'!F106+'Exhibit G State'!F94</f>
        <v>49.599999999999994</v>
      </c>
      <c r="F117" s="1425"/>
      <c r="G117" s="1425">
        <f>+'Exhibit F'!H106+'Exhibit G State'!H94</f>
        <v>39.400000000000006</v>
      </c>
      <c r="H117" s="1425"/>
      <c r="I117" s="1425">
        <f>+'Exhibit F'!J106+'Exhibit G State'!J94</f>
        <v>17.999999999999996</v>
      </c>
      <c r="J117" s="1425"/>
      <c r="K117" s="1425">
        <f>+'Exhibit F'!L106+'Exhibit G State'!L94</f>
        <v>33.400000000000006</v>
      </c>
      <c r="L117" s="1425"/>
      <c r="M117" s="1425">
        <f>+'Exhibit F'!N106+'Exhibit G State'!N94</f>
        <v>40.599999999999994</v>
      </c>
      <c r="N117" s="1425"/>
      <c r="O117" s="3107"/>
      <c r="P117" s="1425"/>
      <c r="Q117" s="1425"/>
      <c r="R117" s="1425"/>
      <c r="S117" s="1425"/>
      <c r="T117" s="1425"/>
      <c r="U117" s="1425"/>
      <c r="V117" s="1425"/>
      <c r="W117" s="1425"/>
      <c r="X117" s="1425"/>
      <c r="Y117" s="1425"/>
      <c r="Z117" s="1425"/>
      <c r="AA117" s="2744"/>
      <c r="AB117" s="1984">
        <f t="shared" si="18"/>
        <v>204.8</v>
      </c>
      <c r="AC117" s="3362"/>
      <c r="AD117" s="3358"/>
      <c r="AE117" s="1984">
        <f>+'Exhibit F'!AF106+'Exhibit G State'!AG94</f>
        <v>117.39999999999999</v>
      </c>
      <c r="AF117" s="3109"/>
      <c r="AG117" s="3109"/>
      <c r="AH117" s="3107">
        <f t="shared" si="19"/>
        <v>87.4</v>
      </c>
      <c r="AI117" s="3065"/>
      <c r="AJ117" s="1802">
        <f t="shared" si="20"/>
        <v>0.74399999999999999</v>
      </c>
    </row>
    <row r="118" spans="1:38" ht="15.5">
      <c r="A118" s="2748" t="s">
        <v>31</v>
      </c>
      <c r="B118" s="1426"/>
      <c r="C118" s="1425">
        <f>+'Exhibit F'!D107+'Exhibit G State'!D95</f>
        <v>43.5</v>
      </c>
      <c r="D118" s="1425"/>
      <c r="E118" s="1425">
        <f>+'Exhibit F'!F107+'Exhibit G State'!F95</f>
        <v>100.5</v>
      </c>
      <c r="F118" s="1425"/>
      <c r="G118" s="1425">
        <f>+'Exhibit F'!H107+'Exhibit G State'!H95</f>
        <v>284.29999999999995</v>
      </c>
      <c r="H118" s="1425"/>
      <c r="I118" s="1425">
        <f>+'Exhibit F'!J107+'Exhibit G State'!J95</f>
        <v>318.80000000000018</v>
      </c>
      <c r="J118" s="1425"/>
      <c r="K118" s="1425">
        <f>+'Exhibit F'!L107+'Exhibit G State'!L95</f>
        <v>343.39999999999981</v>
      </c>
      <c r="L118" s="1425"/>
      <c r="M118" s="1425">
        <f>+'Exhibit F'!N107+'Exhibit G State'!N95</f>
        <v>943.40000000000009</v>
      </c>
      <c r="N118" s="1425"/>
      <c r="O118" s="3107"/>
      <c r="P118" s="1425"/>
      <c r="Q118" s="1425"/>
      <c r="R118" s="1425"/>
      <c r="S118" s="1425"/>
      <c r="T118" s="1425"/>
      <c r="U118" s="1425"/>
      <c r="V118" s="1425"/>
      <c r="W118" s="1425"/>
      <c r="X118" s="1425"/>
      <c r="Y118" s="1425"/>
      <c r="Z118" s="1425"/>
      <c r="AA118" s="2744"/>
      <c r="AB118" s="1984">
        <f t="shared" si="18"/>
        <v>2033.9</v>
      </c>
      <c r="AC118" s="3362"/>
      <c r="AD118" s="3358"/>
      <c r="AE118" s="1984">
        <f>+'Exhibit F'!AF107+'Exhibit G State'!AG95</f>
        <v>1358.6</v>
      </c>
      <c r="AF118" s="3109"/>
      <c r="AG118" s="3109"/>
      <c r="AH118" s="3107">
        <f t="shared" si="19"/>
        <v>675.3</v>
      </c>
      <c r="AI118" s="3065"/>
      <c r="AJ118" s="1802">
        <f t="shared" si="20"/>
        <v>0.497</v>
      </c>
    </row>
    <row r="119" spans="1:38" ht="15.5">
      <c r="A119" s="2748" t="s">
        <v>32</v>
      </c>
      <c r="B119" s="1426"/>
      <c r="C119" s="1425">
        <f>+'Exhibit F'!D108+'Exhibit G State'!D96</f>
        <v>5.3</v>
      </c>
      <c r="D119" s="1425"/>
      <c r="E119" s="1425">
        <f>+'Exhibit F'!F108+'Exhibit G State'!F96</f>
        <v>9.1999999999999993</v>
      </c>
      <c r="F119" s="1425"/>
      <c r="G119" s="1425">
        <f>+'Exhibit F'!H108+'Exhibit G State'!H96</f>
        <v>211.8</v>
      </c>
      <c r="H119" s="1425"/>
      <c r="I119" s="1425">
        <f>+'Exhibit F'!J108+'Exhibit G State'!J96</f>
        <v>26.699999999999982</v>
      </c>
      <c r="J119" s="1425"/>
      <c r="K119" s="1425">
        <f>+'Exhibit F'!L108+'Exhibit G State'!L96</f>
        <v>13.79999999999999</v>
      </c>
      <c r="L119" s="1425"/>
      <c r="M119" s="1425">
        <f>+'Exhibit F'!N108+'Exhibit G State'!N96</f>
        <v>27.900000000000023</v>
      </c>
      <c r="N119" s="1425"/>
      <c r="O119" s="3107"/>
      <c r="P119" s="1425"/>
      <c r="Q119" s="1425"/>
      <c r="R119" s="1425"/>
      <c r="S119" s="1425"/>
      <c r="T119" s="1425"/>
      <c r="U119" s="1425"/>
      <c r="V119" s="1425"/>
      <c r="W119" s="1425"/>
      <c r="X119" s="1425"/>
      <c r="Y119" s="1425"/>
      <c r="Z119" s="1425"/>
      <c r="AA119" s="2744"/>
      <c r="AB119" s="1984">
        <f t="shared" si="18"/>
        <v>294.7</v>
      </c>
      <c r="AC119" s="3362"/>
      <c r="AD119" s="3358"/>
      <c r="AE119" s="1984">
        <f>+'Exhibit F'!AF108+'Exhibit G State'!AG96</f>
        <v>48</v>
      </c>
      <c r="AF119" s="3109"/>
      <c r="AG119" s="3109"/>
      <c r="AH119" s="3107">
        <f t="shared" si="19"/>
        <v>246.7</v>
      </c>
      <c r="AI119" s="3065"/>
      <c r="AJ119" s="1802">
        <f t="shared" si="20"/>
        <v>5.14</v>
      </c>
    </row>
    <row r="120" spans="1:38" ht="15.5">
      <c r="A120" s="2748" t="s">
        <v>33</v>
      </c>
      <c r="B120" s="1426"/>
      <c r="C120" s="1425">
        <f>+'Exhibit F'!D109+'Exhibit G State'!D97</f>
        <v>208.5</v>
      </c>
      <c r="D120" s="1425"/>
      <c r="E120" s="1425">
        <f>+'Exhibit F'!F109+'Exhibit G State'!F97</f>
        <v>430.09999999999991</v>
      </c>
      <c r="F120" s="1425"/>
      <c r="G120" s="1425">
        <f>+'Exhibit F'!H109+'Exhibit G State'!H97</f>
        <v>298.60000000000008</v>
      </c>
      <c r="H120" s="1425"/>
      <c r="I120" s="1425">
        <f>+'Exhibit F'!J109+'Exhibit G State'!J97</f>
        <v>299.79999999999995</v>
      </c>
      <c r="J120" s="1425"/>
      <c r="K120" s="1425">
        <f>+'Exhibit F'!L109+'Exhibit G State'!L97</f>
        <v>434.9</v>
      </c>
      <c r="L120" s="1425"/>
      <c r="M120" s="1425">
        <f>+'Exhibit F'!N109+'Exhibit G State'!N97</f>
        <v>271.90000000000032</v>
      </c>
      <c r="N120" s="1425"/>
      <c r="O120" s="3107"/>
      <c r="P120" s="1425"/>
      <c r="Q120" s="1425"/>
      <c r="R120" s="1425"/>
      <c r="S120" s="1425"/>
      <c r="T120" s="1425"/>
      <c r="U120" s="1425"/>
      <c r="V120" s="1425"/>
      <c r="W120" s="1425"/>
      <c r="X120" s="1425"/>
      <c r="Y120" s="1425"/>
      <c r="Z120" s="1425"/>
      <c r="AA120" s="2744"/>
      <c r="AB120" s="3107">
        <f>ROUND(SUM(C120:Y120),1)</f>
        <v>1943.8</v>
      </c>
      <c r="AC120" s="3362"/>
      <c r="AD120" s="3358"/>
      <c r="AE120" s="1984">
        <f>+'Exhibit F'!AF109+'Exhibit G State'!AG97</f>
        <v>1449.2</v>
      </c>
      <c r="AF120" s="3109"/>
      <c r="AG120" s="3109"/>
      <c r="AH120" s="3107">
        <f>ROUND(SUM(AB120-AE120),1)</f>
        <v>494.6</v>
      </c>
      <c r="AI120" s="3065"/>
      <c r="AJ120" s="1434">
        <f t="shared" si="20"/>
        <v>0.34100000000000003</v>
      </c>
    </row>
    <row r="121" spans="1:38" ht="15.5">
      <c r="A121" s="1426" t="s">
        <v>34</v>
      </c>
      <c r="B121" s="1426"/>
      <c r="C121" s="2751">
        <f>ROUND(SUM(C111:C120),1)</f>
        <v>4031.6</v>
      </c>
      <c r="D121" s="2752"/>
      <c r="E121" s="2751">
        <f>ROUND(SUM(E111:E120),1)</f>
        <v>6658.1</v>
      </c>
      <c r="F121" s="2752"/>
      <c r="G121" s="2751">
        <f>ROUND(SUM(G111:G120),1)</f>
        <v>7266.9</v>
      </c>
      <c r="H121" s="2752"/>
      <c r="I121" s="2751">
        <f>ROUND(SUM(I111:I120),1)</f>
        <v>3798.1</v>
      </c>
      <c r="J121" s="2752"/>
      <c r="K121" s="2751">
        <f>ROUND(SUM(K111:K120),1)</f>
        <v>3748.9</v>
      </c>
      <c r="L121" s="2752"/>
      <c r="M121" s="2751">
        <f>ROUND(SUM(M111:M120),1)</f>
        <v>7643.8</v>
      </c>
      <c r="N121" s="2752"/>
      <c r="O121" s="3363">
        <f>ROUND(SUM(O111:O120),1)</f>
        <v>0</v>
      </c>
      <c r="P121" s="2752"/>
      <c r="Q121" s="2751">
        <f>ROUND(SUM(Q111:Q120),1)</f>
        <v>0</v>
      </c>
      <c r="R121" s="2752"/>
      <c r="S121" s="2751">
        <f>ROUND(SUM(S111:S120),1)</f>
        <v>0</v>
      </c>
      <c r="T121" s="2752"/>
      <c r="U121" s="2751">
        <f>ROUND(SUM(U111:U120),1)</f>
        <v>0</v>
      </c>
      <c r="V121" s="2752"/>
      <c r="W121" s="2751">
        <f>ROUND(SUM(W111:W120),1)</f>
        <v>0</v>
      </c>
      <c r="X121" s="2752"/>
      <c r="Y121" s="2751">
        <f>ROUND(SUM(Y111:Y120),1)</f>
        <v>0</v>
      </c>
      <c r="Z121" s="2752"/>
      <c r="AA121" s="2753"/>
      <c r="AB121" s="3363">
        <f>ROUND(SUM(AB111:AB120),1)</f>
        <v>33147.4</v>
      </c>
      <c r="AC121" s="3364"/>
      <c r="AD121" s="3365"/>
      <c r="AE121" s="1446">
        <f>ROUND(SUM(AE111:AE120),1)</f>
        <v>29685.9</v>
      </c>
      <c r="AF121" s="3108"/>
      <c r="AG121" s="3108"/>
      <c r="AH121" s="1446">
        <f>ROUND(SUM(AH111:AH120),1)</f>
        <v>3461.5</v>
      </c>
      <c r="AI121" s="3049"/>
      <c r="AJ121" s="2522">
        <f t="shared" si="20"/>
        <v>0.11700000000000001</v>
      </c>
      <c r="AK121" s="2738"/>
      <c r="AL121" s="2738"/>
    </row>
    <row r="122" spans="1:38" ht="15.5">
      <c r="A122" s="1426" t="s">
        <v>35</v>
      </c>
      <c r="B122" s="1426"/>
      <c r="C122" s="2742"/>
      <c r="D122" s="1425"/>
      <c r="E122" s="2742"/>
      <c r="F122" s="1425"/>
      <c r="G122" s="2742"/>
      <c r="H122" s="1425"/>
      <c r="I122" s="2742"/>
      <c r="J122" s="1425"/>
      <c r="K122" s="2742"/>
      <c r="L122" s="1425"/>
      <c r="M122" s="2742"/>
      <c r="N122" s="1425"/>
      <c r="O122" s="3109"/>
      <c r="P122" s="1425"/>
      <c r="Q122" s="2742"/>
      <c r="R122" s="1425"/>
      <c r="S122" s="2742"/>
      <c r="T122" s="1425"/>
      <c r="U122" s="2742"/>
      <c r="V122" s="1425"/>
      <c r="W122" s="2742"/>
      <c r="X122" s="1425"/>
      <c r="Y122" s="2742"/>
      <c r="Z122" s="1425"/>
      <c r="AA122" s="2744"/>
      <c r="AB122" s="3109"/>
      <c r="AC122" s="3107"/>
      <c r="AD122" s="3358"/>
      <c r="AE122" s="2025"/>
      <c r="AF122" s="3109"/>
      <c r="AG122" s="3109"/>
      <c r="AH122" s="1984"/>
      <c r="AI122" s="3065"/>
      <c r="AJ122" s="3320"/>
    </row>
    <row r="123" spans="1:38" ht="15.5">
      <c r="A123" s="1426" t="s">
        <v>137</v>
      </c>
      <c r="B123" s="1426"/>
      <c r="C123" s="1425">
        <f>+'Exhibit F'!D112+'Exhibit G State'!D100</f>
        <v>1107.2</v>
      </c>
      <c r="D123" s="1425"/>
      <c r="E123" s="1425">
        <f>+'Exhibit F'!F112+'Exhibit G State'!F100</f>
        <v>1131.4000000000001</v>
      </c>
      <c r="F123" s="1425"/>
      <c r="G123" s="1425">
        <f>+'Exhibit F'!H112+'Exhibit G State'!H100</f>
        <v>709.8</v>
      </c>
      <c r="H123" s="1425"/>
      <c r="I123" s="1425">
        <f>+'Exhibit F'!J112+'Exhibit G State'!J100</f>
        <v>1272.6000000000001</v>
      </c>
      <c r="J123" s="1425"/>
      <c r="K123" s="1425">
        <f>+'Exhibit F'!L112+'Exhibit G State'!L100</f>
        <v>1060.8000000000002</v>
      </c>
      <c r="L123" s="1425"/>
      <c r="M123" s="1425">
        <f>+'Exhibit F'!N112+'Exhibit G State'!N100</f>
        <v>1415.6</v>
      </c>
      <c r="N123" s="1425"/>
      <c r="O123" s="3107"/>
      <c r="P123" s="1425"/>
      <c r="Q123" s="1425"/>
      <c r="R123" s="1425"/>
      <c r="S123" s="1425"/>
      <c r="T123" s="1425"/>
      <c r="U123" s="1425"/>
      <c r="V123" s="1425"/>
      <c r="W123" s="1425"/>
      <c r="X123" s="1425"/>
      <c r="Y123" s="1425"/>
      <c r="Z123" s="1425"/>
      <c r="AA123" s="2744"/>
      <c r="AB123" s="3107">
        <f>ROUND(SUM(C123:Y123),1)</f>
        <v>6697.4</v>
      </c>
      <c r="AC123" s="3107"/>
      <c r="AD123" s="3358"/>
      <c r="AE123" s="1984">
        <f>+'Exhibit F'!AF112+'Exhibit G State'!AG100</f>
        <v>7082.2999999999993</v>
      </c>
      <c r="AF123" s="3109"/>
      <c r="AG123" s="3109"/>
      <c r="AH123" s="3107">
        <f>ROUND(SUM(AB123-AE123),1)</f>
        <v>-384.9</v>
      </c>
      <c r="AI123" s="3065"/>
      <c r="AJ123" s="1802">
        <f>ROUND(SUM(AH123/ABS(AE123)),3)</f>
        <v>-5.3999999999999999E-2</v>
      </c>
    </row>
    <row r="124" spans="1:38" ht="15.5">
      <c r="A124" s="1426" t="s">
        <v>138</v>
      </c>
      <c r="B124" s="1426"/>
      <c r="C124" s="1425">
        <f>+'Exhibit F'!D113+'Exhibit G State'!D101+'Exhibit H'!B55</f>
        <v>362.49999999999994</v>
      </c>
      <c r="D124" s="1425"/>
      <c r="E124" s="1425">
        <f>+'Exhibit F'!F113+'Exhibit G State'!F101+'Exhibit H'!D55</f>
        <v>470.3</v>
      </c>
      <c r="F124" s="1425"/>
      <c r="G124" s="1425">
        <f>+'Exhibit F'!H113+'Exhibit G State'!H101+'Exhibit H'!F55</f>
        <v>373.99999999999994</v>
      </c>
      <c r="H124" s="1425"/>
      <c r="I124" s="1425">
        <f>+'Exhibit F'!J113+'Exhibit G State'!J101+'Exhibit H'!H55</f>
        <v>364.90000000000003</v>
      </c>
      <c r="J124" s="1425"/>
      <c r="K124" s="1425">
        <f>+'Exhibit F'!L113+'Exhibit G State'!L101+'Exhibit H'!J55</f>
        <v>511.80000000000007</v>
      </c>
      <c r="L124" s="1425"/>
      <c r="M124" s="1425">
        <f>+'Exhibit F'!N113+'Exhibit G State'!N101+'Exhibit H'!L55</f>
        <v>485.59999999999991</v>
      </c>
      <c r="N124" s="1425"/>
      <c r="O124" s="3107"/>
      <c r="P124" s="1425"/>
      <c r="Q124" s="1425"/>
      <c r="R124" s="1425"/>
      <c r="S124" s="1425"/>
      <c r="T124" s="1425"/>
      <c r="U124" s="1425"/>
      <c r="V124" s="1425"/>
      <c r="W124" s="1425"/>
      <c r="X124" s="1425"/>
      <c r="Y124" s="1425"/>
      <c r="Z124" s="1425"/>
      <c r="AA124" s="2744"/>
      <c r="AB124" s="3107">
        <f>ROUND(SUM(C124:Y124),1)</f>
        <v>2569.1</v>
      </c>
      <c r="AC124" s="3107"/>
      <c r="AD124" s="3358"/>
      <c r="AE124" s="1984">
        <f>+'Exhibit F'!AF113+'Exhibit G State'!AG101+'Exhibit H'!AD55</f>
        <v>1857</v>
      </c>
      <c r="AF124" s="3109"/>
      <c r="AG124" s="3109"/>
      <c r="AH124" s="3107">
        <f>ROUND(SUM(AB124-AE124),1)</f>
        <v>712.1</v>
      </c>
      <c r="AI124" s="3065"/>
      <c r="AJ124" s="1802">
        <f>ROUND(SUM(AH124/ABS(AE124)),3)</f>
        <v>0.38300000000000001</v>
      </c>
    </row>
    <row r="125" spans="1:38" ht="15.5">
      <c r="A125" s="1426" t="s">
        <v>38</v>
      </c>
      <c r="B125" s="1426"/>
      <c r="C125" s="1425">
        <f>+'Exhibit F'!D114+'Exhibit G State'!D102</f>
        <v>870.09999999999991</v>
      </c>
      <c r="D125" s="1425"/>
      <c r="E125" s="1425">
        <f>+'Exhibit F'!F114+'Exhibit G State'!F102</f>
        <v>2340.0000000000005</v>
      </c>
      <c r="F125" s="1425"/>
      <c r="G125" s="1425">
        <f>+'Exhibit F'!H114+'Exhibit G State'!H102</f>
        <v>468.8999999999993</v>
      </c>
      <c r="H125" s="1425"/>
      <c r="I125" s="1425">
        <f>+'Exhibit F'!J114+'Exhibit G State'!J102</f>
        <v>537.20000000000073</v>
      </c>
      <c r="J125" s="1425"/>
      <c r="K125" s="1425">
        <f>+'Exhibit F'!L114+'Exhibit G State'!L102</f>
        <v>468.39999999999964</v>
      </c>
      <c r="L125" s="1425"/>
      <c r="M125" s="1425">
        <f>+'Exhibit F'!N114+'Exhibit G State'!N102</f>
        <v>700.79999999999961</v>
      </c>
      <c r="N125" s="1425"/>
      <c r="O125" s="3107"/>
      <c r="P125" s="1425"/>
      <c r="Q125" s="1425"/>
      <c r="R125" s="1425"/>
      <c r="S125" s="1425"/>
      <c r="T125" s="1425"/>
      <c r="U125" s="1425"/>
      <c r="V125" s="1425"/>
      <c r="W125" s="1425"/>
      <c r="X125" s="1425"/>
      <c r="Y125" s="1425"/>
      <c r="Z125" s="1425"/>
      <c r="AA125" s="2744"/>
      <c r="AB125" s="3107">
        <f>ROUND(SUM(C125:Y125),1)</f>
        <v>5385.4</v>
      </c>
      <c r="AC125" s="3107"/>
      <c r="AD125" s="3358"/>
      <c r="AE125" s="1984">
        <f>+'Exhibit F'!AF114+'Exhibit G State'!AG102</f>
        <v>4789.5</v>
      </c>
      <c r="AF125" s="3109"/>
      <c r="AG125" s="3109"/>
      <c r="AH125" s="3107">
        <f>ROUND(SUM(AB125-AE125),1)</f>
        <v>595.9</v>
      </c>
      <c r="AI125" s="3065"/>
      <c r="AJ125" s="1802">
        <f>ROUND(SUM(AH125/ABS(AE125)),3)</f>
        <v>0.124</v>
      </c>
    </row>
    <row r="126" spans="1:38" ht="15.5">
      <c r="A126" s="1426" t="s">
        <v>39</v>
      </c>
      <c r="B126" s="1426"/>
      <c r="C126" s="2742"/>
      <c r="D126" s="1425"/>
      <c r="E126" s="2742"/>
      <c r="F126" s="1425"/>
      <c r="G126" s="2742"/>
      <c r="H126" s="1425"/>
      <c r="I126" s="2742"/>
      <c r="J126" s="1425"/>
      <c r="K126" s="2742"/>
      <c r="L126" s="1425"/>
      <c r="M126" s="2742"/>
      <c r="N126" s="1425"/>
      <c r="O126" s="3109"/>
      <c r="P126" s="1425"/>
      <c r="Q126" s="2742"/>
      <c r="R126" s="1425"/>
      <c r="S126" s="2742"/>
      <c r="T126" s="1425"/>
      <c r="U126" s="2742"/>
      <c r="V126" s="1425"/>
      <c r="W126" s="2742"/>
      <c r="X126" s="1425"/>
      <c r="Y126" s="2742"/>
      <c r="Z126" s="1425"/>
      <c r="AA126" s="2744"/>
      <c r="AB126" s="3107"/>
      <c r="AC126" s="3107"/>
      <c r="AD126" s="3358"/>
      <c r="AE126" s="3109"/>
      <c r="AF126" s="3109"/>
      <c r="AG126" s="3109"/>
      <c r="AH126" s="3107"/>
      <c r="AI126" s="3065"/>
      <c r="AJ126" s="1802"/>
    </row>
    <row r="127" spans="1:38" ht="15.5">
      <c r="A127" s="1426" t="s">
        <v>40</v>
      </c>
      <c r="B127" s="1426"/>
      <c r="C127" s="1425">
        <f>+'Exhibit H'!B57</f>
        <v>122.4</v>
      </c>
      <c r="D127" s="1425"/>
      <c r="E127" s="1425">
        <f>+'Exhibit H'!D57</f>
        <v>40.5</v>
      </c>
      <c r="F127" s="1425"/>
      <c r="G127" s="1425">
        <f>+'Exhibit H'!F57</f>
        <v>-21.800000000000011</v>
      </c>
      <c r="H127" s="1425"/>
      <c r="I127" s="1425">
        <f>+'Exhibit H'!H57</f>
        <v>7.2</v>
      </c>
      <c r="J127" s="1425"/>
      <c r="K127" s="1425">
        <f>+'Exhibit H'!J57</f>
        <v>307.70000000000005</v>
      </c>
      <c r="L127" s="1425"/>
      <c r="M127" s="1425">
        <f>+'Exhibit H'!L57</f>
        <v>742.19999999999982</v>
      </c>
      <c r="N127" s="1425"/>
      <c r="O127" s="3107"/>
      <c r="P127" s="1425"/>
      <c r="Q127" s="1425"/>
      <c r="R127" s="1425"/>
      <c r="S127" s="1425"/>
      <c r="T127" s="1425"/>
      <c r="U127" s="1425"/>
      <c r="V127" s="1425"/>
      <c r="W127" s="1425"/>
      <c r="X127" s="1425"/>
      <c r="Y127" s="1425"/>
      <c r="Z127" s="1425"/>
      <c r="AA127" s="2744"/>
      <c r="AB127" s="3107">
        <f>ROUND(SUM(C127:Y127),1)</f>
        <v>1198.2</v>
      </c>
      <c r="AC127" s="3107"/>
      <c r="AD127" s="3358"/>
      <c r="AE127" s="2025">
        <f>+'Exhibit H'!AD57</f>
        <v>1279</v>
      </c>
      <c r="AF127" s="3109"/>
      <c r="AG127" s="3109"/>
      <c r="AH127" s="3107">
        <f>ROUND(SUM(AB127-AE127),1)</f>
        <v>-80.8</v>
      </c>
      <c r="AI127" s="3065"/>
      <c r="AJ127" s="1802">
        <f>ROUND(SUM(AH127/ABS(AE127)),3)</f>
        <v>-6.3E-2</v>
      </c>
    </row>
    <row r="128" spans="1:38" ht="15.5">
      <c r="A128" s="1426" t="s">
        <v>139</v>
      </c>
      <c r="B128" s="1426"/>
      <c r="C128" s="1425">
        <f>'Exhibit G State'!D103</f>
        <v>0</v>
      </c>
      <c r="D128" s="1425"/>
      <c r="E128" s="1425">
        <f>'Exhibit G State'!F103</f>
        <v>0</v>
      </c>
      <c r="F128" s="1425"/>
      <c r="G128" s="1425">
        <f>'Exhibit G State'!H103</f>
        <v>0</v>
      </c>
      <c r="H128" s="1425"/>
      <c r="I128" s="1425">
        <f>'Exhibit G State'!J103</f>
        <v>0</v>
      </c>
      <c r="J128" s="1425"/>
      <c r="K128" s="1425">
        <f>'Exhibit G State'!L103</f>
        <v>0</v>
      </c>
      <c r="L128" s="1425"/>
      <c r="M128" s="1425">
        <f>'Exhibit G State'!N103</f>
        <v>0</v>
      </c>
      <c r="N128" s="1425"/>
      <c r="O128" s="3107"/>
      <c r="P128" s="1425"/>
      <c r="Q128" s="1425"/>
      <c r="R128" s="1425"/>
      <c r="S128" s="1425"/>
      <c r="T128" s="1425"/>
      <c r="U128" s="1425"/>
      <c r="V128" s="1425"/>
      <c r="W128" s="1425"/>
      <c r="X128" s="1425"/>
      <c r="Y128" s="1425"/>
      <c r="Z128" s="1425"/>
      <c r="AA128" s="2743"/>
      <c r="AB128" s="3107">
        <f>ROUND(SUM(C128:Y128),1)</f>
        <v>0</v>
      </c>
      <c r="AC128" s="3107"/>
      <c r="AD128" s="3358"/>
      <c r="AE128" s="2025">
        <f>+'Exhibit G'!AG105-2.3</f>
        <v>0</v>
      </c>
      <c r="AF128" s="3109"/>
      <c r="AG128" s="3109"/>
      <c r="AH128" s="3107">
        <f>ROUND(SUM(AB128-AE128),1)</f>
        <v>0</v>
      </c>
      <c r="AI128" s="3065"/>
      <c r="AJ128" s="1708">
        <f>ROUND(IF(AE128=0,0,AH128/ABS(AE128)),3)</f>
        <v>0</v>
      </c>
    </row>
    <row r="129" spans="1:59" ht="16.5" customHeight="1">
      <c r="A129" s="1426"/>
      <c r="B129" s="1426"/>
      <c r="C129" s="3492"/>
      <c r="D129" s="1425"/>
      <c r="E129" s="3492"/>
      <c r="F129" s="1425"/>
      <c r="G129" s="3492"/>
      <c r="H129" s="1425"/>
      <c r="I129" s="3492"/>
      <c r="J129" s="1425"/>
      <c r="K129" s="3492"/>
      <c r="L129" s="1425"/>
      <c r="M129" s="3492"/>
      <c r="N129" s="1425"/>
      <c r="O129" s="3493"/>
      <c r="P129" s="1425"/>
      <c r="Q129" s="3492"/>
      <c r="R129" s="1425"/>
      <c r="S129" s="3492"/>
      <c r="T129" s="1425"/>
      <c r="U129" s="3492"/>
      <c r="V129" s="1425"/>
      <c r="W129" s="3492"/>
      <c r="X129" s="1425"/>
      <c r="Y129" s="3492"/>
      <c r="Z129" s="1425"/>
      <c r="AA129" s="2744"/>
      <c r="AB129" s="3493"/>
      <c r="AC129" s="3107"/>
      <c r="AD129" s="3358"/>
      <c r="AE129" s="3493"/>
      <c r="AF129" s="3109"/>
      <c r="AG129" s="3109"/>
      <c r="AH129" s="3493"/>
      <c r="AI129" s="3065"/>
      <c r="AJ129" s="3494"/>
    </row>
    <row r="130" spans="1:59" ht="16.5" customHeight="1">
      <c r="A130" s="1994" t="s">
        <v>56</v>
      </c>
      <c r="B130" s="1426"/>
      <c r="C130" s="2754">
        <f>ROUND(SUM(C121:C128),1)</f>
        <v>6493.8</v>
      </c>
      <c r="D130" s="2752"/>
      <c r="E130" s="2754">
        <f>ROUND(SUM(E121:E128),1)</f>
        <v>10640.3</v>
      </c>
      <c r="F130" s="2752"/>
      <c r="G130" s="2754">
        <f>ROUND(SUM(G121:G128),1)</f>
        <v>8797.7999999999993</v>
      </c>
      <c r="H130" s="2752"/>
      <c r="I130" s="2754">
        <f>ROUND(SUM(I121:I128),1)</f>
        <v>5980</v>
      </c>
      <c r="J130" s="2752"/>
      <c r="K130" s="2754">
        <f>ROUND(SUM(K121:K128),1)</f>
        <v>6097.6</v>
      </c>
      <c r="L130" s="2752"/>
      <c r="M130" s="2754">
        <f>ROUND(SUM(M121:M128),1)</f>
        <v>10988</v>
      </c>
      <c r="N130" s="2752"/>
      <c r="O130" s="3111">
        <f>ROUND(SUM(O121:O128),1)</f>
        <v>0</v>
      </c>
      <c r="P130" s="2752"/>
      <c r="Q130" s="2754">
        <f>ROUND(SUM(Q121:Q128),1)</f>
        <v>0</v>
      </c>
      <c r="R130" s="2752"/>
      <c r="S130" s="2754">
        <f>ROUND(SUM(S121:S128),1)</f>
        <v>0</v>
      </c>
      <c r="T130" s="2752"/>
      <c r="U130" s="2754">
        <f>ROUND(SUM(U121:U128),1)</f>
        <v>0</v>
      </c>
      <c r="V130" s="2752"/>
      <c r="W130" s="2754">
        <f>ROUND(SUM(W121:W128),1)</f>
        <v>0</v>
      </c>
      <c r="X130" s="2752"/>
      <c r="Y130" s="2754">
        <f>ROUND(SUM(Y121:Y128),1)</f>
        <v>0</v>
      </c>
      <c r="Z130" s="2752"/>
      <c r="AA130" s="2753"/>
      <c r="AB130" s="3111">
        <f>ROUND(SUM(AB121:AB128),1)</f>
        <v>48997.5</v>
      </c>
      <c r="AC130" s="3366"/>
      <c r="AD130" s="3365"/>
      <c r="AE130" s="1544">
        <f>ROUND(SUM(AE121:AE129),1)</f>
        <v>44693.7</v>
      </c>
      <c r="AF130" s="3108"/>
      <c r="AG130" s="3108"/>
      <c r="AH130" s="1544">
        <f>ROUND(SUM(AH121:AH129),1)</f>
        <v>4303.8</v>
      </c>
      <c r="AI130" s="3049"/>
      <c r="AJ130" s="2546">
        <f>ROUND(SUM(AH130/ABS(AE130)),3)</f>
        <v>9.6000000000000002E-2</v>
      </c>
      <c r="AK130" s="2738"/>
      <c r="AL130" s="2738"/>
      <c r="AM130" s="2738"/>
      <c r="AN130" s="2738"/>
      <c r="AO130" s="2738"/>
      <c r="AP130" s="2738"/>
      <c r="AQ130" s="2738"/>
      <c r="AR130" s="2738"/>
    </row>
    <row r="131" spans="1:59" ht="16.5" customHeight="1">
      <c r="A131" s="1994"/>
      <c r="B131" s="1426"/>
      <c r="C131" s="1425"/>
      <c r="D131" s="1425"/>
      <c r="E131" s="1425"/>
      <c r="F131" s="1425"/>
      <c r="G131" s="1425"/>
      <c r="H131" s="1425"/>
      <c r="I131" s="1425"/>
      <c r="J131" s="1425"/>
      <c r="K131" s="1425"/>
      <c r="L131" s="1425"/>
      <c r="M131" s="1425"/>
      <c r="N131" s="1425"/>
      <c r="O131" s="3107"/>
      <c r="P131" s="1425"/>
      <c r="Q131" s="1425"/>
      <c r="R131" s="1425"/>
      <c r="S131" s="1425"/>
      <c r="T131" s="1425"/>
      <c r="U131" s="1425"/>
      <c r="V131" s="1425"/>
      <c r="W131" s="1425"/>
      <c r="X131" s="1425"/>
      <c r="Y131" s="1425"/>
      <c r="Z131" s="1425"/>
      <c r="AA131" s="2744"/>
      <c r="AB131" s="3107"/>
      <c r="AC131" s="3107"/>
      <c r="AD131" s="3358"/>
      <c r="AE131" s="3107"/>
      <c r="AF131" s="3109"/>
      <c r="AG131" s="3109"/>
      <c r="AH131" s="1984"/>
      <c r="AI131" s="3065"/>
      <c r="AJ131" s="3320"/>
    </row>
    <row r="132" spans="1:59" ht="16.5" customHeight="1">
      <c r="A132" s="1994" t="s">
        <v>43</v>
      </c>
      <c r="B132" s="1426"/>
      <c r="C132" s="1425"/>
      <c r="D132" s="1425"/>
      <c r="E132" s="1425"/>
      <c r="F132" s="1425"/>
      <c r="G132" s="1425"/>
      <c r="H132" s="1425"/>
      <c r="I132" s="1425"/>
      <c r="J132" s="1425"/>
      <c r="K132" s="1425"/>
      <c r="L132" s="1425"/>
      <c r="M132" s="1425"/>
      <c r="N132" s="1425"/>
      <c r="O132" s="3107"/>
      <c r="P132" s="1425"/>
      <c r="Q132" s="1425"/>
      <c r="R132" s="1425"/>
      <c r="S132" s="1425"/>
      <c r="T132" s="1425"/>
      <c r="U132" s="1425"/>
      <c r="V132" s="1425"/>
      <c r="W132" s="1425"/>
      <c r="X132" s="1425"/>
      <c r="Y132" s="1425"/>
      <c r="Z132" s="1425"/>
      <c r="AA132" s="2744"/>
      <c r="AB132" s="3107"/>
      <c r="AC132" s="3107"/>
      <c r="AD132" s="3358"/>
      <c r="AE132" s="3107"/>
      <c r="AF132" s="3109"/>
      <c r="AG132" s="3109"/>
      <c r="AH132" s="1984"/>
      <c r="AI132" s="3065"/>
      <c r="AJ132" s="3320"/>
    </row>
    <row r="133" spans="1:59" ht="16.5" customHeight="1">
      <c r="A133" s="1994" t="s">
        <v>44</v>
      </c>
      <c r="B133" s="1426"/>
      <c r="C133" s="2754">
        <f>ROUND(SUM(C107-C130),1)</f>
        <v>4148.5</v>
      </c>
      <c r="D133" s="2752"/>
      <c r="E133" s="2754">
        <f>ROUND(SUM(E107-E130),1)</f>
        <v>2407.5</v>
      </c>
      <c r="F133" s="2752"/>
      <c r="G133" s="2754">
        <f>ROUND(SUM(G107-G130),1)</f>
        <v>2796.8</v>
      </c>
      <c r="H133" s="2752"/>
      <c r="I133" s="2754">
        <f>ROUND(SUM(I107-I130),1)</f>
        <v>1057</v>
      </c>
      <c r="J133" s="2752"/>
      <c r="K133" s="2754">
        <f>ROUND(SUM(K107-K130),1)</f>
        <v>1203.7</v>
      </c>
      <c r="L133" s="2752"/>
      <c r="M133" s="2754">
        <f>ROUND(SUM(M107-M130),1)</f>
        <v>1820.2</v>
      </c>
      <c r="N133" s="2752"/>
      <c r="O133" s="3111">
        <f>ROUND(SUM(O107-O130),1)</f>
        <v>0</v>
      </c>
      <c r="P133" s="2752"/>
      <c r="Q133" s="2754">
        <f>ROUND(SUM(Q107-Q130),1)</f>
        <v>0</v>
      </c>
      <c r="R133" s="2752"/>
      <c r="S133" s="2754">
        <f>ROUND(SUM(S107-S130),1)</f>
        <v>0</v>
      </c>
      <c r="T133" s="2752"/>
      <c r="U133" s="2754">
        <f>ROUND(SUM(U107-U130),1)</f>
        <v>0</v>
      </c>
      <c r="V133" s="2752"/>
      <c r="W133" s="2754">
        <f>ROUND(SUM(W107-W130),1)</f>
        <v>0</v>
      </c>
      <c r="X133" s="2752"/>
      <c r="Y133" s="2754">
        <f>ROUND(SUM(Y107-Y130),1)</f>
        <v>0</v>
      </c>
      <c r="Z133" s="2752"/>
      <c r="AA133" s="2753"/>
      <c r="AB133" s="3111">
        <f>ROUND(SUM(AB107-AB130),1)</f>
        <v>13433.7</v>
      </c>
      <c r="AC133" s="3366"/>
      <c r="AD133" s="3365"/>
      <c r="AE133" s="3111">
        <f>ROUND(SUM(AE107-AE130),1)</f>
        <v>8183.7</v>
      </c>
      <c r="AF133" s="3108"/>
      <c r="AG133" s="3108"/>
      <c r="AH133" s="3326">
        <f>ROUND(SUM(AB133-AE133),1)</f>
        <v>5250</v>
      </c>
      <c r="AI133" s="3049"/>
      <c r="AJ133" s="2166">
        <f>ROUND(SUM(AH133/ABS(AE133)),3)</f>
        <v>0.64200000000000002</v>
      </c>
      <c r="AK133" s="2738"/>
      <c r="AL133" s="2738"/>
    </row>
    <row r="134" spans="1:59" ht="16.5" customHeight="1">
      <c r="A134" s="1826"/>
      <c r="B134" s="1426"/>
      <c r="C134" s="2747"/>
      <c r="D134" s="1425"/>
      <c r="E134" s="2747"/>
      <c r="F134" s="1425"/>
      <c r="G134" s="2747"/>
      <c r="H134" s="1425"/>
      <c r="I134" s="2747"/>
      <c r="J134" s="1425"/>
      <c r="K134" s="2747"/>
      <c r="L134" s="1425"/>
      <c r="M134" s="2747"/>
      <c r="N134" s="1425"/>
      <c r="O134" s="2533"/>
      <c r="P134" s="1425"/>
      <c r="Q134" s="2747"/>
      <c r="R134" s="1425"/>
      <c r="S134" s="2747"/>
      <c r="T134" s="1425"/>
      <c r="U134" s="2747"/>
      <c r="V134" s="1425"/>
      <c r="W134" s="2747"/>
      <c r="X134" s="1425"/>
      <c r="Y134" s="2747"/>
      <c r="Z134" s="2755"/>
      <c r="AA134" s="2744"/>
      <c r="AB134" s="2533"/>
      <c r="AC134" s="3107"/>
      <c r="AD134" s="3358"/>
      <c r="AE134" s="2533"/>
      <c r="AF134" s="3109"/>
      <c r="AG134" s="3109"/>
      <c r="AH134" s="1984"/>
      <c r="AI134" s="3065"/>
      <c r="AJ134" s="3320"/>
    </row>
    <row r="135" spans="1:59" ht="16.5" customHeight="1">
      <c r="A135" s="1994" t="s">
        <v>45</v>
      </c>
      <c r="B135" s="1426"/>
      <c r="C135" s="2742"/>
      <c r="D135" s="1425"/>
      <c r="E135" s="2742"/>
      <c r="F135" s="2756"/>
      <c r="G135" s="2742"/>
      <c r="H135" s="2756"/>
      <c r="I135" s="2757"/>
      <c r="J135" s="2756"/>
      <c r="K135" s="2757"/>
      <c r="L135" s="2756"/>
      <c r="M135" s="2757"/>
      <c r="N135" s="2756"/>
      <c r="O135" s="3808"/>
      <c r="P135" s="2756"/>
      <c r="Q135" s="2757"/>
      <c r="R135" s="2756"/>
      <c r="S135" s="2757"/>
      <c r="T135" s="2756"/>
      <c r="U135" s="2757"/>
      <c r="V135" s="1425"/>
      <c r="W135" s="2757"/>
      <c r="X135" s="1425"/>
      <c r="Y135" s="2757"/>
      <c r="Z135" s="2758"/>
      <c r="AA135" s="2744"/>
      <c r="AB135" s="3109"/>
      <c r="AC135" s="3367"/>
      <c r="AD135" s="3107"/>
      <c r="AE135" s="3109"/>
      <c r="AF135" s="3109"/>
      <c r="AG135" s="3109"/>
      <c r="AH135" s="1984"/>
      <c r="AI135" s="3065"/>
      <c r="AJ135" s="3320"/>
    </row>
    <row r="136" spans="1:59" ht="16.5" customHeight="1">
      <c r="A136" s="1426" t="s">
        <v>1087</v>
      </c>
      <c r="B136" s="1426"/>
      <c r="C136" s="2759">
        <f>+'Exhibit F'!D123+'Exhibit F'!D124+'Exhibit F'!D125+'Exhibit F'!D126+'Exhibit G State'!D111+'Exhibit H'!B66</f>
        <v>4886.8999999999996</v>
      </c>
      <c r="D136" s="1425"/>
      <c r="E136" s="2759">
        <f>+'Exhibit F'!F123+'Exhibit F'!F124+'Exhibit F'!F125+'Exhibit F'!F126+'Exhibit G State'!F111+'Exhibit H'!D66</f>
        <v>5968.7999999999984</v>
      </c>
      <c r="F136" s="1425"/>
      <c r="G136" s="2759">
        <f>+'Exhibit F'!H123+'Exhibit F'!H124+'Exhibit F'!H125+'Exhibit F'!H126+'Exhibit G State'!H111+'Exhibit H'!F66</f>
        <v>5640.2000000000016</v>
      </c>
      <c r="H136" s="1425"/>
      <c r="I136" s="2759">
        <f>+'Exhibit F'!J123+'Exhibit F'!J124+'Exhibit F'!J125+'Exhibit F'!J126+'Exhibit G State'!J111+'Exhibit H'!H66</f>
        <v>3452.7000000000025</v>
      </c>
      <c r="J136" s="1425"/>
      <c r="K136" s="2759">
        <f>+'Exhibit F'!L123+'Exhibit F'!L124+'Exhibit F'!L125+'Exhibit F'!L126+'Exhibit G State'!L111+'Exhibit H'!J66</f>
        <v>2475.5999999999967</v>
      </c>
      <c r="L136" s="1425"/>
      <c r="M136" s="2759">
        <f>+'Exhibit F'!N123+'Exhibit F'!N124+'Exhibit F'!N125+'Exhibit F'!N126+'Exhibit G State'!N111+'Exhibit H'!L66</f>
        <v>5350.9999999999982</v>
      </c>
      <c r="N136" s="1425"/>
      <c r="O136" s="3809"/>
      <c r="P136" s="1425"/>
      <c r="Q136" s="2759"/>
      <c r="R136" s="1425"/>
      <c r="S136" s="2759"/>
      <c r="T136" s="1425"/>
      <c r="U136" s="2759"/>
      <c r="V136" s="1425"/>
      <c r="W136" s="2759"/>
      <c r="X136" s="1425"/>
      <c r="Y136" s="2759"/>
      <c r="Z136" s="1425"/>
      <c r="AA136" s="2744"/>
      <c r="AB136" s="3107">
        <f>ROUND(SUM(C136:Y136),1)</f>
        <v>27775.200000000001</v>
      </c>
      <c r="AC136" s="3107"/>
      <c r="AD136" s="3360"/>
      <c r="AE136" s="3107">
        <f>'Exhibit F'!AF123+'Exhibit F'!AF124+'Exhibit F'!AF125+'Exhibit F'!AF126+'Exhibit G State'!AG111+'Exhibit H'!AD66</f>
        <v>17321.5</v>
      </c>
      <c r="AF136" s="3109"/>
      <c r="AG136" s="3109"/>
      <c r="AH136" s="3107">
        <f>ROUND(SUM(AB136-AE136),1)</f>
        <v>10453.700000000001</v>
      </c>
      <c r="AI136" s="3065"/>
      <c r="AJ136" s="1802">
        <f>ROUND(SUM(AH136/ABS(AE136)),3)</f>
        <v>0.60399999999999998</v>
      </c>
    </row>
    <row r="137" spans="1:59" ht="16.5" customHeight="1">
      <c r="A137" s="1426" t="s">
        <v>1088</v>
      </c>
      <c r="C137" s="2760">
        <f>+'Exhibit F'!D127+'Exhibit F'!D128+'Exhibit F'!D129+'Exhibit F'!D130+'Exhibit G State'!D112+'Exhibit H'!B67</f>
        <v>-5216.4000000000005</v>
      </c>
      <c r="D137" s="2516"/>
      <c r="E137" s="2760">
        <f>+'Exhibit F'!F127+'Exhibit F'!F128+'Exhibit F'!F129+'Exhibit F'!F130+'Exhibit G State'!F112+'Exhibit H'!D67</f>
        <v>-6175.4000000000005</v>
      </c>
      <c r="F137" s="2516"/>
      <c r="G137" s="2760">
        <f>+'Exhibit F'!H127+'Exhibit F'!H128+'Exhibit F'!H129+'Exhibit F'!H130+'Exhibit G State'!H112+'Exhibit H'!F67</f>
        <v>-6296.4000000000015</v>
      </c>
      <c r="H137" s="2516"/>
      <c r="I137" s="2760">
        <f>+'Exhibit F'!J127+'Exhibit F'!J128+'Exhibit F'!J129+'Exhibit F'!J130+'Exhibit G State'!J112+'Exhibit H'!H67</f>
        <v>-3408</v>
      </c>
      <c r="J137" s="2516"/>
      <c r="K137" s="2760">
        <f>+'Exhibit F'!L127+'Exhibit F'!L128+'Exhibit F'!L129+'Exhibit F'!L130+'Exhibit G State'!L112+'Exhibit H'!J67</f>
        <v>-2996.2000000000012</v>
      </c>
      <c r="L137" s="2516"/>
      <c r="M137" s="2760">
        <f>+'Exhibit F'!N127+'Exhibit F'!N128+'Exhibit F'!N129+'Exhibit F'!N130+'Exhibit G State'!N112+'Exhibit H'!L67</f>
        <v>-5414.5999999999985</v>
      </c>
      <c r="N137" s="2516"/>
      <c r="O137" s="3810"/>
      <c r="P137" s="2516"/>
      <c r="Q137" s="2760"/>
      <c r="R137" s="2516"/>
      <c r="S137" s="2760"/>
      <c r="T137" s="2516"/>
      <c r="U137" s="2760"/>
      <c r="V137" s="2516"/>
      <c r="W137" s="2760"/>
      <c r="X137" s="2516"/>
      <c r="Y137" s="2760"/>
      <c r="Z137" s="2516"/>
      <c r="AA137" s="2761"/>
      <c r="AB137" s="3110">
        <f>ROUND(SUM(C137:Y137),1)</f>
        <v>-29507</v>
      </c>
      <c r="AC137" s="2523"/>
      <c r="AD137" s="3368"/>
      <c r="AE137" s="3110">
        <f>'Exhibit F'!AF127+'Exhibit F'!AF128+'Exhibit F'!AF129+'Exhibit F'!AF130+'Exhibit G State'!AG112+'Exhibit H'!AD67</f>
        <v>-17330.5</v>
      </c>
      <c r="AF137" s="2533"/>
      <c r="AG137" s="2533"/>
      <c r="AH137" s="3110">
        <f>ROUND(SUM(-AB137+AE137),1)</f>
        <v>12176.5</v>
      </c>
      <c r="AI137" s="3320"/>
      <c r="AJ137" s="3327">
        <f>ROUND(SUM(AH137/ABS(AE137)),3)</f>
        <v>0.70299999999999996</v>
      </c>
    </row>
    <row r="138" spans="1:59" ht="16.5" customHeight="1">
      <c r="A138" s="1426"/>
      <c r="C138" s="2742"/>
      <c r="D138" s="2516"/>
      <c r="E138" s="2742"/>
      <c r="F138" s="2516"/>
      <c r="G138" s="2742"/>
      <c r="H138" s="2516"/>
      <c r="I138" s="2742"/>
      <c r="J138" s="2516"/>
      <c r="K138" s="2742"/>
      <c r="L138" s="2516"/>
      <c r="M138" s="2742"/>
      <c r="N138" s="2516"/>
      <c r="O138" s="3109"/>
      <c r="P138" s="2516"/>
      <c r="Q138" s="2742"/>
      <c r="R138" s="2516"/>
      <c r="S138" s="2742"/>
      <c r="T138" s="2516"/>
      <c r="U138" s="2742"/>
      <c r="V138" s="2516"/>
      <c r="W138" s="2742"/>
      <c r="X138" s="2516"/>
      <c r="Y138" s="2742"/>
      <c r="Z138" s="2516"/>
      <c r="AA138" s="2761"/>
      <c r="AB138" s="3109"/>
      <c r="AC138" s="2523"/>
      <c r="AD138" s="3368"/>
      <c r="AE138" s="3109"/>
      <c r="AF138" s="2533"/>
      <c r="AG138" s="2533"/>
      <c r="AH138" s="3109"/>
      <c r="AI138" s="3320"/>
      <c r="AJ138" s="1434"/>
    </row>
    <row r="139" spans="1:59" ht="16.5" customHeight="1">
      <c r="A139" s="1994" t="s">
        <v>48</v>
      </c>
      <c r="C139" s="2754">
        <f>ROUND(SUM(C136:C137),1)</f>
        <v>-329.5</v>
      </c>
      <c r="D139" s="2762"/>
      <c r="E139" s="2754">
        <f>ROUND(SUM(E136:E137),1)</f>
        <v>-206.6</v>
      </c>
      <c r="F139" s="2762"/>
      <c r="G139" s="2754">
        <f>ROUND(SUM(G136:G137),1)</f>
        <v>-656.2</v>
      </c>
      <c r="H139" s="2762"/>
      <c r="I139" s="2754">
        <f>ROUND(SUM(I136:I137),1)</f>
        <v>44.7</v>
      </c>
      <c r="J139" s="2762"/>
      <c r="K139" s="2754">
        <f>ROUND(SUM(K136:K137),1)</f>
        <v>-520.6</v>
      </c>
      <c r="L139" s="2762"/>
      <c r="M139" s="2754">
        <f>ROUND(SUM(M136:M137),1)</f>
        <v>-63.6</v>
      </c>
      <c r="N139" s="2762"/>
      <c r="O139" s="3111">
        <f>ROUND(SUM(O136:O137),1)</f>
        <v>0</v>
      </c>
      <c r="P139" s="2762"/>
      <c r="Q139" s="2754">
        <f>ROUND(SUM(Q136:Q137),1)</f>
        <v>0</v>
      </c>
      <c r="R139" s="2762"/>
      <c r="S139" s="2754">
        <f>ROUND(SUM(S136:S137),1)</f>
        <v>0</v>
      </c>
      <c r="T139" s="2762"/>
      <c r="U139" s="2754">
        <f>ROUND(SUM(U136:U137),1)</f>
        <v>0</v>
      </c>
      <c r="V139" s="2762"/>
      <c r="W139" s="2754">
        <f>ROUND(SUM(W136:W137),1)</f>
        <v>0</v>
      </c>
      <c r="X139" s="2762"/>
      <c r="Y139" s="2754">
        <f>ROUND(SUM(Y136:Y137),1)</f>
        <v>0</v>
      </c>
      <c r="Z139" s="2762"/>
      <c r="AA139" s="2763"/>
      <c r="AB139" s="3111">
        <f>ROUND(SUM(AB136:AB137),1)</f>
        <v>-1731.8</v>
      </c>
      <c r="AC139" s="2528"/>
      <c r="AD139" s="3369"/>
      <c r="AE139" s="3111">
        <f>ROUND(SUM(AE136:AE137),1)</f>
        <v>-9</v>
      </c>
      <c r="AF139" s="3328"/>
      <c r="AG139" s="2533"/>
      <c r="AH139" s="3111">
        <f>ROUND(SUM(AH136-AH137),1)</f>
        <v>-1722.8</v>
      </c>
      <c r="AI139" s="2155"/>
      <c r="AJ139" s="2166">
        <f>ROUND(SUM(AH139/ABS(AE139)),3)</f>
        <v>-191.422</v>
      </c>
      <c r="AK139" s="2738"/>
      <c r="AL139" s="2738"/>
    </row>
    <row r="140" spans="1:59" ht="16.5" customHeight="1">
      <c r="A140" s="1826"/>
      <c r="C140" s="2516"/>
      <c r="D140" s="2516"/>
      <c r="E140" s="2516"/>
      <c r="F140" s="2516"/>
      <c r="G140" s="2516"/>
      <c r="H140" s="2516"/>
      <c r="I140" s="2516"/>
      <c r="J140" s="2516"/>
      <c r="K140" s="2516"/>
      <c r="L140" s="2516"/>
      <c r="M140" s="2516"/>
      <c r="N140" s="2516"/>
      <c r="O140" s="2523"/>
      <c r="P140" s="2516"/>
      <c r="Q140" s="2516"/>
      <c r="R140" s="2516"/>
      <c r="S140" s="2516"/>
      <c r="T140" s="2516"/>
      <c r="U140" s="2516"/>
      <c r="V140" s="2516"/>
      <c r="W140" s="2516"/>
      <c r="X140" s="2516"/>
      <c r="Y140" s="2516"/>
      <c r="Z140" s="2516"/>
      <c r="AA140" s="2761"/>
      <c r="AB140" s="2523"/>
      <c r="AC140" s="2523"/>
      <c r="AD140" s="3368"/>
      <c r="AE140" s="2523"/>
      <c r="AF140" s="2533"/>
      <c r="AG140" s="3329"/>
      <c r="AH140" s="1984"/>
      <c r="AI140" s="3320"/>
      <c r="AJ140" s="3320"/>
    </row>
    <row r="141" spans="1:59" ht="16.5" customHeight="1">
      <c r="A141" s="2155" t="s">
        <v>43</v>
      </c>
      <c r="C141" s="2742"/>
      <c r="D141" s="2516"/>
      <c r="E141" s="2742"/>
      <c r="F141" s="2516"/>
      <c r="G141" s="2742"/>
      <c r="H141" s="2516"/>
      <c r="I141" s="2742"/>
      <c r="J141" s="2516"/>
      <c r="K141" s="2742"/>
      <c r="L141" s="2516"/>
      <c r="M141" s="2742"/>
      <c r="N141" s="2516"/>
      <c r="O141" s="3109"/>
      <c r="P141" s="2516"/>
      <c r="Q141" s="2742"/>
      <c r="R141" s="2516"/>
      <c r="S141" s="2742"/>
      <c r="T141" s="2516"/>
      <c r="U141" s="2742"/>
      <c r="V141" s="2516"/>
      <c r="W141" s="2742"/>
      <c r="X141" s="2516"/>
      <c r="Y141" s="2742"/>
      <c r="Z141" s="2516"/>
      <c r="AA141" s="2761"/>
      <c r="AB141" s="3109"/>
      <c r="AC141" s="2523"/>
      <c r="AD141" s="3368"/>
      <c r="AE141" s="3109"/>
      <c r="AF141" s="2533"/>
      <c r="AG141" s="3330"/>
      <c r="AH141" s="1984"/>
      <c r="AI141" s="3320"/>
      <c r="AJ141" s="3320"/>
    </row>
    <row r="142" spans="1:59" ht="16.5" customHeight="1">
      <c r="A142" s="2155" t="s">
        <v>49</v>
      </c>
      <c r="C142" s="2752"/>
      <c r="D142" s="2762"/>
      <c r="E142" s="2752"/>
      <c r="F142" s="2762"/>
      <c r="G142" s="2752"/>
      <c r="H142" s="2762"/>
      <c r="I142" s="2752"/>
      <c r="J142" s="2762"/>
      <c r="K142" s="2752"/>
      <c r="L142" s="2762"/>
      <c r="M142" s="2752"/>
      <c r="N142" s="2762"/>
      <c r="O142" s="3366"/>
      <c r="P142" s="2762"/>
      <c r="Q142" s="2752"/>
      <c r="R142" s="2762"/>
      <c r="S142" s="2752"/>
      <c r="T142" s="2762"/>
      <c r="U142" s="2752"/>
      <c r="V142" s="2762"/>
      <c r="W142" s="2752"/>
      <c r="X142" s="2762"/>
      <c r="Y142" s="2752"/>
      <c r="Z142" s="2762"/>
      <c r="AA142" s="2763"/>
      <c r="AB142" s="3366"/>
      <c r="AC142" s="2528"/>
      <c r="AD142" s="3369"/>
      <c r="AE142" s="3366"/>
      <c r="AF142" s="2533"/>
      <c r="AG142" s="3330"/>
      <c r="AH142" s="2034"/>
      <c r="AI142" s="2155"/>
      <c r="AJ142" s="2155"/>
      <c r="AK142" s="2738"/>
      <c r="AL142" s="2738"/>
      <c r="AM142" s="2738"/>
      <c r="AN142" s="2738"/>
      <c r="AO142" s="2738"/>
      <c r="AP142" s="2738"/>
      <c r="AQ142" s="2738"/>
      <c r="AR142" s="2738"/>
      <c r="AS142" s="2738"/>
      <c r="AT142" s="2738"/>
      <c r="AU142" s="2738"/>
      <c r="AV142" s="2738"/>
      <c r="AW142" s="2738"/>
      <c r="AX142" s="2738"/>
      <c r="AY142" s="2738"/>
      <c r="AZ142" s="2738"/>
      <c r="BA142" s="2738"/>
      <c r="BB142" s="2738"/>
      <c r="BC142" s="2738"/>
      <c r="BD142" s="2738"/>
      <c r="BE142" s="2738"/>
      <c r="BF142" s="2738"/>
      <c r="BG142" s="2738"/>
    </row>
    <row r="143" spans="1:59" ht="16.5" customHeight="1">
      <c r="A143" s="2155" t="s">
        <v>50</v>
      </c>
      <c r="C143" s="2764">
        <f>ROUND(SUM(C133+C139),1)</f>
        <v>3819</v>
      </c>
      <c r="D143" s="2762"/>
      <c r="E143" s="2764">
        <f>ROUND(SUM(E133+E139),1)</f>
        <v>2200.9</v>
      </c>
      <c r="F143" s="2762"/>
      <c r="G143" s="2764">
        <f>ROUND(SUM(G133+G139),1)</f>
        <v>2140.6</v>
      </c>
      <c r="H143" s="2762"/>
      <c r="I143" s="2764">
        <f>ROUND(SUM(I133+I139),1)</f>
        <v>1101.7</v>
      </c>
      <c r="J143" s="2762"/>
      <c r="K143" s="2764">
        <f>ROUND(SUM(K133+K139),1)</f>
        <v>683.1</v>
      </c>
      <c r="L143" s="2762"/>
      <c r="M143" s="2764">
        <f>ROUND(SUM(M133+M139),1)</f>
        <v>1756.6</v>
      </c>
      <c r="N143" s="2762"/>
      <c r="O143" s="3370">
        <f>ROUND(SUM(O133+O139),1)</f>
        <v>0</v>
      </c>
      <c r="P143" s="2762"/>
      <c r="Q143" s="2764">
        <f>ROUND(SUM(Q133+Q139),1)</f>
        <v>0</v>
      </c>
      <c r="R143" s="2762"/>
      <c r="S143" s="2764">
        <f>ROUND(SUM(S133+S139),1)</f>
        <v>0</v>
      </c>
      <c r="T143" s="2762"/>
      <c r="U143" s="2764">
        <f>ROUND(SUM(U133+U139),1)</f>
        <v>0</v>
      </c>
      <c r="V143" s="2762"/>
      <c r="W143" s="2764">
        <f>ROUND(SUM(W133+W139),1)</f>
        <v>0</v>
      </c>
      <c r="X143" s="2762"/>
      <c r="Y143" s="2764">
        <f>ROUND(SUM(Y133+Y139),1)</f>
        <v>0</v>
      </c>
      <c r="Z143" s="2762"/>
      <c r="AA143" s="2763"/>
      <c r="AB143" s="3370">
        <f>ROUND(SUM(AB133+AB139),1)</f>
        <v>11701.9</v>
      </c>
      <c r="AC143" s="2528"/>
      <c r="AD143" s="3369"/>
      <c r="AE143" s="3370">
        <f>ROUND(SUM(AE133+AE139),1)</f>
        <v>8174.7</v>
      </c>
      <c r="AF143" s="2533"/>
      <c r="AG143" s="3330"/>
      <c r="AH143" s="3326">
        <f>ROUND(SUM(AB143-AE143),1)</f>
        <v>3527.2</v>
      </c>
      <c r="AI143" s="2155"/>
      <c r="AJ143" s="2166">
        <f>ROUND(SUM(AH143/ABS(AE143)),3)</f>
        <v>0.43099999999999999</v>
      </c>
      <c r="AK143" s="2738"/>
      <c r="AL143" s="2738"/>
      <c r="AM143" s="2738"/>
      <c r="AN143" s="2738"/>
      <c r="AO143" s="2738"/>
      <c r="AP143" s="2738"/>
      <c r="AQ143" s="2738"/>
      <c r="AR143" s="2738"/>
      <c r="AS143" s="2738"/>
      <c r="AT143" s="2738"/>
      <c r="AU143" s="2738"/>
      <c r="AV143" s="2738"/>
      <c r="AW143" s="2738"/>
      <c r="AX143" s="2738"/>
      <c r="AY143" s="2738"/>
      <c r="AZ143" s="2738"/>
      <c r="BA143" s="2738"/>
      <c r="BB143" s="2738"/>
      <c r="BC143" s="2738"/>
      <c r="BD143" s="2738"/>
      <c r="BE143" s="2738"/>
      <c r="BF143" s="2738"/>
      <c r="BG143" s="2738"/>
    </row>
    <row r="144" spans="1:59" ht="15.5">
      <c r="A144" s="1994"/>
      <c r="C144" s="2732"/>
      <c r="E144" s="2732"/>
      <c r="G144" s="2732"/>
      <c r="I144" s="2732"/>
      <c r="K144" s="2732"/>
      <c r="M144" s="2732"/>
      <c r="O144" s="3355"/>
      <c r="Q144" s="2732"/>
      <c r="S144" s="2732"/>
      <c r="U144" s="2732"/>
      <c r="W144" s="2732"/>
      <c r="Y144" s="2732"/>
      <c r="AA144" s="2766"/>
      <c r="AB144" s="3355"/>
      <c r="AD144" s="3371"/>
      <c r="AE144" s="3805"/>
      <c r="AF144" s="2533"/>
      <c r="AG144" s="3330"/>
      <c r="AH144" s="3320"/>
      <c r="AI144" s="3320"/>
      <c r="AJ144" s="3320"/>
    </row>
    <row r="145" spans="1:37" ht="16" thickBot="1">
      <c r="A145" s="2767" t="s">
        <v>140</v>
      </c>
      <c r="C145" s="2768">
        <f>ROUND(SUM(C16+C143),1)</f>
        <v>18753.400000000001</v>
      </c>
      <c r="D145" s="2769"/>
      <c r="E145" s="2768">
        <f>ROUND(SUM(E16+E143),1)</f>
        <v>20954.3</v>
      </c>
      <c r="F145" s="2769"/>
      <c r="G145" s="2768">
        <f>ROUND(SUM(G16+G143),1)</f>
        <v>23094.9</v>
      </c>
      <c r="H145" s="2769"/>
      <c r="I145" s="2768">
        <f>ROUND(SUM(I16+I143),1)</f>
        <v>24196.6</v>
      </c>
      <c r="J145" s="2770"/>
      <c r="K145" s="2768">
        <f>ROUND(SUM(K16+K143),1)</f>
        <v>24879.7</v>
      </c>
      <c r="L145" s="2770"/>
      <c r="M145" s="2768">
        <f>ROUND(SUM(M16+M143),1)</f>
        <v>26636.3</v>
      </c>
      <c r="N145" s="2770"/>
      <c r="O145" s="3112">
        <f>ROUND(SUM(O16+O143),1)</f>
        <v>0</v>
      </c>
      <c r="P145" s="2770"/>
      <c r="Q145" s="2768">
        <f>ROUND(SUM(Q16+Q143),1)</f>
        <v>0</v>
      </c>
      <c r="R145" s="2770"/>
      <c r="S145" s="2768">
        <f>ROUND(SUM(S16+S143),1)</f>
        <v>0</v>
      </c>
      <c r="T145" s="2770"/>
      <c r="U145" s="2768">
        <f>ROUND(SUM(U16+U143),1)</f>
        <v>0</v>
      </c>
      <c r="V145" s="2770"/>
      <c r="W145" s="2768">
        <f>ROUND(SUM(W16+W143),1)</f>
        <v>0</v>
      </c>
      <c r="X145" s="2770"/>
      <c r="Y145" s="2768">
        <f>ROUND(SUM(Y16+Y143),1)</f>
        <v>0</v>
      </c>
      <c r="Z145" s="2769"/>
      <c r="AA145" s="2765"/>
      <c r="AB145" s="3112">
        <f>ROUND(SUM(AB16+AB143),1)</f>
        <v>26636.3</v>
      </c>
      <c r="AC145" s="3372"/>
      <c r="AD145" s="3331"/>
      <c r="AE145" s="3112">
        <f>ROUND(SUM(AE16+AE143),1)</f>
        <v>22583</v>
      </c>
      <c r="AF145" s="2533"/>
      <c r="AG145" s="3330"/>
      <c r="AH145" s="3112">
        <f>ROUND(SUM(AB145-AE145),1)</f>
        <v>4053.3</v>
      </c>
      <c r="AI145" s="2155"/>
      <c r="AJ145" s="3332">
        <f>ROUND(SUM(AH145/ABS(AE145)),3)</f>
        <v>0.17899999999999999</v>
      </c>
      <c r="AK145" s="2738"/>
    </row>
    <row r="146" spans="1:37" ht="16" thickTop="1">
      <c r="A146" s="2771"/>
      <c r="C146" s="2750"/>
      <c r="AH146" s="3320"/>
      <c r="AI146" s="3320"/>
      <c r="AJ146" s="3320"/>
    </row>
    <row r="147" spans="1:37" ht="15.5">
      <c r="A147" s="2238" t="s">
        <v>1078</v>
      </c>
      <c r="AH147" s="3320"/>
      <c r="AI147" s="3320"/>
      <c r="AJ147" s="3320"/>
    </row>
    <row r="148" spans="1:37" ht="15.5">
      <c r="A148" s="2238" t="s">
        <v>1039</v>
      </c>
      <c r="AH148" s="3320"/>
      <c r="AI148" s="3320"/>
      <c r="AJ148" s="3320"/>
    </row>
    <row r="149" spans="1:37" ht="15.5">
      <c r="A149" s="2772" t="s">
        <v>1109</v>
      </c>
      <c r="AH149" s="3320"/>
      <c r="AI149" s="3320"/>
      <c r="AJ149" s="3320"/>
    </row>
    <row r="150" spans="1:37" ht="16.5" customHeight="1">
      <c r="AH150" s="3320"/>
      <c r="AI150" s="3320"/>
      <c r="AJ150" s="3320"/>
    </row>
    <row r="151" spans="1:37" ht="16.5" customHeight="1">
      <c r="AH151" s="3320"/>
      <c r="AI151" s="3320"/>
      <c r="AJ151" s="3320"/>
    </row>
    <row r="152" spans="1:37" ht="16.5" customHeight="1">
      <c r="AH152" s="3320"/>
      <c r="AI152" s="3320"/>
      <c r="AJ152" s="3320"/>
    </row>
    <row r="153" spans="1:37" ht="16.5" customHeight="1">
      <c r="AH153" s="3320"/>
      <c r="AI153" s="3320"/>
      <c r="AJ153" s="3320"/>
    </row>
    <row r="154" spans="1:37" ht="16.5" customHeight="1">
      <c r="AH154" s="3320"/>
      <c r="AI154" s="3320"/>
      <c r="AJ154" s="3320"/>
    </row>
    <row r="155" spans="1:37" ht="16.5" customHeight="1">
      <c r="AH155" s="3320"/>
      <c r="AI155" s="3320"/>
      <c r="AJ155" s="3320"/>
    </row>
    <row r="156" spans="1:37" ht="16.5" customHeight="1">
      <c r="AH156" s="3320"/>
      <c r="AI156" s="3320"/>
      <c r="AJ156" s="3320"/>
    </row>
    <row r="157" spans="1:37" ht="16.5" customHeight="1">
      <c r="AH157" s="3320"/>
      <c r="AI157" s="3320"/>
      <c r="AJ157" s="3320"/>
    </row>
    <row r="158" spans="1:37" ht="16.5" customHeight="1">
      <c r="AH158" s="3320"/>
      <c r="AI158" s="3320"/>
      <c r="AJ158" s="3320"/>
    </row>
    <row r="159" spans="1:37" ht="16.5" customHeight="1">
      <c r="AH159" s="3320"/>
      <c r="AI159" s="3320"/>
      <c r="AJ159" s="3320"/>
    </row>
    <row r="160" spans="1:37" ht="16.5" customHeight="1">
      <c r="AH160" s="3320"/>
      <c r="AI160" s="3320"/>
      <c r="AJ160" s="3320"/>
    </row>
    <row r="161" spans="34:36" ht="16.5" customHeight="1">
      <c r="AH161" s="3320"/>
      <c r="AI161" s="3320"/>
      <c r="AJ161" s="3320"/>
    </row>
    <row r="162" spans="34:36" ht="16.5" customHeight="1">
      <c r="AH162" s="3320"/>
      <c r="AI162" s="3320"/>
      <c r="AJ162" s="3320"/>
    </row>
    <row r="163" spans="34:36" ht="16.5" customHeight="1">
      <c r="AH163" s="3320"/>
      <c r="AI163" s="3320"/>
      <c r="AJ163" s="3320"/>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6" max="35" man="1"/>
  </rowBreaks>
  <ignoredErrors>
    <ignoredError sqref="AJ27:AJ32" unlockedFormula="1"/>
    <ignoredError sqref="AH24 AH35:AI35 AJ54 AJ35 AJ92 AB26" formula="1"/>
    <ignoredError sqref="AJ84 AJ73:AJ75 AJ70 AJ67 AJ69 AJ72 AJ112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O213"/>
  <sheetViews>
    <sheetView showGridLines="0" zoomScale="80" zoomScaleNormal="60" workbookViewId="0"/>
  </sheetViews>
  <sheetFormatPr defaultColWidth="8.84375" defaultRowHeight="12.5"/>
  <cols>
    <col min="1" max="1" width="2.53515625" style="2391" customWidth="1"/>
    <col min="2" max="2" width="48.53515625" style="2391" customWidth="1"/>
    <col min="3" max="3" width="1.07421875" style="2391" customWidth="1"/>
    <col min="4" max="4" width="12.4609375" style="2391" bestFit="1" customWidth="1"/>
    <col min="5" max="5" width="1.84375" style="2391" customWidth="1"/>
    <col min="6" max="6" width="12" style="2391" customWidth="1"/>
    <col min="7" max="7" width="1.84375" style="2391" customWidth="1"/>
    <col min="8" max="8" width="12.07421875" style="2391" customWidth="1"/>
    <col min="9" max="9" width="1.84375" style="2391" customWidth="1"/>
    <col min="10" max="10" width="13.84375" style="2392" customWidth="1"/>
    <col min="11" max="11" width="1.84375" style="2391" customWidth="1"/>
    <col min="12" max="12" width="12.07421875" style="2391" bestFit="1" customWidth="1"/>
    <col min="13" max="13" width="1.84375" style="2391" customWidth="1"/>
    <col min="14" max="14" width="13.84375" style="2391" customWidth="1"/>
    <col min="15" max="15" width="1.84375" style="2391" customWidth="1"/>
    <col min="16" max="16" width="12.07421875" style="2393" customWidth="1"/>
    <col min="17" max="17" width="1.84375" style="2391" customWidth="1"/>
    <col min="18" max="18" width="12.07421875" style="2391" customWidth="1"/>
    <col min="19" max="19" width="1.84375" style="2391" customWidth="1"/>
    <col min="20" max="20" width="14.84375" style="2391" customWidth="1"/>
    <col min="21" max="21" width="1.84375" style="2391" customWidth="1"/>
    <col min="22" max="22" width="12.07421875" style="2391" customWidth="1"/>
    <col min="23" max="23" width="1.84375" style="2391" customWidth="1"/>
    <col min="24" max="24" width="12.84375" style="2391" customWidth="1"/>
    <col min="25" max="25" width="1.84375" style="2391" customWidth="1"/>
    <col min="26" max="26" width="14.53515625" style="2391" customWidth="1"/>
    <col min="27" max="27" width="1.53515625" style="2391" customWidth="1"/>
    <col min="28" max="28" width="1.84375" style="2391" customWidth="1"/>
    <col min="29" max="29" width="13.07421875" style="2393" customWidth="1"/>
    <col min="30" max="30" width="1.4609375" style="2393" customWidth="1"/>
    <col min="31" max="31" width="1.07421875" style="2393" customWidth="1"/>
    <col min="32" max="32" width="15.07421875" style="2393" customWidth="1"/>
    <col min="33" max="33" width="1" style="2391" customWidth="1"/>
    <col min="34" max="34" width="1.07421875" style="2391" customWidth="1"/>
    <col min="35" max="35" width="13.07421875" style="2391" bestFit="1" customWidth="1"/>
    <col min="36" max="36" width="1" style="2394" customWidth="1"/>
    <col min="37" max="37" width="13.84375" style="2395" bestFit="1" customWidth="1"/>
    <col min="38" max="38" width="10.07421875" style="2391" customWidth="1"/>
    <col min="39" max="16384" width="8.84375" style="2391"/>
  </cols>
  <sheetData>
    <row r="1" spans="1:37" ht="15.5">
      <c r="B1" s="2215" t="s">
        <v>882</v>
      </c>
    </row>
    <row r="2" spans="1:37">
      <c r="A2" s="2396"/>
      <c r="B2" s="2009"/>
      <c r="C2" s="2009"/>
      <c r="D2" s="2009"/>
      <c r="E2" s="2009"/>
      <c r="F2" s="2009"/>
      <c r="G2" s="2009"/>
      <c r="H2" s="2009"/>
      <c r="I2" s="2009"/>
      <c r="J2" s="2397"/>
      <c r="K2" s="2009"/>
      <c r="L2" s="2009"/>
      <c r="M2" s="2009"/>
      <c r="N2" s="2009"/>
      <c r="O2" s="2009"/>
      <c r="P2" s="2175"/>
      <c r="Q2" s="2009"/>
      <c r="R2" s="2009"/>
      <c r="S2" s="2009"/>
      <c r="T2" s="2009"/>
      <c r="U2" s="2009"/>
      <c r="V2" s="2009"/>
      <c r="W2" s="2009"/>
      <c r="X2" s="2009"/>
      <c r="Y2" s="2009"/>
      <c r="Z2" s="2009"/>
      <c r="AA2" s="2009"/>
      <c r="AB2" s="2009"/>
      <c r="AC2" s="2175"/>
      <c r="AD2" s="2175"/>
      <c r="AE2" s="2175"/>
      <c r="AF2" s="2175"/>
      <c r="AG2" s="2009"/>
      <c r="AH2" s="2398"/>
    </row>
    <row r="3" spans="1:37" ht="18">
      <c r="A3" s="2396"/>
      <c r="B3" s="2399" t="s">
        <v>0</v>
      </c>
      <c r="C3" s="2009"/>
      <c r="D3" s="2009"/>
      <c r="E3" s="2009"/>
      <c r="F3" s="2400"/>
      <c r="G3" s="2009"/>
      <c r="H3" s="2009"/>
      <c r="I3" s="2009"/>
      <c r="J3" s="2397"/>
      <c r="K3" s="2009"/>
      <c r="L3" s="2009"/>
      <c r="M3" s="2401"/>
      <c r="N3" s="2402"/>
      <c r="O3" s="2009"/>
      <c r="P3" s="2175"/>
      <c r="Q3" s="2009"/>
      <c r="R3" s="2009"/>
      <c r="S3" s="2009"/>
      <c r="T3" s="2009"/>
      <c r="U3" s="2009"/>
      <c r="V3" s="2009"/>
      <c r="W3" s="2009"/>
      <c r="X3" s="2009"/>
      <c r="Y3" s="2009"/>
      <c r="Z3" s="2009"/>
      <c r="AA3" s="2009"/>
      <c r="AB3" s="2009"/>
      <c r="AC3" s="2175"/>
      <c r="AD3" s="2175"/>
      <c r="AE3" s="2175"/>
      <c r="AF3" s="2175"/>
      <c r="AG3" s="2009"/>
      <c r="AH3" s="2398"/>
      <c r="AK3" s="2403" t="s">
        <v>146</v>
      </c>
    </row>
    <row r="4" spans="1:37" ht="18">
      <c r="A4" s="2396"/>
      <c r="B4" s="2404" t="s">
        <v>145</v>
      </c>
      <c r="C4" s="2009"/>
      <c r="D4" s="2009"/>
      <c r="E4" s="2009"/>
      <c r="F4" s="2400"/>
      <c r="G4" s="2009"/>
      <c r="H4" s="2009" t="s">
        <v>14</v>
      </c>
      <c r="I4" s="2009"/>
      <c r="J4" s="2397"/>
      <c r="K4" s="2009"/>
      <c r="L4" s="2009"/>
      <c r="M4" s="2401"/>
      <c r="N4" s="2402"/>
      <c r="O4" s="2009"/>
      <c r="P4" s="2175"/>
      <c r="Q4" s="2009"/>
      <c r="R4" s="2009"/>
      <c r="S4" s="2009"/>
      <c r="T4" s="2009"/>
      <c r="U4" s="2009"/>
      <c r="V4" s="2009"/>
      <c r="W4" s="2009"/>
      <c r="X4" s="2009"/>
      <c r="Y4" s="2009"/>
      <c r="Z4" s="2009"/>
      <c r="AA4" s="2009"/>
      <c r="AB4" s="2009"/>
      <c r="AC4" s="3113"/>
      <c r="AD4" s="3113"/>
      <c r="AE4" s="3113"/>
      <c r="AF4" s="3445"/>
      <c r="AG4" s="2405"/>
      <c r="AH4" s="2398"/>
    </row>
    <row r="5" spans="1:37" ht="18">
      <c r="A5" s="2396"/>
      <c r="B5" s="2404" t="s">
        <v>147</v>
      </c>
      <c r="C5" s="2009"/>
      <c r="D5" s="2009"/>
      <c r="E5" s="2009"/>
      <c r="F5" s="2400"/>
      <c r="G5" s="2009"/>
      <c r="H5" s="2009"/>
      <c r="I5" s="2009"/>
      <c r="J5" s="2397"/>
      <c r="K5" s="2009"/>
      <c r="L5" s="2009"/>
      <c r="M5" s="2401"/>
      <c r="N5" s="2402"/>
      <c r="O5" s="2009"/>
      <c r="P5" s="2175"/>
      <c r="Q5" s="2009"/>
      <c r="R5" s="2009"/>
      <c r="S5" s="2009"/>
      <c r="T5" s="2009"/>
      <c r="U5" s="2009"/>
      <c r="V5" s="2009"/>
      <c r="W5" s="2009"/>
      <c r="X5" s="2009"/>
      <c r="Y5" s="2009"/>
      <c r="Z5" s="2009"/>
      <c r="AA5" s="2009"/>
      <c r="AB5" s="2009"/>
      <c r="AD5" s="3114"/>
      <c r="AE5" s="3114"/>
      <c r="AH5" s="2398"/>
    </row>
    <row r="6" spans="1:37" ht="18" customHeight="1">
      <c r="A6" s="2396"/>
      <c r="B6" s="2406" t="str">
        <f>'Cashflow Governmental'!A6</f>
        <v xml:space="preserve">FISCAL YEAR 2021-2022   </v>
      </c>
      <c r="C6" s="2009"/>
      <c r="D6" s="2009"/>
      <c r="E6" s="2009"/>
      <c r="F6" s="2400"/>
      <c r="G6" s="2009"/>
      <c r="H6" s="2009"/>
      <c r="I6" s="2009"/>
      <c r="J6" s="2397"/>
      <c r="K6" s="2009"/>
      <c r="L6" s="2009"/>
      <c r="M6" s="2401"/>
      <c r="N6" s="2402"/>
      <c r="O6" s="2009"/>
      <c r="P6" s="2175"/>
      <c r="Q6" s="2009"/>
      <c r="R6" s="2009"/>
      <c r="S6" s="2009"/>
      <c r="T6" s="2009"/>
      <c r="U6" s="2009"/>
      <c r="V6" s="2009"/>
      <c r="W6" s="2009"/>
      <c r="X6" s="2009"/>
      <c r="Y6" s="2009"/>
      <c r="Z6" s="2009"/>
      <c r="AA6" s="2009"/>
      <c r="AB6" s="2009"/>
      <c r="AC6" s="2175"/>
      <c r="AD6" s="2175"/>
      <c r="AE6" s="2175"/>
      <c r="AF6" s="2175"/>
      <c r="AG6" s="2009"/>
      <c r="AH6" s="2398"/>
    </row>
    <row r="7" spans="1:37" ht="15" customHeight="1">
      <c r="A7" s="2396"/>
      <c r="B7" s="2404" t="s">
        <v>1277</v>
      </c>
      <c r="C7" s="2009"/>
      <c r="D7" s="2009"/>
      <c r="E7" s="2009"/>
      <c r="F7" s="2400"/>
      <c r="G7" s="2009"/>
      <c r="H7" s="2009"/>
      <c r="I7" s="2009"/>
      <c r="J7" s="2397"/>
      <c r="K7" s="2009"/>
      <c r="L7" s="2402"/>
      <c r="M7" s="2401"/>
      <c r="N7" s="2009"/>
      <c r="O7" s="2009"/>
      <c r="P7" s="3048"/>
      <c r="Q7" s="2009"/>
      <c r="R7" s="2009"/>
      <c r="S7" s="2009"/>
      <c r="T7" s="2009"/>
      <c r="U7" s="2009"/>
      <c r="V7" s="2009"/>
      <c r="W7" s="2009"/>
      <c r="X7" s="2009"/>
      <c r="Y7" s="2009"/>
      <c r="Z7" s="2009"/>
      <c r="AA7" s="2009"/>
      <c r="AB7" s="2009"/>
      <c r="AC7" s="2175"/>
      <c r="AD7" s="2175"/>
      <c r="AE7" s="2175"/>
      <c r="AF7" s="2175"/>
      <c r="AG7" s="2009"/>
      <c r="AH7" s="2398"/>
    </row>
    <row r="8" spans="1:37" ht="15.5">
      <c r="A8" s="2396"/>
      <c r="B8" s="2009"/>
      <c r="C8" s="2009"/>
      <c r="D8" s="2009"/>
      <c r="E8" s="2009"/>
      <c r="F8" s="2400"/>
      <c r="G8" s="2009"/>
      <c r="H8" s="2009"/>
      <c r="I8" s="2009"/>
      <c r="J8" s="2397"/>
      <c r="K8" s="2009"/>
      <c r="L8" s="2009"/>
      <c r="M8" s="2009"/>
      <c r="N8" s="2009"/>
      <c r="O8" s="2009"/>
      <c r="P8" s="2175"/>
      <c r="Q8" s="2009"/>
      <c r="R8" s="2009"/>
      <c r="S8" s="2009"/>
      <c r="T8" s="2009"/>
      <c r="U8" s="2009"/>
      <c r="V8" s="2009"/>
      <c r="W8" s="2009"/>
      <c r="X8" s="2009"/>
      <c r="Y8" s="2009"/>
      <c r="Z8" s="2009"/>
      <c r="AA8" s="2009"/>
      <c r="AB8" s="3967" t="str">
        <f>+'Cashflow Governmental'!AB12:AJ12</f>
        <v>6 Months Ended September 30</v>
      </c>
      <c r="AC8" s="3967"/>
      <c r="AD8" s="3967"/>
      <c r="AE8" s="3967"/>
      <c r="AF8" s="3967"/>
      <c r="AG8" s="3967"/>
      <c r="AH8" s="3967"/>
      <c r="AI8" s="3967"/>
      <c r="AJ8" s="3967"/>
      <c r="AK8" s="3967"/>
    </row>
    <row r="9" spans="1:37" ht="15" customHeight="1">
      <c r="A9" s="2396"/>
      <c r="B9" s="2006"/>
      <c r="C9" s="2006"/>
      <c r="D9" s="2407" t="str">
        <f>'Cashflow Governmental'!C13</f>
        <v>2021</v>
      </c>
      <c r="E9" s="2408"/>
      <c r="F9" s="2408"/>
      <c r="G9" s="2408"/>
      <c r="H9" s="2408"/>
      <c r="I9" s="2408"/>
      <c r="J9" s="2408"/>
      <c r="K9" s="2408"/>
      <c r="L9" s="2408"/>
      <c r="M9" s="2408"/>
      <c r="N9" s="2408"/>
      <c r="O9" s="2408"/>
      <c r="P9" s="3049"/>
      <c r="Q9" s="2408"/>
      <c r="R9" s="2408"/>
      <c r="S9" s="2408"/>
      <c r="T9" s="2408"/>
      <c r="U9" s="2408"/>
      <c r="V9" s="2407">
        <f>'Cashflow Governmental'!U13</f>
        <v>2022</v>
      </c>
      <c r="W9" s="2408"/>
      <c r="X9" s="2408"/>
      <c r="Y9" s="2408"/>
      <c r="Z9" s="2408"/>
      <c r="AA9" s="2402"/>
      <c r="AB9" s="2401"/>
      <c r="AC9" s="2411"/>
      <c r="AD9" s="1835"/>
      <c r="AE9" s="1835"/>
      <c r="AF9" s="2411"/>
      <c r="AG9" s="2409"/>
      <c r="AH9" s="2412"/>
      <c r="AI9" s="2413" t="s">
        <v>7</v>
      </c>
      <c r="AJ9" s="2409"/>
      <c r="AK9" s="2414" t="s">
        <v>8</v>
      </c>
    </row>
    <row r="10" spans="1:37" ht="15" customHeight="1">
      <c r="A10" s="2396"/>
      <c r="B10" s="2006"/>
      <c r="C10" s="2006"/>
      <c r="D10" s="2415" t="s">
        <v>123</v>
      </c>
      <c r="E10" s="2401"/>
      <c r="F10" s="2416" t="s">
        <v>124</v>
      </c>
      <c r="G10" s="2401"/>
      <c r="H10" s="2416" t="s">
        <v>125</v>
      </c>
      <c r="I10" s="2401"/>
      <c r="J10" s="2417" t="s">
        <v>126</v>
      </c>
      <c r="K10" s="2401"/>
      <c r="L10" s="2418" t="s">
        <v>127</v>
      </c>
      <c r="M10" s="2401"/>
      <c r="N10" s="2418" t="s">
        <v>142</v>
      </c>
      <c r="O10" s="2401"/>
      <c r="P10" s="2562" t="s">
        <v>143</v>
      </c>
      <c r="Q10" s="2401"/>
      <c r="R10" s="2418" t="s">
        <v>130</v>
      </c>
      <c r="S10" s="2401"/>
      <c r="T10" s="2418" t="s">
        <v>131</v>
      </c>
      <c r="U10" s="2401"/>
      <c r="V10" s="2418" t="s">
        <v>132</v>
      </c>
      <c r="W10" s="2401"/>
      <c r="X10" s="2418" t="s">
        <v>133</v>
      </c>
      <c r="Y10" s="2401"/>
      <c r="Z10" s="2418" t="s">
        <v>184</v>
      </c>
      <c r="AA10" s="2414"/>
      <c r="AB10" s="2401"/>
      <c r="AC10" s="3115">
        <f>'Cashflow Governmental'!AB14</f>
        <v>2021</v>
      </c>
      <c r="AD10" s="2526" t="s">
        <v>14</v>
      </c>
      <c r="AE10" s="2526"/>
      <c r="AF10" s="3115">
        <f>'Cashflow Governmental'!AE14</f>
        <v>2020</v>
      </c>
      <c r="AG10" s="2419"/>
      <c r="AH10" s="2412"/>
      <c r="AI10" s="2420" t="s">
        <v>11</v>
      </c>
      <c r="AJ10" s="2402"/>
      <c r="AK10" s="2421" t="s">
        <v>12</v>
      </c>
    </row>
    <row r="11" spans="1:37" ht="5.25" customHeight="1">
      <c r="A11" s="2396"/>
      <c r="B11" s="2006"/>
      <c r="C11" s="2006"/>
      <c r="D11" s="2422" t="s">
        <v>14</v>
      </c>
      <c r="E11" s="2006"/>
      <c r="F11" s="2423"/>
      <c r="G11" s="2006"/>
      <c r="H11" s="2422"/>
      <c r="I11" s="2006"/>
      <c r="J11" s="2035"/>
      <c r="K11" s="2006"/>
      <c r="L11" s="2422"/>
      <c r="M11" s="2006"/>
      <c r="N11" s="2422"/>
      <c r="O11" s="2006"/>
      <c r="P11" s="3019"/>
      <c r="Q11" s="2006"/>
      <c r="R11" s="2422"/>
      <c r="S11" s="2006"/>
      <c r="T11" s="2422"/>
      <c r="U11" s="2006"/>
      <c r="V11" s="2422"/>
      <c r="W11" s="2006"/>
      <c r="X11" s="2422"/>
      <c r="Y11" s="2006"/>
      <c r="Z11" s="2422"/>
      <c r="AA11" s="2005"/>
      <c r="AB11" s="2006"/>
      <c r="AC11" s="2167"/>
      <c r="AD11" s="2168"/>
      <c r="AE11" s="2168"/>
      <c r="AF11" s="2167"/>
      <c r="AG11" s="2005"/>
      <c r="AH11" s="2424"/>
    </row>
    <row r="12" spans="1:37" ht="15" customHeight="1">
      <c r="A12" s="2425"/>
      <c r="B12" s="2426" t="s">
        <v>135</v>
      </c>
      <c r="C12" s="2028"/>
      <c r="D12" s="2427">
        <v>9160.7999999999993</v>
      </c>
      <c r="E12" s="2428"/>
      <c r="F12" s="2429">
        <f>D139</f>
        <v>12217.6</v>
      </c>
      <c r="G12" s="2428"/>
      <c r="H12" s="2429">
        <f>F139</f>
        <v>14356.5</v>
      </c>
      <c r="I12" s="2428"/>
      <c r="J12" s="2429">
        <f>H139</f>
        <v>15464.4</v>
      </c>
      <c r="K12" s="2428"/>
      <c r="L12" s="2429">
        <f>J139</f>
        <v>15601.1</v>
      </c>
      <c r="M12" s="2428"/>
      <c r="N12" s="2429">
        <f>L139</f>
        <v>15789.3</v>
      </c>
      <c r="O12" s="2428"/>
      <c r="P12" s="2013"/>
      <c r="Q12" s="2428"/>
      <c r="R12" s="2013"/>
      <c r="S12" s="2428"/>
      <c r="T12" s="2429"/>
      <c r="U12" s="2428"/>
      <c r="V12" s="2429"/>
      <c r="W12" s="2429"/>
      <c r="X12" s="2429"/>
      <c r="Y12" s="2428"/>
      <c r="Z12" s="2429"/>
      <c r="AA12" s="2428"/>
      <c r="AB12" s="2430"/>
      <c r="AC12" s="2013">
        <f>D12</f>
        <v>9160.7999999999993</v>
      </c>
      <c r="AD12" s="2431"/>
      <c r="AE12" s="3116"/>
      <c r="AF12" s="3431">
        <v>8944.2000000000007</v>
      </c>
      <c r="AG12" s="2428"/>
      <c r="AH12" s="2432"/>
      <c r="AI12" s="2429">
        <f>ROUND(SUM(+AC12-AF12),1)</f>
        <v>216.6</v>
      </c>
      <c r="AJ12" s="2433"/>
      <c r="AK12" s="1417">
        <f>ROUND(IF(AF12=0,0,AI12/ABS(AF12)),3)</f>
        <v>2.4E-2</v>
      </c>
    </row>
    <row r="13" spans="1:37" ht="15" customHeight="1">
      <c r="A13" s="2425"/>
      <c r="B13" s="2028"/>
      <c r="C13" s="2028"/>
      <c r="D13" s="2028"/>
      <c r="E13" s="2028"/>
      <c r="F13" s="2434"/>
      <c r="G13" s="2028"/>
      <c r="H13" s="2434"/>
      <c r="I13" s="2028"/>
      <c r="J13" s="1979"/>
      <c r="K13" s="2028"/>
      <c r="L13" s="2434"/>
      <c r="M13" s="2028"/>
      <c r="N13" s="2006"/>
      <c r="O13" s="2028"/>
      <c r="P13" s="2168"/>
      <c r="Q13" s="2028"/>
      <c r="R13" s="2006"/>
      <c r="S13" s="2028"/>
      <c r="T13" s="2006"/>
      <c r="U13" s="2028"/>
      <c r="V13" s="2006"/>
      <c r="W13" s="2028"/>
      <c r="X13" s="2006"/>
      <c r="Y13" s="2028"/>
      <c r="Z13" s="2006"/>
      <c r="AA13" s="2006"/>
      <c r="AB13" s="2027"/>
      <c r="AC13" s="2168"/>
      <c r="AD13" s="2439"/>
      <c r="AE13" s="3117"/>
      <c r="AF13" s="2168"/>
      <c r="AG13" s="2006"/>
      <c r="AH13" s="2424"/>
      <c r="AI13" s="2009"/>
      <c r="AJ13" s="2435"/>
      <c r="AK13" s="1435"/>
    </row>
    <row r="14" spans="1:37" ht="15" customHeight="1">
      <c r="A14" s="2425"/>
      <c r="B14" s="2401" t="s">
        <v>13</v>
      </c>
      <c r="C14" s="2028"/>
      <c r="D14" s="2028"/>
      <c r="E14" s="2028"/>
      <c r="F14" s="2006"/>
      <c r="G14" s="2028"/>
      <c r="H14" s="2006"/>
      <c r="I14" s="2028"/>
      <c r="J14" s="1979"/>
      <c r="K14" s="2028"/>
      <c r="L14" s="2006"/>
      <c r="M14" s="2028"/>
      <c r="N14" s="2006"/>
      <c r="O14" s="2028"/>
      <c r="P14" s="2168"/>
      <c r="Q14" s="2028"/>
      <c r="R14" s="2006"/>
      <c r="S14" s="2028"/>
      <c r="T14" s="2006"/>
      <c r="U14" s="2028"/>
      <c r="V14" s="2006"/>
      <c r="W14" s="2028"/>
      <c r="X14" s="2006"/>
      <c r="Y14" s="2028"/>
      <c r="Z14" s="2006"/>
      <c r="AA14" s="2006"/>
      <c r="AB14" s="2027"/>
      <c r="AC14" s="2168"/>
      <c r="AD14" s="2439"/>
      <c r="AE14" s="3117"/>
      <c r="AF14" s="2168"/>
      <c r="AG14" s="2006"/>
      <c r="AH14" s="2424"/>
      <c r="AI14" s="2009"/>
      <c r="AJ14" s="2435"/>
      <c r="AK14" s="1435"/>
    </row>
    <row r="15" spans="1:37" ht="15" customHeight="1">
      <c r="A15" s="2425"/>
      <c r="B15" s="2436" t="s">
        <v>994</v>
      </c>
      <c r="C15" s="2028"/>
      <c r="D15" s="2028"/>
      <c r="E15" s="2028"/>
      <c r="F15" s="2006"/>
      <c r="G15" s="2028"/>
      <c r="H15" s="2006"/>
      <c r="I15" s="2028"/>
      <c r="J15" s="1979"/>
      <c r="K15" s="2028"/>
      <c r="L15" s="2006"/>
      <c r="M15" s="2028"/>
      <c r="N15" s="2006"/>
      <c r="O15" s="2028"/>
      <c r="P15" s="2168"/>
      <c r="Q15" s="2028"/>
      <c r="R15" s="2006"/>
      <c r="S15" s="2028"/>
      <c r="T15" s="2006"/>
      <c r="U15" s="2028"/>
      <c r="V15" s="2006"/>
      <c r="W15" s="2028"/>
      <c r="X15" s="2006"/>
      <c r="Y15" s="2028"/>
      <c r="Z15" s="2006"/>
      <c r="AA15" s="2006"/>
      <c r="AB15" s="2027"/>
      <c r="AC15" s="2168"/>
      <c r="AD15" s="2439"/>
      <c r="AE15" s="3117"/>
      <c r="AF15" s="2168"/>
      <c r="AG15" s="2006"/>
      <c r="AH15" s="2424"/>
      <c r="AI15" s="2009"/>
      <c r="AJ15" s="2435"/>
      <c r="AK15" s="1435"/>
    </row>
    <row r="16" spans="1:37" ht="15" customHeight="1">
      <c r="A16" s="2425"/>
      <c r="B16" s="2437" t="s">
        <v>1059</v>
      </c>
      <c r="C16" s="2028"/>
      <c r="D16" s="2028"/>
      <c r="E16" s="2028"/>
      <c r="F16" s="2006"/>
      <c r="G16" s="2028"/>
      <c r="H16" s="2006"/>
      <c r="I16" s="2028"/>
      <c r="J16" s="1979"/>
      <c r="K16" s="2028"/>
      <c r="L16" s="2006"/>
      <c r="M16" s="2028"/>
      <c r="N16" s="2006"/>
      <c r="O16" s="2028"/>
      <c r="P16" s="2168"/>
      <c r="Q16" s="2028"/>
      <c r="R16" s="2006"/>
      <c r="S16" s="2028"/>
      <c r="T16" s="2006"/>
      <c r="U16" s="2028"/>
      <c r="V16" s="2006"/>
      <c r="W16" s="2028"/>
      <c r="X16" s="2006"/>
      <c r="Y16" s="2028"/>
      <c r="Z16" s="2006"/>
      <c r="AA16" s="2006"/>
      <c r="AB16" s="2027"/>
      <c r="AC16" s="2168"/>
      <c r="AD16" s="2439"/>
      <c r="AE16" s="3117"/>
      <c r="AF16" s="2168"/>
      <c r="AG16" s="2006"/>
      <c r="AH16" s="2424"/>
      <c r="AI16" s="2009"/>
      <c r="AJ16" s="2435"/>
      <c r="AK16" s="1435"/>
    </row>
    <row r="17" spans="1:41" s="2393" customFormat="1" ht="15" customHeight="1">
      <c r="A17" s="2438"/>
      <c r="B17" s="2310" t="s">
        <v>1000</v>
      </c>
      <c r="C17" s="2439"/>
      <c r="D17" s="3834">
        <v>3601.8</v>
      </c>
      <c r="E17" s="1475"/>
      <c r="F17" s="3834">
        <v>3217.7</v>
      </c>
      <c r="G17" s="1475"/>
      <c r="H17" s="1773">
        <v>3702.6000000000004</v>
      </c>
      <c r="I17" s="2440"/>
      <c r="J17" s="1773">
        <v>3408.2</v>
      </c>
      <c r="K17" s="1773"/>
      <c r="L17" s="1773">
        <v>3778.4000000000005</v>
      </c>
      <c r="M17" s="1982"/>
      <c r="N17" s="1773">
        <f>$AC17-$D17-$F17-L17-J17-H17</f>
        <v>3634.7999999999984</v>
      </c>
      <c r="O17" s="1982"/>
      <c r="P17" s="1773"/>
      <c r="Q17" s="1982"/>
      <c r="R17" s="1773"/>
      <c r="S17" s="1982"/>
      <c r="T17" s="1773"/>
      <c r="U17" s="1982"/>
      <c r="V17" s="1773"/>
      <c r="W17" s="1982"/>
      <c r="X17" s="1773"/>
      <c r="Y17" s="1982"/>
      <c r="Z17" s="1773"/>
      <c r="AA17" s="1983"/>
      <c r="AB17" s="1986"/>
      <c r="AC17" s="1789">
        <v>21343.5</v>
      </c>
      <c r="AD17" s="2025"/>
      <c r="AE17" s="1986" t="s">
        <v>14</v>
      </c>
      <c r="AF17" s="1789">
        <v>18636</v>
      </c>
      <c r="AG17" s="2168"/>
      <c r="AH17" s="2441"/>
      <c r="AI17" s="1984">
        <f>ROUND(SUM(+AC17-AF17),1)</f>
        <v>2707.5</v>
      </c>
      <c r="AJ17" s="2442"/>
      <c r="AK17" s="1708">
        <f t="shared" ref="AK17:AK21" si="0">ROUND(IF(AF17=0,0,AI17/ABS(AF17)),3)</f>
        <v>0.14499999999999999</v>
      </c>
      <c r="AL17" s="2391"/>
    </row>
    <row r="18" spans="1:41" s="2393" customFormat="1" ht="15" customHeight="1">
      <c r="A18" s="2438"/>
      <c r="B18" s="2310" t="s">
        <v>1267</v>
      </c>
      <c r="C18" s="2439"/>
      <c r="D18" s="3834">
        <v>3342.2000000000003</v>
      </c>
      <c r="E18" s="1408"/>
      <c r="F18" s="1773">
        <v>6128.6999999999989</v>
      </c>
      <c r="G18" s="1408"/>
      <c r="H18" s="1773">
        <v>2740.7000000000007</v>
      </c>
      <c r="I18" s="2443"/>
      <c r="J18" s="1773">
        <v>147.10000000000036</v>
      </c>
      <c r="K18" s="1982"/>
      <c r="L18" s="1773">
        <v>131.09999999999854</v>
      </c>
      <c r="M18" s="1982"/>
      <c r="N18" s="1773">
        <f t="shared" ref="N18:N25" si="1">$AC18-$D18-$F18-L18-J18-H18</f>
        <v>3241.9000000000015</v>
      </c>
      <c r="O18" s="1982"/>
      <c r="P18" s="1773"/>
      <c r="Q18" s="1982"/>
      <c r="R18" s="1773"/>
      <c r="S18" s="1982"/>
      <c r="T18" s="1773"/>
      <c r="U18" s="1982"/>
      <c r="V18" s="1773"/>
      <c r="W18" s="1982"/>
      <c r="X18" s="1773"/>
      <c r="Y18" s="1982"/>
      <c r="Z18" s="1773"/>
      <c r="AA18" s="1983"/>
      <c r="AB18" s="1986"/>
      <c r="AC18" s="1789">
        <v>15731.7</v>
      </c>
      <c r="AD18" s="2025"/>
      <c r="AE18" s="1986" t="s">
        <v>14</v>
      </c>
      <c r="AF18" s="1789">
        <v>10735.8</v>
      </c>
      <c r="AG18" s="2168"/>
      <c r="AH18" s="2441"/>
      <c r="AI18" s="1984">
        <f>ROUND(SUM(+AC18-AF18),1)</f>
        <v>4995.8999999999996</v>
      </c>
      <c r="AJ18" s="2442"/>
      <c r="AK18" s="1713">
        <f t="shared" si="0"/>
        <v>0.46500000000000002</v>
      </c>
      <c r="AL18" s="2391"/>
    </row>
    <row r="19" spans="1:41" s="2393" customFormat="1" ht="15" customHeight="1">
      <c r="A19" s="2438"/>
      <c r="B19" s="2310" t="s">
        <v>1001</v>
      </c>
      <c r="C19" s="2439"/>
      <c r="D19" s="3834">
        <v>913.6</v>
      </c>
      <c r="E19" s="1408"/>
      <c r="F19" s="1773">
        <v>2184.3000000000002</v>
      </c>
      <c r="G19" s="1408"/>
      <c r="H19" s="1773">
        <v>139.59999999999991</v>
      </c>
      <c r="I19" s="2443"/>
      <c r="J19" s="1773">
        <v>65</v>
      </c>
      <c r="K19" s="1982"/>
      <c r="L19" s="1773">
        <v>59.900000000000091</v>
      </c>
      <c r="M19" s="1982"/>
      <c r="N19" s="1773">
        <f t="shared" si="1"/>
        <v>77.5</v>
      </c>
      <c r="O19" s="1982"/>
      <c r="P19" s="1773"/>
      <c r="Q19" s="1982"/>
      <c r="R19" s="1773"/>
      <c r="S19" s="1982"/>
      <c r="T19" s="1773"/>
      <c r="U19" s="1982"/>
      <c r="V19" s="1773"/>
      <c r="W19" s="1982"/>
      <c r="X19" s="1773"/>
      <c r="Y19" s="1982"/>
      <c r="Z19" s="1773"/>
      <c r="AA19" s="1983"/>
      <c r="AB19" s="1986"/>
      <c r="AC19" s="1789">
        <v>3439.9</v>
      </c>
      <c r="AD19" s="2025"/>
      <c r="AE19" s="1986" t="s">
        <v>14</v>
      </c>
      <c r="AF19" s="1789">
        <v>2642.5</v>
      </c>
      <c r="AG19" s="2168"/>
      <c r="AH19" s="2441"/>
      <c r="AI19" s="1984">
        <f>ROUND(SUM(+AC19-AF19),1)</f>
        <v>797.4</v>
      </c>
      <c r="AJ19" s="2442"/>
      <c r="AK19" s="1708">
        <f t="shared" si="0"/>
        <v>0.30199999999999999</v>
      </c>
      <c r="AL19" s="2391"/>
    </row>
    <row r="20" spans="1:41" s="2393" customFormat="1" ht="15" customHeight="1">
      <c r="A20" s="2438"/>
      <c r="B20" s="2444" t="s">
        <v>1002</v>
      </c>
      <c r="C20" s="2439"/>
      <c r="D20" s="3834">
        <v>-203</v>
      </c>
      <c r="E20" s="1408"/>
      <c r="F20" s="1773">
        <v>-264.7</v>
      </c>
      <c r="G20" s="1408"/>
      <c r="H20" s="1773">
        <v>-21.600000000000023</v>
      </c>
      <c r="I20" s="2443"/>
      <c r="J20" s="1773">
        <v>-31.800000000000011</v>
      </c>
      <c r="K20" s="1982"/>
      <c r="L20" s="1773">
        <v>-19.100000000000023</v>
      </c>
      <c r="M20" s="1982"/>
      <c r="N20" s="1773">
        <f t="shared" si="1"/>
        <v>-28.099999999999909</v>
      </c>
      <c r="O20" s="1982"/>
      <c r="P20" s="1773"/>
      <c r="Q20" s="1982"/>
      <c r="R20" s="1773"/>
      <c r="S20" s="1982"/>
      <c r="T20" s="1773"/>
      <c r="U20" s="1982"/>
      <c r="V20" s="1773"/>
      <c r="W20" s="1982"/>
      <c r="X20" s="1773"/>
      <c r="Y20" s="1982"/>
      <c r="Z20" s="1773"/>
      <c r="AA20" s="1983"/>
      <c r="AB20" s="1986"/>
      <c r="AC20" s="1789">
        <v>-568.29999999999995</v>
      </c>
      <c r="AD20" s="2025"/>
      <c r="AE20" s="1986" t="s">
        <v>14</v>
      </c>
      <c r="AF20" s="1789">
        <v>-454.8</v>
      </c>
      <c r="AG20" s="2168"/>
      <c r="AH20" s="2441"/>
      <c r="AI20" s="1984">
        <f>-ROUND(SUM(+AC20-AF20),1)</f>
        <v>113.5</v>
      </c>
      <c r="AJ20" s="2442"/>
      <c r="AK20" s="1708">
        <f t="shared" si="0"/>
        <v>0.25</v>
      </c>
      <c r="AL20" s="2391"/>
    </row>
    <row r="21" spans="1:41" s="2393" customFormat="1" ht="15" customHeight="1">
      <c r="A21" s="2438"/>
      <c r="B21" s="2444" t="s">
        <v>1266</v>
      </c>
      <c r="C21" s="2439"/>
      <c r="D21" s="3834">
        <v>154.1</v>
      </c>
      <c r="E21" s="1408"/>
      <c r="F21" s="1773">
        <v>87.200000000000017</v>
      </c>
      <c r="G21" s="1408"/>
      <c r="H21" s="1773">
        <v>111.30000000000001</v>
      </c>
      <c r="I21" s="2443"/>
      <c r="J21" s="1773">
        <v>91.899999999999949</v>
      </c>
      <c r="K21" s="1982"/>
      <c r="L21" s="1773">
        <v>112.39999999999995</v>
      </c>
      <c r="M21" s="1982"/>
      <c r="N21" s="1773">
        <f t="shared" si="1"/>
        <v>104.20000000000002</v>
      </c>
      <c r="O21" s="1982"/>
      <c r="P21" s="1773"/>
      <c r="Q21" s="1982"/>
      <c r="R21" s="1773"/>
      <c r="S21" s="1982"/>
      <c r="T21" s="1773"/>
      <c r="U21" s="1982"/>
      <c r="V21" s="1773"/>
      <c r="W21" s="1982"/>
      <c r="X21" s="1773"/>
      <c r="Y21" s="1982"/>
      <c r="Z21" s="1773"/>
      <c r="AA21" s="1983"/>
      <c r="AB21" s="1986"/>
      <c r="AC21" s="1789">
        <v>661.1</v>
      </c>
      <c r="AD21" s="2025"/>
      <c r="AE21" s="1986" t="s">
        <v>14</v>
      </c>
      <c r="AF21" s="1789">
        <v>506.5</v>
      </c>
      <c r="AG21" s="2168"/>
      <c r="AH21" s="2441"/>
      <c r="AI21" s="1984">
        <f>ROUND(SUM(+AC21-AF21),1)</f>
        <v>154.6</v>
      </c>
      <c r="AJ21" s="2442"/>
      <c r="AK21" s="1708">
        <f t="shared" si="0"/>
        <v>0.30499999999999999</v>
      </c>
      <c r="AL21" s="2391"/>
    </row>
    <row r="22" spans="1:41" ht="15" customHeight="1">
      <c r="A22" s="2425"/>
      <c r="B22" s="2291" t="s">
        <v>1003</v>
      </c>
      <c r="C22" s="2028"/>
      <c r="D22" s="2445">
        <f>ROUND(SUM(D17:D21),1)</f>
        <v>7808.7</v>
      </c>
      <c r="E22" s="2443"/>
      <c r="F22" s="2446">
        <f>ROUND(SUM(F17:F21),1)</f>
        <v>11353.2</v>
      </c>
      <c r="G22" s="2443"/>
      <c r="H22" s="2445">
        <f>ROUND(SUM(H17:H21),1)</f>
        <v>6672.6</v>
      </c>
      <c r="I22" s="2443"/>
      <c r="J22" s="2446">
        <f>ROUND(SUM(J17:J21),1)</f>
        <v>3680.4</v>
      </c>
      <c r="K22" s="2028"/>
      <c r="L22" s="2026">
        <f>ROUND(SUM(L17:L21),1)</f>
        <v>4062.7</v>
      </c>
      <c r="M22" s="2028"/>
      <c r="N22" s="2026">
        <f>ROUND(SUM(N17:N21),1)</f>
        <v>7030.3</v>
      </c>
      <c r="O22" s="1990"/>
      <c r="P22" s="2026">
        <f>ROUND(SUM(P17:P21),1)</f>
        <v>0</v>
      </c>
      <c r="Q22" s="1990"/>
      <c r="R22" s="2026">
        <f>ROUND(SUM(R17:R21),1)</f>
        <v>0</v>
      </c>
      <c r="S22" s="1990"/>
      <c r="T22" s="2026">
        <f>ROUND(SUM(T17:T21),1)</f>
        <v>0</v>
      </c>
      <c r="U22" s="1990"/>
      <c r="V22" s="2026">
        <f>ROUND(SUM(V17:V21),1)</f>
        <v>0</v>
      </c>
      <c r="W22" s="1990"/>
      <c r="X22" s="2026">
        <f>ROUND(SUM(X17:X21),1)</f>
        <v>0</v>
      </c>
      <c r="Y22" s="1990"/>
      <c r="Z22" s="2026">
        <f>ROUND(SUM(Z17:Z21),1)</f>
        <v>0</v>
      </c>
      <c r="AA22" s="2006"/>
      <c r="AB22" s="2027"/>
      <c r="AC22" s="3118">
        <f>ROUND(SUM(AC17:AC21),1)</f>
        <v>40607.9</v>
      </c>
      <c r="AD22" s="2439"/>
      <c r="AE22" s="3119" t="s">
        <v>14</v>
      </c>
      <c r="AF22" s="1446">
        <f>ROUND(SUM(AF17:AF21),1)</f>
        <v>32066</v>
      </c>
      <c r="AG22" s="2006"/>
      <c r="AH22" s="2424"/>
      <c r="AI22" s="2026">
        <f>ROUND(SUM(AC22-AF22),1)</f>
        <v>8541.9</v>
      </c>
      <c r="AJ22" s="2435"/>
      <c r="AK22" s="1431">
        <f>ROUND(SUM(+AI22/AF22),3)</f>
        <v>0.26600000000000001</v>
      </c>
      <c r="AO22" s="2393"/>
    </row>
    <row r="23" spans="1:41" s="2393" customFormat="1" ht="15" customHeight="1">
      <c r="A23" s="2438"/>
      <c r="B23" s="2444" t="s">
        <v>1005</v>
      </c>
      <c r="C23" s="2439"/>
      <c r="D23" s="3834">
        <v>0</v>
      </c>
      <c r="E23" s="1408"/>
      <c r="F23" s="1773">
        <v>0</v>
      </c>
      <c r="G23" s="1408"/>
      <c r="H23" s="1773">
        <v>0</v>
      </c>
      <c r="I23" s="2443"/>
      <c r="J23" s="1773">
        <v>0</v>
      </c>
      <c r="K23" s="1982"/>
      <c r="L23" s="1773">
        <v>0</v>
      </c>
      <c r="M23" s="1982"/>
      <c r="N23" s="1773">
        <f t="shared" si="1"/>
        <v>0</v>
      </c>
      <c r="O23" s="1982"/>
      <c r="P23" s="1773"/>
      <c r="Q23" s="1982"/>
      <c r="R23" s="1773"/>
      <c r="S23" s="1982"/>
      <c r="T23" s="1773"/>
      <c r="U23" s="1982"/>
      <c r="V23" s="1773"/>
      <c r="W23" s="1982"/>
      <c r="X23" s="1773"/>
      <c r="Y23" s="1982"/>
      <c r="Z23" s="1773"/>
      <c r="AA23" s="1983"/>
      <c r="AB23" s="1986"/>
      <c r="AC23" s="1789">
        <v>0</v>
      </c>
      <c r="AD23" s="2025"/>
      <c r="AE23" s="1986" t="s">
        <v>14</v>
      </c>
      <c r="AF23" s="1789">
        <v>-0.1</v>
      </c>
      <c r="AG23" s="2168"/>
      <c r="AH23" s="2441"/>
      <c r="AI23" s="1984">
        <f>-ROUND(SUM(+AC23-AF23),1)</f>
        <v>-0.1</v>
      </c>
      <c r="AJ23" s="2442"/>
      <c r="AK23" s="1424">
        <f>ROUND(IF(AF23=0,0,AI23/ABS(AF23)),3)</f>
        <v>-1</v>
      </c>
      <c r="AL23" s="2391"/>
    </row>
    <row r="24" spans="1:41" s="2393" customFormat="1" ht="15" customHeight="1">
      <c r="A24" s="2438"/>
      <c r="B24" s="2444" t="s">
        <v>1006</v>
      </c>
      <c r="C24" s="2439"/>
      <c r="D24" s="3834">
        <v>-3262.9</v>
      </c>
      <c r="E24" s="1408"/>
      <c r="F24" s="1773">
        <v>-4916.5</v>
      </c>
      <c r="G24" s="1408"/>
      <c r="H24" s="1773">
        <v>-2910.3000000000011</v>
      </c>
      <c r="I24" s="2443"/>
      <c r="J24" s="1773">
        <v>-1682.2999999999993</v>
      </c>
      <c r="K24" s="1982"/>
      <c r="L24" s="1773">
        <v>-1900.7000000000007</v>
      </c>
      <c r="M24" s="1982"/>
      <c r="N24" s="1773">
        <f t="shared" si="1"/>
        <v>-3224.8999999999978</v>
      </c>
      <c r="O24" s="1982"/>
      <c r="P24" s="1773"/>
      <c r="Q24" s="1982"/>
      <c r="R24" s="1773"/>
      <c r="S24" s="1982"/>
      <c r="T24" s="1773"/>
      <c r="U24" s="1982"/>
      <c r="V24" s="1773"/>
      <c r="W24" s="1982"/>
      <c r="X24" s="1773"/>
      <c r="Y24" s="1982"/>
      <c r="Z24" s="1773"/>
      <c r="AA24" s="1983"/>
      <c r="AB24" s="1986"/>
      <c r="AC24" s="1789">
        <v>-17897.599999999999</v>
      </c>
      <c r="AD24" s="2025"/>
      <c r="AE24" s="1986" t="s">
        <v>14</v>
      </c>
      <c r="AF24" s="1789">
        <v>-13429.5</v>
      </c>
      <c r="AG24" s="2168"/>
      <c r="AH24" s="2441"/>
      <c r="AI24" s="1984">
        <f>-ROUND(SUM(+AC24-AF24),1)</f>
        <v>4468.1000000000004</v>
      </c>
      <c r="AJ24" s="2442"/>
      <c r="AK24" s="1708">
        <f>ROUND(IF(AF24=0,0,AI24/ABS(AF24)),3)</f>
        <v>0.33300000000000002</v>
      </c>
      <c r="AL24" s="2391"/>
    </row>
    <row r="25" spans="1:41" s="2393" customFormat="1" ht="15" customHeight="1">
      <c r="A25" s="2438"/>
      <c r="B25" s="2310" t="s">
        <v>1268</v>
      </c>
      <c r="C25" s="2439"/>
      <c r="D25" s="3834">
        <v>-1282.9000000000001</v>
      </c>
      <c r="E25" s="1408"/>
      <c r="F25" s="1773">
        <v>-1520.1999999999998</v>
      </c>
      <c r="G25" s="1408"/>
      <c r="H25" s="1773">
        <v>-852</v>
      </c>
      <c r="I25" s="2443"/>
      <c r="J25" s="1773">
        <v>-315.80000000000018</v>
      </c>
      <c r="K25" s="1982"/>
      <c r="L25" s="1773">
        <v>-261.29999999999973</v>
      </c>
      <c r="M25" s="1982"/>
      <c r="N25" s="1773">
        <f t="shared" si="1"/>
        <v>-580.5</v>
      </c>
      <c r="O25" s="1982"/>
      <c r="P25" s="1773"/>
      <c r="Q25" s="1982"/>
      <c r="R25" s="1773"/>
      <c r="S25" s="1982"/>
      <c r="T25" s="1773"/>
      <c r="U25" s="1982"/>
      <c r="V25" s="1773"/>
      <c r="W25" s="1982"/>
      <c r="X25" s="1773"/>
      <c r="Y25" s="1982"/>
      <c r="Z25" s="1773"/>
      <c r="AA25" s="1983"/>
      <c r="AB25" s="1986"/>
      <c r="AC25" s="1789">
        <v>-4812.7</v>
      </c>
      <c r="AD25" s="2025"/>
      <c r="AE25" s="1986" t="s">
        <v>14</v>
      </c>
      <c r="AF25" s="1789">
        <v>-5207</v>
      </c>
      <c r="AG25" s="2168"/>
      <c r="AH25" s="2441"/>
      <c r="AI25" s="1984">
        <f>-ROUND(SUM(+AC25-AF25),1)</f>
        <v>-394.3</v>
      </c>
      <c r="AJ25" s="2442"/>
      <c r="AK25" s="1708">
        <f>ROUND(IF(AF25=0,0,AI25/ABS(AF25)),3)</f>
        <v>-7.5999999999999998E-2</v>
      </c>
      <c r="AL25" s="2391"/>
    </row>
    <row r="26" spans="1:41" ht="15" customHeight="1">
      <c r="A26" s="2425"/>
      <c r="B26" s="2447" t="s">
        <v>1004</v>
      </c>
      <c r="C26" s="2006"/>
      <c r="D26" s="2448">
        <f>ROUND(SUM(D22:D25),1)</f>
        <v>3262.9</v>
      </c>
      <c r="E26" s="1429"/>
      <c r="F26" s="2449">
        <f>ROUND(SUM(F22+F23+F24+F25),1)</f>
        <v>4916.5</v>
      </c>
      <c r="G26" s="1429"/>
      <c r="H26" s="2448">
        <f>ROUND(SUM(H22+H23+H24+H25),1)</f>
        <v>2910.3</v>
      </c>
      <c r="I26" s="1429"/>
      <c r="J26" s="2449">
        <f>ROUND(SUM(J22+J23+J24+J25),1)</f>
        <v>1682.3</v>
      </c>
      <c r="K26" s="1990"/>
      <c r="L26" s="2026">
        <f>ROUND(SUM(L22+L23+L24+L25),1)</f>
        <v>1900.7</v>
      </c>
      <c r="M26" s="1990"/>
      <c r="N26" s="2026">
        <f>ROUND(SUM(N22+N23+N24+N25),1)</f>
        <v>3224.9</v>
      </c>
      <c r="O26" s="1990"/>
      <c r="P26" s="2026">
        <f>ROUND(SUM(P22+P23+P24+P25),1)</f>
        <v>0</v>
      </c>
      <c r="Q26" s="1990"/>
      <c r="R26" s="2026">
        <f>ROUND(SUM(R22+R23+R24+R25),1)</f>
        <v>0</v>
      </c>
      <c r="S26" s="1990"/>
      <c r="T26" s="2026">
        <f>ROUND(SUM(T22+T23+T24+T25),1)</f>
        <v>0</v>
      </c>
      <c r="U26" s="1990"/>
      <c r="V26" s="2026">
        <f>ROUND(SUM(V22+V23+V24+V25),1)</f>
        <v>0</v>
      </c>
      <c r="W26" s="1990"/>
      <c r="X26" s="2026">
        <f>ROUND(SUM(X22+X23+X24+X25),1)</f>
        <v>0</v>
      </c>
      <c r="Y26" s="1990"/>
      <c r="Z26" s="2026">
        <f>ROUND(SUM(Z22+Z23+Z24+Z25),1)</f>
        <v>0</v>
      </c>
      <c r="AA26" s="1449"/>
      <c r="AB26" s="2027"/>
      <c r="AC26" s="3118">
        <f>ROUND(SUM(AC22+AC23+AC24+AC25),1)</f>
        <v>17897.599999999999</v>
      </c>
      <c r="AD26" s="1979"/>
      <c r="AE26" s="1985" t="s">
        <v>14</v>
      </c>
      <c r="AF26" s="1446">
        <f>ROUND(SUM(AF22+AF23+AF24+AF25),1)</f>
        <v>13429.4</v>
      </c>
      <c r="AG26" s="1990"/>
      <c r="AH26" s="2450"/>
      <c r="AI26" s="2026">
        <f>ROUND(SUM(AI22-AI23-AI24-AI25),1)</f>
        <v>4468.2</v>
      </c>
      <c r="AJ26" s="2451"/>
      <c r="AK26" s="1431">
        <f>ROUND(SUM(+AI26/AF26),3)</f>
        <v>0.33300000000000002</v>
      </c>
      <c r="AO26" s="2393"/>
    </row>
    <row r="27" spans="1:41" ht="15" customHeight="1">
      <c r="A27" s="2425"/>
      <c r="B27" s="2437" t="s">
        <v>1056</v>
      </c>
      <c r="C27" s="2006"/>
      <c r="D27" s="1430"/>
      <c r="E27" s="1429"/>
      <c r="F27" s="1448"/>
      <c r="G27" s="1429"/>
      <c r="H27" s="1430"/>
      <c r="I27" s="1429"/>
      <c r="J27" s="1448"/>
      <c r="K27" s="1990"/>
      <c r="L27" s="1430"/>
      <c r="M27" s="1990"/>
      <c r="N27" s="1430"/>
      <c r="O27" s="1990"/>
      <c r="P27" s="1448"/>
      <c r="Q27" s="1990"/>
      <c r="R27" s="1430"/>
      <c r="S27" s="1990"/>
      <c r="T27" s="1430"/>
      <c r="U27" s="1990"/>
      <c r="V27" s="1430"/>
      <c r="W27" s="1990"/>
      <c r="X27" s="1430"/>
      <c r="Y27" s="1990"/>
      <c r="Z27" s="1430"/>
      <c r="AA27" s="1449"/>
      <c r="AB27" s="2027"/>
      <c r="AC27" s="1448"/>
      <c r="AD27" s="1979"/>
      <c r="AE27" s="1985" t="s">
        <v>14</v>
      </c>
      <c r="AF27" s="1448"/>
      <c r="AG27" s="1990"/>
      <c r="AH27" s="2450"/>
      <c r="AI27" s="1430"/>
      <c r="AJ27" s="2451"/>
      <c r="AK27" s="2452"/>
      <c r="AO27" s="2393"/>
    </row>
    <row r="28" spans="1:41" ht="15" customHeight="1">
      <c r="A28" s="2425"/>
      <c r="B28" s="2215" t="s">
        <v>1009</v>
      </c>
      <c r="C28" s="2006"/>
      <c r="D28" s="3834">
        <v>292.8</v>
      </c>
      <c r="E28" s="1408"/>
      <c r="F28" s="1773">
        <v>295.59999999999997</v>
      </c>
      <c r="G28" s="1408"/>
      <c r="H28" s="1773">
        <v>402.99999999999994</v>
      </c>
      <c r="I28" s="1429"/>
      <c r="J28" s="1773">
        <v>324.50000000000028</v>
      </c>
      <c r="K28" s="1982"/>
      <c r="L28" s="1773">
        <v>313.39999999999992</v>
      </c>
      <c r="M28" s="1982"/>
      <c r="N28" s="1773">
        <f t="shared" ref="N28:N35" si="2">$AC28-$D28-$F28-L28-J28-H28</f>
        <v>408.00000000000006</v>
      </c>
      <c r="O28" s="1982"/>
      <c r="P28" s="1773"/>
      <c r="Q28" s="1982"/>
      <c r="R28" s="1773"/>
      <c r="S28" s="1982"/>
      <c r="T28" s="1773"/>
      <c r="U28" s="1982"/>
      <c r="V28" s="1773"/>
      <c r="W28" s="1982"/>
      <c r="X28" s="1773"/>
      <c r="Y28" s="1982"/>
      <c r="Z28" s="1773"/>
      <c r="AA28" s="1983"/>
      <c r="AB28" s="1986"/>
      <c r="AC28" s="1789">
        <v>2037.3</v>
      </c>
      <c r="AD28" s="2025"/>
      <c r="AE28" s="1986" t="s">
        <v>14</v>
      </c>
      <c r="AF28" s="1789">
        <v>3151.7</v>
      </c>
      <c r="AG28" s="1990"/>
      <c r="AH28" s="2450"/>
      <c r="AI28" s="1429">
        <f t="shared" ref="AI28:AI33" si="3">ROUND(SUM(+AC28-AF28),1)</f>
        <v>-1114.4000000000001</v>
      </c>
      <c r="AJ28" s="2451"/>
      <c r="AK28" s="1424">
        <f t="shared" ref="AK28:AK33" si="4">ROUND(IF(AF28=0,0,AI28/ABS(AF28)),3)</f>
        <v>-0.35399999999999998</v>
      </c>
      <c r="AO28" s="2393"/>
    </row>
    <row r="29" spans="1:41" ht="15" customHeight="1">
      <c r="A29" s="2425"/>
      <c r="B29" s="2215" t="s">
        <v>1010</v>
      </c>
      <c r="C29" s="2006"/>
      <c r="D29" s="3834">
        <v>0</v>
      </c>
      <c r="E29" s="1408"/>
      <c r="F29" s="1773">
        <v>0</v>
      </c>
      <c r="G29" s="1408"/>
      <c r="H29" s="1773">
        <v>0</v>
      </c>
      <c r="I29" s="1429"/>
      <c r="J29" s="1773">
        <v>0</v>
      </c>
      <c r="K29" s="1982"/>
      <c r="L29" s="1773">
        <v>0</v>
      </c>
      <c r="M29" s="1982"/>
      <c r="N29" s="1773">
        <f t="shared" si="2"/>
        <v>0</v>
      </c>
      <c r="O29" s="1982"/>
      <c r="P29" s="1773"/>
      <c r="Q29" s="1982"/>
      <c r="R29" s="1773"/>
      <c r="S29" s="1982"/>
      <c r="T29" s="1773"/>
      <c r="U29" s="1982"/>
      <c r="V29" s="1773"/>
      <c r="W29" s="1982"/>
      <c r="X29" s="1773"/>
      <c r="Y29" s="1982"/>
      <c r="Z29" s="1773"/>
      <c r="AA29" s="1983"/>
      <c r="AB29" s="1986"/>
      <c r="AC29" s="1789">
        <v>0</v>
      </c>
      <c r="AD29" s="2025"/>
      <c r="AE29" s="1986" t="s">
        <v>14</v>
      </c>
      <c r="AF29" s="1789">
        <v>0</v>
      </c>
      <c r="AG29" s="1990"/>
      <c r="AH29" s="2450"/>
      <c r="AI29" s="1429">
        <f t="shared" si="3"/>
        <v>0</v>
      </c>
      <c r="AJ29" s="2451"/>
      <c r="AK29" s="1424">
        <f t="shared" si="4"/>
        <v>0</v>
      </c>
      <c r="AO29" s="2393"/>
    </row>
    <row r="30" spans="1:41" ht="15" customHeight="1">
      <c r="A30" s="2425"/>
      <c r="B30" s="2215" t="s">
        <v>1011</v>
      </c>
      <c r="C30" s="2006"/>
      <c r="D30" s="3834">
        <v>28.6</v>
      </c>
      <c r="E30" s="1408"/>
      <c r="F30" s="1773">
        <v>24.799999999999997</v>
      </c>
      <c r="G30" s="1408"/>
      <c r="H30" s="1773">
        <v>25.699999999999996</v>
      </c>
      <c r="I30" s="1429"/>
      <c r="J30" s="1773">
        <v>25.6</v>
      </c>
      <c r="K30" s="1982"/>
      <c r="L30" s="1773">
        <v>26</v>
      </c>
      <c r="M30" s="1982"/>
      <c r="N30" s="1773">
        <f t="shared" si="2"/>
        <v>26.700000000000017</v>
      </c>
      <c r="O30" s="1982"/>
      <c r="P30" s="1773"/>
      <c r="Q30" s="1982"/>
      <c r="R30" s="1773"/>
      <c r="S30" s="1982"/>
      <c r="T30" s="1773"/>
      <c r="U30" s="1982"/>
      <c r="V30" s="1773"/>
      <c r="W30" s="1982"/>
      <c r="X30" s="1773"/>
      <c r="Y30" s="1982"/>
      <c r="Z30" s="1773"/>
      <c r="AA30" s="1983"/>
      <c r="AB30" s="1986"/>
      <c r="AC30" s="1789">
        <v>157.4</v>
      </c>
      <c r="AD30" s="2025"/>
      <c r="AE30" s="1986" t="s">
        <v>14</v>
      </c>
      <c r="AF30" s="1789">
        <v>166.6</v>
      </c>
      <c r="AG30" s="1990"/>
      <c r="AH30" s="2450"/>
      <c r="AI30" s="1429">
        <f t="shared" si="3"/>
        <v>-9.1999999999999993</v>
      </c>
      <c r="AJ30" s="2451"/>
      <c r="AK30" s="1424">
        <f t="shared" si="4"/>
        <v>-5.5E-2</v>
      </c>
      <c r="AO30" s="2393"/>
    </row>
    <row r="31" spans="1:41" ht="15" customHeight="1">
      <c r="A31" s="2425"/>
      <c r="B31" s="2215" t="s">
        <v>1012</v>
      </c>
      <c r="C31" s="2006"/>
      <c r="D31" s="3834">
        <v>0</v>
      </c>
      <c r="E31" s="1408"/>
      <c r="F31" s="1773">
        <v>0</v>
      </c>
      <c r="G31" s="1408"/>
      <c r="H31" s="1773">
        <v>0</v>
      </c>
      <c r="I31" s="1429"/>
      <c r="J31" s="1773">
        <v>0</v>
      </c>
      <c r="K31" s="1982"/>
      <c r="L31" s="1773">
        <v>0</v>
      </c>
      <c r="M31" s="1982"/>
      <c r="N31" s="1773">
        <f t="shared" si="2"/>
        <v>0</v>
      </c>
      <c r="O31" s="1982"/>
      <c r="P31" s="1773"/>
      <c r="Q31" s="1982"/>
      <c r="R31" s="1773"/>
      <c r="S31" s="1982"/>
      <c r="T31" s="1773"/>
      <c r="U31" s="1982"/>
      <c r="V31" s="1773"/>
      <c r="W31" s="1982"/>
      <c r="X31" s="1773"/>
      <c r="Y31" s="1982"/>
      <c r="Z31" s="1773"/>
      <c r="AA31" s="1983"/>
      <c r="AB31" s="1986"/>
      <c r="AC31" s="1789">
        <v>0</v>
      </c>
      <c r="AD31" s="2025"/>
      <c r="AE31" s="1986" t="s">
        <v>14</v>
      </c>
      <c r="AF31" s="1789">
        <v>0</v>
      </c>
      <c r="AG31" s="1990"/>
      <c r="AH31" s="2450"/>
      <c r="AI31" s="1429">
        <f t="shared" si="3"/>
        <v>0</v>
      </c>
      <c r="AJ31" s="2451"/>
      <c r="AK31" s="1424">
        <f>ROUND(IF(AF31=0,0,AI31/ABS(AF31)),3)</f>
        <v>0</v>
      </c>
      <c r="AO31" s="2393"/>
    </row>
    <row r="32" spans="1:41" ht="15" customHeight="1">
      <c r="A32" s="2425"/>
      <c r="B32" s="2215" t="s">
        <v>1013</v>
      </c>
      <c r="C32" s="2006"/>
      <c r="D32" s="3834">
        <v>23</v>
      </c>
      <c r="E32" s="1408"/>
      <c r="F32" s="1773">
        <v>21.799999999999997</v>
      </c>
      <c r="G32" s="1408"/>
      <c r="H32" s="1773">
        <v>21.700000000000003</v>
      </c>
      <c r="I32" s="1429"/>
      <c r="J32" s="1773">
        <v>29.700000000000003</v>
      </c>
      <c r="K32" s="1982"/>
      <c r="L32" s="1773">
        <v>22.700000000000003</v>
      </c>
      <c r="M32" s="1982"/>
      <c r="N32" s="1773">
        <f t="shared" si="2"/>
        <v>25.299999999999983</v>
      </c>
      <c r="O32" s="1982"/>
      <c r="P32" s="1773"/>
      <c r="Q32" s="1982"/>
      <c r="R32" s="1773"/>
      <c r="S32" s="1982"/>
      <c r="T32" s="1773"/>
      <c r="U32" s="1982"/>
      <c r="V32" s="1773"/>
      <c r="W32" s="1982"/>
      <c r="X32" s="1773"/>
      <c r="Y32" s="1982"/>
      <c r="Z32" s="1773"/>
      <c r="AA32" s="1983"/>
      <c r="AB32" s="1986"/>
      <c r="AC32" s="1789">
        <v>144.19999999999999</v>
      </c>
      <c r="AD32" s="2025"/>
      <c r="AE32" s="1986" t="s">
        <v>14</v>
      </c>
      <c r="AF32" s="1789">
        <v>143.30000000000001</v>
      </c>
      <c r="AG32" s="1990"/>
      <c r="AH32" s="2450"/>
      <c r="AI32" s="1429">
        <f t="shared" si="3"/>
        <v>0.9</v>
      </c>
      <c r="AJ32" s="2451"/>
      <c r="AK32" s="1424">
        <f t="shared" si="4"/>
        <v>6.0000000000000001E-3</v>
      </c>
      <c r="AO32" s="2393"/>
    </row>
    <row r="33" spans="1:41" ht="15" customHeight="1">
      <c r="A33" s="2425"/>
      <c r="B33" s="2215" t="s">
        <v>1014</v>
      </c>
      <c r="C33" s="2006"/>
      <c r="D33" s="3834">
        <v>0</v>
      </c>
      <c r="E33" s="1408"/>
      <c r="F33" s="1773">
        <v>0</v>
      </c>
      <c r="G33" s="1408"/>
      <c r="H33" s="1773">
        <v>0</v>
      </c>
      <c r="I33" s="1429"/>
      <c r="J33" s="1773">
        <v>0</v>
      </c>
      <c r="K33" s="1982"/>
      <c r="L33" s="1773">
        <v>0</v>
      </c>
      <c r="M33" s="1982"/>
      <c r="N33" s="1773">
        <f t="shared" si="2"/>
        <v>0</v>
      </c>
      <c r="O33" s="1982"/>
      <c r="P33" s="1773"/>
      <c r="Q33" s="1982"/>
      <c r="R33" s="1773"/>
      <c r="S33" s="1982"/>
      <c r="T33" s="1773"/>
      <c r="U33" s="1982"/>
      <c r="V33" s="1773"/>
      <c r="W33" s="1982"/>
      <c r="X33" s="1773"/>
      <c r="Y33" s="1982"/>
      <c r="Z33" s="1773"/>
      <c r="AA33" s="1983"/>
      <c r="AB33" s="1986"/>
      <c r="AC33" s="1789">
        <v>0</v>
      </c>
      <c r="AD33" s="2025"/>
      <c r="AE33" s="1986" t="s">
        <v>14</v>
      </c>
      <c r="AF33" s="1789">
        <v>0</v>
      </c>
      <c r="AG33" s="1990"/>
      <c r="AH33" s="2450"/>
      <c r="AI33" s="1429">
        <f t="shared" si="3"/>
        <v>0</v>
      </c>
      <c r="AJ33" s="2451"/>
      <c r="AK33" s="1424">
        <f t="shared" si="4"/>
        <v>0</v>
      </c>
      <c r="AO33" s="2393"/>
    </row>
    <row r="34" spans="1:41" ht="15" customHeight="1">
      <c r="A34" s="2425"/>
      <c r="B34" s="2215" t="s">
        <v>1350</v>
      </c>
      <c r="C34" s="2006"/>
      <c r="D34" s="3834">
        <v>0</v>
      </c>
      <c r="E34" s="1408"/>
      <c r="F34" s="1773">
        <v>0</v>
      </c>
      <c r="G34" s="1408"/>
      <c r="H34" s="1773">
        <v>0</v>
      </c>
      <c r="I34" s="1429"/>
      <c r="J34" s="1773">
        <v>0</v>
      </c>
      <c r="K34" s="1982"/>
      <c r="L34" s="1773">
        <v>0</v>
      </c>
      <c r="M34" s="1982"/>
      <c r="N34" s="1773">
        <f t="shared" si="2"/>
        <v>0</v>
      </c>
      <c r="O34" s="1982"/>
      <c r="P34" s="1773"/>
      <c r="Q34" s="1982"/>
      <c r="R34" s="1773"/>
      <c r="S34" s="1982"/>
      <c r="T34" s="1773"/>
      <c r="U34" s="1982"/>
      <c r="V34" s="1773"/>
      <c r="W34" s="1982"/>
      <c r="X34" s="1773"/>
      <c r="Y34" s="1982"/>
      <c r="Z34" s="1773"/>
      <c r="AA34" s="1983"/>
      <c r="AB34" s="2032"/>
      <c r="AC34" s="1789">
        <v>0</v>
      </c>
      <c r="AD34" s="2025"/>
      <c r="AE34" s="2032" t="s">
        <v>14</v>
      </c>
      <c r="AF34" s="1789">
        <v>0</v>
      </c>
      <c r="AG34" s="1990"/>
      <c r="AH34" s="2450"/>
      <c r="AI34" s="1429">
        <f>ROUND(SUM(+AC34-AF34),1)</f>
        <v>0</v>
      </c>
      <c r="AJ34" s="2451"/>
      <c r="AK34" s="1424">
        <f>ROUND(IF(AF34=0,0,AI34/ABS(AF34)),3)</f>
        <v>0</v>
      </c>
      <c r="AO34" s="2393"/>
    </row>
    <row r="35" spans="1:41" ht="15" customHeight="1">
      <c r="A35" s="2425"/>
      <c r="B35" s="2215" t="s">
        <v>1351</v>
      </c>
      <c r="C35" s="2006"/>
      <c r="D35" s="3834">
        <v>6.7</v>
      </c>
      <c r="E35" s="1408"/>
      <c r="F35" s="1773">
        <v>9.9999999999999645E-2</v>
      </c>
      <c r="G35" s="1408"/>
      <c r="H35" s="1773">
        <v>0</v>
      </c>
      <c r="I35" s="1429"/>
      <c r="J35" s="1773">
        <v>7.5000000000000009</v>
      </c>
      <c r="K35" s="1982"/>
      <c r="L35" s="1773">
        <v>0</v>
      </c>
      <c r="M35" s="1982"/>
      <c r="N35" s="1773">
        <f t="shared" si="2"/>
        <v>0</v>
      </c>
      <c r="O35" s="1982"/>
      <c r="P35" s="1773"/>
      <c r="Q35" s="1982"/>
      <c r="R35" s="1773"/>
      <c r="S35" s="1982"/>
      <c r="T35" s="1773"/>
      <c r="U35" s="1982"/>
      <c r="V35" s="1773"/>
      <c r="W35" s="1982"/>
      <c r="X35" s="1773"/>
      <c r="Y35" s="1982"/>
      <c r="Z35" s="1773"/>
      <c r="AA35" s="1983"/>
      <c r="AB35" s="1986"/>
      <c r="AC35" s="1789">
        <v>14.3</v>
      </c>
      <c r="AD35" s="2025"/>
      <c r="AE35" s="1986" t="s">
        <v>14</v>
      </c>
      <c r="AF35" s="1789">
        <v>16.399999999999999</v>
      </c>
      <c r="AG35" s="1990"/>
      <c r="AH35" s="2450"/>
      <c r="AI35" s="1429">
        <f t="shared" ref="AI35" si="5">ROUND(SUM(+AC35-AF35),1)</f>
        <v>-2.1</v>
      </c>
      <c r="AJ35" s="2451"/>
      <c r="AK35" s="1424">
        <f>ROUND(IF(AF35=0,1,AI35/ABS(AF35)),3)</f>
        <v>-0.128</v>
      </c>
      <c r="AO35" s="2393"/>
    </row>
    <row r="36" spans="1:41" s="2455" customFormat="1" ht="15" customHeight="1">
      <c r="A36" s="2453"/>
      <c r="B36" s="2447" t="s">
        <v>1008</v>
      </c>
      <c r="C36" s="2402"/>
      <c r="D36" s="2448">
        <f>ROUND(SUM(D28:D35),1)</f>
        <v>351.1</v>
      </c>
      <c r="E36" s="1447"/>
      <c r="F36" s="2449">
        <f>ROUND(SUM(F28:F35),1)</f>
        <v>342.3</v>
      </c>
      <c r="G36" s="1447"/>
      <c r="H36" s="2448">
        <f>ROUND(SUM(H28:H35),1)</f>
        <v>450.4</v>
      </c>
      <c r="I36" s="1447"/>
      <c r="J36" s="2449">
        <f>ROUND(SUM(J28:J35),1)</f>
        <v>387.3</v>
      </c>
      <c r="K36" s="1447"/>
      <c r="L36" s="2026">
        <f>ROUND(SUM(L28:L35),1)</f>
        <v>362.1</v>
      </c>
      <c r="M36" s="1447"/>
      <c r="N36" s="2026">
        <f>ROUND(SUM(N28:N35),1)</f>
        <v>460</v>
      </c>
      <c r="O36" s="1447"/>
      <c r="P36" s="2026">
        <f>ROUND(SUM(P28:P35),1)</f>
        <v>0</v>
      </c>
      <c r="Q36" s="1447"/>
      <c r="R36" s="2026">
        <f>ROUND(SUM(R28:R35),1)</f>
        <v>0</v>
      </c>
      <c r="S36" s="1447"/>
      <c r="T36" s="2026">
        <f>ROUND(SUM(T28:T35),1)</f>
        <v>0</v>
      </c>
      <c r="U36" s="1447"/>
      <c r="V36" s="2026">
        <f>ROUND(SUM(V28:V35),1)</f>
        <v>0</v>
      </c>
      <c r="W36" s="1447"/>
      <c r="X36" s="2026">
        <f>ROUND(SUM(X28:X35),1)</f>
        <v>0</v>
      </c>
      <c r="Y36" s="1447"/>
      <c r="Z36" s="2026">
        <f>ROUND(SUM(Z28:Z35),1)</f>
        <v>0</v>
      </c>
      <c r="AA36" s="1994"/>
      <c r="AB36" s="2029"/>
      <c r="AC36" s="3118">
        <f>ROUND(SUM(AC28:AC35),1)</f>
        <v>2353.1999999999998</v>
      </c>
      <c r="AD36" s="2034"/>
      <c r="AE36" s="2527"/>
      <c r="AF36" s="1446">
        <f>ROUND(SUM(AF28:AF35),1)</f>
        <v>3478</v>
      </c>
      <c r="AG36" s="1447"/>
      <c r="AH36" s="2454"/>
      <c r="AI36" s="2026">
        <f>ROUND(SUM(AI28:AI35),1)</f>
        <v>-1124.8</v>
      </c>
      <c r="AJ36" s="1430"/>
      <c r="AK36" s="1431">
        <f>ROUND(SUM(+AI36/AF36),3)</f>
        <v>-0.32300000000000001</v>
      </c>
      <c r="AL36" s="2391"/>
      <c r="AO36" s="2393"/>
    </row>
    <row r="37" spans="1:41" s="2455" customFormat="1" ht="15" customHeight="1">
      <c r="A37" s="2453"/>
      <c r="B37" s="2437" t="s">
        <v>1057</v>
      </c>
      <c r="C37" s="2402"/>
      <c r="D37" s="1430"/>
      <c r="E37" s="1447"/>
      <c r="F37" s="1448"/>
      <c r="G37" s="1447"/>
      <c r="H37" s="1430"/>
      <c r="I37" s="1447"/>
      <c r="J37" s="2025"/>
      <c r="K37" s="1447"/>
      <c r="L37" s="1430"/>
      <c r="M37" s="1447"/>
      <c r="N37" s="1430"/>
      <c r="O37" s="1447"/>
      <c r="P37" s="1448"/>
      <c r="Q37" s="1447"/>
      <c r="R37" s="1430"/>
      <c r="S37" s="1447"/>
      <c r="T37" s="1430"/>
      <c r="U37" s="1447"/>
      <c r="V37" s="1430"/>
      <c r="W37" s="1447"/>
      <c r="X37" s="1430"/>
      <c r="Y37" s="1447"/>
      <c r="Z37" s="1430"/>
      <c r="AA37" s="1994"/>
      <c r="AB37" s="2029"/>
      <c r="AC37" s="1448"/>
      <c r="AD37" s="2034"/>
      <c r="AE37" s="2527" t="s">
        <v>14</v>
      </c>
      <c r="AF37" s="1448"/>
      <c r="AG37" s="1447"/>
      <c r="AH37" s="2454"/>
      <c r="AI37" s="1430"/>
      <c r="AJ37" s="1430"/>
      <c r="AK37" s="2452"/>
      <c r="AL37" s="2391"/>
      <c r="AO37" s="2393"/>
    </row>
    <row r="38" spans="1:41" s="2455" customFormat="1" ht="15" customHeight="1">
      <c r="A38" s="2453"/>
      <c r="B38" s="2215" t="s">
        <v>1016</v>
      </c>
      <c r="C38" s="2402"/>
      <c r="D38" s="3834">
        <v>613.79999999999995</v>
      </c>
      <c r="E38" s="1408"/>
      <c r="F38" s="3834">
        <v>66.200000000000045</v>
      </c>
      <c r="G38" s="1408"/>
      <c r="H38" s="1773">
        <v>1187.8</v>
      </c>
      <c r="I38" s="1447"/>
      <c r="J38" s="1773">
        <v>213.60000000000014</v>
      </c>
      <c r="K38" s="1982"/>
      <c r="L38" s="1773">
        <v>19.900000000000091</v>
      </c>
      <c r="M38" s="1982"/>
      <c r="N38" s="1773">
        <f t="shared" ref="N38:N42" si="6">$AC38-$D38-$F38-L38-J38-H38</f>
        <v>1216.3999999999999</v>
      </c>
      <c r="O38" s="1982"/>
      <c r="P38" s="1773"/>
      <c r="Q38" s="1982"/>
      <c r="R38" s="1773"/>
      <c r="S38" s="1982"/>
      <c r="T38" s="1773"/>
      <c r="U38" s="1982"/>
      <c r="V38" s="1773"/>
      <c r="W38" s="1982"/>
      <c r="X38" s="1773"/>
      <c r="Y38" s="1982"/>
      <c r="Z38" s="1773"/>
      <c r="AA38" s="1983"/>
      <c r="AB38" s="1986"/>
      <c r="AC38" s="1789">
        <v>3317.7</v>
      </c>
      <c r="AD38" s="2025"/>
      <c r="AE38" s="1986" t="s">
        <v>14</v>
      </c>
      <c r="AF38" s="1789">
        <v>1815.5</v>
      </c>
      <c r="AG38" s="1447"/>
      <c r="AH38" s="2454"/>
      <c r="AI38" s="1429">
        <f>ROUND(SUM(+AC38-AF38),1)</f>
        <v>1502.2</v>
      </c>
      <c r="AJ38" s="1430"/>
      <c r="AK38" s="1424">
        <f>ROUND(IF(AF38=0,0,AI38/ABS(AF38)),3)</f>
        <v>0.82699999999999996</v>
      </c>
      <c r="AL38" s="2391"/>
      <c r="AO38" s="2393"/>
    </row>
    <row r="39" spans="1:41" s="2455" customFormat="1" ht="15" customHeight="1">
      <c r="A39" s="2453"/>
      <c r="B39" s="2215" t="s">
        <v>1017</v>
      </c>
      <c r="C39" s="2402"/>
      <c r="D39" s="3834">
        <v>28.6</v>
      </c>
      <c r="E39" s="1408"/>
      <c r="F39" s="3834">
        <v>0.59999999999999787</v>
      </c>
      <c r="G39" s="1408"/>
      <c r="H39" s="1773">
        <v>63.700000000000017</v>
      </c>
      <c r="I39" s="1447"/>
      <c r="J39" s="1773">
        <v>1.5</v>
      </c>
      <c r="K39" s="1982"/>
      <c r="L39" s="1773">
        <v>-0.80000000000001137</v>
      </c>
      <c r="M39" s="1982"/>
      <c r="N39" s="1773">
        <f t="shared" si="6"/>
        <v>84.1</v>
      </c>
      <c r="O39" s="1982"/>
      <c r="P39" s="1773"/>
      <c r="Q39" s="1982"/>
      <c r="R39" s="1773"/>
      <c r="S39" s="1982"/>
      <c r="T39" s="1773"/>
      <c r="U39" s="1982"/>
      <c r="V39" s="1773"/>
      <c r="W39" s="1982"/>
      <c r="X39" s="1773"/>
      <c r="Y39" s="1982"/>
      <c r="Z39" s="1773"/>
      <c r="AA39" s="1983"/>
      <c r="AB39" s="1986"/>
      <c r="AC39" s="1789">
        <v>177.7</v>
      </c>
      <c r="AD39" s="2025"/>
      <c r="AE39" s="1986" t="s">
        <v>14</v>
      </c>
      <c r="AF39" s="1789">
        <v>180.5</v>
      </c>
      <c r="AG39" s="1447"/>
      <c r="AH39" s="2454"/>
      <c r="AI39" s="1429">
        <f>ROUND(SUM(+AC39-AF39),1)</f>
        <v>-2.8</v>
      </c>
      <c r="AJ39" s="1430"/>
      <c r="AK39" s="1465">
        <f>ROUND(IF(AF39=0,0,AI39/ABS(AF39)),3)</f>
        <v>-1.6E-2</v>
      </c>
      <c r="AL39" s="2391"/>
      <c r="AO39" s="2393"/>
    </row>
    <row r="40" spans="1:41" s="2455" customFormat="1" ht="15" customHeight="1">
      <c r="A40" s="2453"/>
      <c r="B40" s="2215" t="s">
        <v>1018</v>
      </c>
      <c r="C40" s="2402"/>
      <c r="D40" s="3834">
        <v>73</v>
      </c>
      <c r="E40" s="1408"/>
      <c r="F40" s="3834">
        <v>54.8</v>
      </c>
      <c r="G40" s="1408"/>
      <c r="H40" s="1773">
        <v>328.4</v>
      </c>
      <c r="I40" s="1447"/>
      <c r="J40" s="1773">
        <v>13.400000000000034</v>
      </c>
      <c r="K40" s="1982"/>
      <c r="L40" s="1773">
        <v>48</v>
      </c>
      <c r="M40" s="1982"/>
      <c r="N40" s="1773">
        <f t="shared" si="6"/>
        <v>403.50000000000011</v>
      </c>
      <c r="O40" s="1982"/>
      <c r="P40" s="1773"/>
      <c r="Q40" s="1982"/>
      <c r="R40" s="1773"/>
      <c r="S40" s="1982"/>
      <c r="T40" s="1773"/>
      <c r="U40" s="1982"/>
      <c r="V40" s="1773"/>
      <c r="W40" s="1982"/>
      <c r="X40" s="1773"/>
      <c r="Y40" s="1982"/>
      <c r="Z40" s="1773"/>
      <c r="AA40" s="1983"/>
      <c r="AB40" s="1986"/>
      <c r="AC40" s="1789">
        <v>921.1</v>
      </c>
      <c r="AD40" s="2025"/>
      <c r="AE40" s="1986" t="s">
        <v>14</v>
      </c>
      <c r="AF40" s="1789">
        <v>788.2</v>
      </c>
      <c r="AG40" s="1447"/>
      <c r="AH40" s="2454"/>
      <c r="AI40" s="1429">
        <f>ROUND(SUM(+AC40-AF40),1)</f>
        <v>132.9</v>
      </c>
      <c r="AJ40" s="1430"/>
      <c r="AK40" s="1424">
        <f>ROUND(IF(AF40=0,0,AI40/ABS(AF40)),3)</f>
        <v>0.16900000000000001</v>
      </c>
      <c r="AL40" s="2391"/>
      <c r="AO40" s="2393"/>
    </row>
    <row r="41" spans="1:41" s="2455" customFormat="1" ht="15" customHeight="1">
      <c r="A41" s="2453"/>
      <c r="B41" s="2215" t="s">
        <v>1019</v>
      </c>
      <c r="C41" s="2402"/>
      <c r="D41" s="3834">
        <v>14.2</v>
      </c>
      <c r="E41" s="1408"/>
      <c r="F41" s="3834">
        <v>-17.099999999999998</v>
      </c>
      <c r="G41" s="1408"/>
      <c r="H41" s="1773">
        <v>6.4999999999999982</v>
      </c>
      <c r="I41" s="1447"/>
      <c r="J41" s="1773">
        <v>0.20000000000000107</v>
      </c>
      <c r="K41" s="1982"/>
      <c r="L41" s="1773">
        <v>0</v>
      </c>
      <c r="M41" s="1982"/>
      <c r="N41" s="1773">
        <f t="shared" si="6"/>
        <v>3.8999999999999986</v>
      </c>
      <c r="O41" s="1982"/>
      <c r="P41" s="1773"/>
      <c r="Q41" s="1982"/>
      <c r="R41" s="1773"/>
      <c r="S41" s="1982"/>
      <c r="T41" s="1773"/>
      <c r="U41" s="1982"/>
      <c r="V41" s="1773"/>
      <c r="W41" s="1982"/>
      <c r="X41" s="1773"/>
      <c r="Y41" s="1982"/>
      <c r="Z41" s="1773"/>
      <c r="AA41" s="1983"/>
      <c r="AB41" s="1986"/>
      <c r="AC41" s="1789">
        <v>7.7</v>
      </c>
      <c r="AD41" s="2025"/>
      <c r="AE41" s="1986" t="s">
        <v>14</v>
      </c>
      <c r="AF41" s="1789">
        <v>146.5</v>
      </c>
      <c r="AG41" s="1447"/>
      <c r="AH41" s="2454"/>
      <c r="AI41" s="1429">
        <f>ROUND(SUM(+AC41-AF41),1)</f>
        <v>-138.80000000000001</v>
      </c>
      <c r="AJ41" s="1430"/>
      <c r="AK41" s="1465">
        <f>ROUND(IF(AF41=0,0,AI41/ABS(AF41)),3)</f>
        <v>-0.94699999999999995</v>
      </c>
      <c r="AL41" s="2391"/>
      <c r="AO41" s="2393"/>
    </row>
    <row r="42" spans="1:41" s="2455" customFormat="1" ht="15" customHeight="1">
      <c r="A42" s="2453"/>
      <c r="B42" s="2215" t="s">
        <v>1020</v>
      </c>
      <c r="C42" s="2402"/>
      <c r="D42" s="3834">
        <v>0</v>
      </c>
      <c r="E42" s="1408"/>
      <c r="F42" s="3834">
        <v>0</v>
      </c>
      <c r="G42" s="1408"/>
      <c r="H42" s="1773">
        <v>0</v>
      </c>
      <c r="I42" s="1447"/>
      <c r="J42" s="1773">
        <v>0</v>
      </c>
      <c r="K42" s="1982"/>
      <c r="L42" s="1773">
        <v>0</v>
      </c>
      <c r="M42" s="1982"/>
      <c r="N42" s="1773">
        <f t="shared" si="6"/>
        <v>0</v>
      </c>
      <c r="O42" s="1982"/>
      <c r="P42" s="1773"/>
      <c r="Q42" s="1982"/>
      <c r="R42" s="1773"/>
      <c r="S42" s="1982"/>
      <c r="T42" s="1773"/>
      <c r="U42" s="1982"/>
      <c r="V42" s="1773"/>
      <c r="W42" s="1982"/>
      <c r="X42" s="1773"/>
      <c r="Y42" s="1982"/>
      <c r="Z42" s="1773"/>
      <c r="AA42" s="1983"/>
      <c r="AB42" s="1986"/>
      <c r="AC42" s="1789">
        <v>0</v>
      </c>
      <c r="AD42" s="2025"/>
      <c r="AE42" s="1986" t="s">
        <v>14</v>
      </c>
      <c r="AF42" s="1789">
        <v>0</v>
      </c>
      <c r="AG42" s="1447"/>
      <c r="AH42" s="2454"/>
      <c r="AI42" s="1429">
        <f>ROUND(SUM(+AC42-AF42),1)</f>
        <v>0</v>
      </c>
      <c r="AJ42" s="1430"/>
      <c r="AK42" s="1424">
        <f>ROUND(IF(AF42=0,0,AI42/ABS(AF42)),3)</f>
        <v>0</v>
      </c>
      <c r="AL42" s="2391"/>
      <c r="AO42" s="2393"/>
    </row>
    <row r="43" spans="1:41" s="2455" customFormat="1" ht="15" customHeight="1">
      <c r="A43" s="2453"/>
      <c r="B43" s="2447" t="s">
        <v>1015</v>
      </c>
      <c r="C43" s="2402"/>
      <c r="D43" s="2449">
        <f>ROUND(SUM(D38:D42),1)</f>
        <v>729.6</v>
      </c>
      <c r="E43" s="1447"/>
      <c r="F43" s="2449">
        <f>ROUND(SUM(F38:F42),1)</f>
        <v>104.5</v>
      </c>
      <c r="G43" s="1447"/>
      <c r="H43" s="2449">
        <f>ROUND(SUM(H38:H42),1)</f>
        <v>1586.4</v>
      </c>
      <c r="I43" s="1447"/>
      <c r="J43" s="2449">
        <f>ROUND(SUM(J38:J42),1)</f>
        <v>228.7</v>
      </c>
      <c r="K43" s="1447"/>
      <c r="L43" s="1446">
        <f>ROUND(SUM(L38:L42),1)</f>
        <v>67.099999999999994</v>
      </c>
      <c r="M43" s="1447"/>
      <c r="N43" s="1446">
        <f>ROUND(SUM(N38:N42),1)</f>
        <v>1707.9</v>
      </c>
      <c r="O43" s="1447"/>
      <c r="P43" s="1446">
        <f>ROUND(SUM(P38:P42),1)</f>
        <v>0</v>
      </c>
      <c r="Q43" s="1447"/>
      <c r="R43" s="1446">
        <f>ROUND(SUM(R38:R42),1)</f>
        <v>0</v>
      </c>
      <c r="S43" s="1447"/>
      <c r="T43" s="1446">
        <f>ROUND(SUM(T38:T42),1)</f>
        <v>0</v>
      </c>
      <c r="U43" s="1447"/>
      <c r="V43" s="1446">
        <f>ROUND(SUM(V38:V42),1)</f>
        <v>0</v>
      </c>
      <c r="W43" s="1447"/>
      <c r="X43" s="1446">
        <f>ROUND(SUM(X38:X42),1)</f>
        <v>0</v>
      </c>
      <c r="Y43" s="1447"/>
      <c r="Z43" s="1446">
        <f>ROUND(SUM(Z38:Z42),1)</f>
        <v>0</v>
      </c>
      <c r="AA43" s="1994"/>
      <c r="AB43" s="2029"/>
      <c r="AC43" s="3118">
        <f>ROUND(SUM(AC38:AC42),1)</f>
        <v>4424.2</v>
      </c>
      <c r="AD43" s="2034"/>
      <c r="AE43" s="2527"/>
      <c r="AF43" s="1446">
        <f>ROUND(SUM(AF38:AF42),1)</f>
        <v>2930.7</v>
      </c>
      <c r="AG43" s="1447"/>
      <c r="AH43" s="2454"/>
      <c r="AI43" s="1446">
        <f>ROUND(SUM(AI38:AI42),1)</f>
        <v>1493.5</v>
      </c>
      <c r="AJ43" s="1430"/>
      <c r="AK43" s="1431">
        <f>ROUND(SUM(+AI43/AF43),3)</f>
        <v>0.51</v>
      </c>
      <c r="AL43" s="2391"/>
      <c r="AO43" s="2393"/>
    </row>
    <row r="44" spans="1:41" s="2455" customFormat="1" ht="15" customHeight="1">
      <c r="A44" s="2453"/>
      <c r="B44" s="2437" t="s">
        <v>1058</v>
      </c>
      <c r="C44" s="2402"/>
      <c r="D44" s="1430"/>
      <c r="E44" s="1447"/>
      <c r="F44" s="1430"/>
      <c r="G44" s="1447"/>
      <c r="H44" s="1430"/>
      <c r="I44" s="1447"/>
      <c r="J44" s="1448"/>
      <c r="K44" s="1447"/>
      <c r="L44" s="1430"/>
      <c r="M44" s="1447"/>
      <c r="N44" s="1430"/>
      <c r="O44" s="1447"/>
      <c r="P44" s="1448"/>
      <c r="Q44" s="1447"/>
      <c r="R44" s="1430"/>
      <c r="S44" s="1447"/>
      <c r="T44" s="1430"/>
      <c r="U44" s="1447"/>
      <c r="V44" s="1430"/>
      <c r="W44" s="1447"/>
      <c r="X44" s="1430"/>
      <c r="Y44" s="1447"/>
      <c r="Z44" s="1430"/>
      <c r="AA44" s="1994"/>
      <c r="AB44" s="2029"/>
      <c r="AC44" s="1448"/>
      <c r="AD44" s="2034"/>
      <c r="AE44" s="2527"/>
      <c r="AF44" s="1448"/>
      <c r="AG44" s="1447"/>
      <c r="AH44" s="2454"/>
      <c r="AI44" s="1430"/>
      <c r="AJ44" s="1430"/>
      <c r="AK44" s="2452"/>
      <c r="AL44" s="2391"/>
      <c r="AO44" s="2393"/>
    </row>
    <row r="45" spans="1:41" s="2455" customFormat="1" ht="15" customHeight="1">
      <c r="A45" s="2453"/>
      <c r="B45" s="2215" t="s">
        <v>1023</v>
      </c>
      <c r="C45" s="2402"/>
      <c r="D45" s="3834">
        <v>0</v>
      </c>
      <c r="E45" s="1408"/>
      <c r="F45" s="1773">
        <v>0</v>
      </c>
      <c r="G45" s="1408"/>
      <c r="H45" s="1773">
        <v>0</v>
      </c>
      <c r="I45" s="1447"/>
      <c r="J45" s="1773">
        <v>0</v>
      </c>
      <c r="K45" s="1982"/>
      <c r="L45" s="1773">
        <v>0</v>
      </c>
      <c r="M45" s="1982"/>
      <c r="N45" s="1773">
        <f t="shared" ref="N45:N50" si="7">$AC45-$D45-$F45-L45-J45-H45</f>
        <v>0</v>
      </c>
      <c r="O45" s="1982"/>
      <c r="P45" s="1773"/>
      <c r="Q45" s="1982"/>
      <c r="R45" s="1773"/>
      <c r="S45" s="1982"/>
      <c r="T45" s="1773"/>
      <c r="U45" s="1982"/>
      <c r="V45" s="1773"/>
      <c r="W45" s="1982"/>
      <c r="X45" s="1773"/>
      <c r="Y45" s="1982"/>
      <c r="Z45" s="1773"/>
      <c r="AA45" s="1983"/>
      <c r="AB45" s="1986"/>
      <c r="AC45" s="1789">
        <v>0</v>
      </c>
      <c r="AD45" s="2025"/>
      <c r="AE45" s="1986" t="s">
        <v>14</v>
      </c>
      <c r="AF45" s="1789">
        <v>0</v>
      </c>
      <c r="AG45" s="1447"/>
      <c r="AH45" s="2454"/>
      <c r="AI45" s="1429">
        <f t="shared" ref="AI45:AI49" si="8">ROUND(SUM(+AC45-AF45),1)</f>
        <v>0</v>
      </c>
      <c r="AJ45" s="1430"/>
      <c r="AK45" s="1424">
        <f t="shared" ref="AK45:AK48" si="9">ROUND(IF(AF45=0,0,AI45/ABS(AF45)),3)</f>
        <v>0</v>
      </c>
      <c r="AL45" s="2391"/>
      <c r="AO45" s="2393"/>
    </row>
    <row r="46" spans="1:41" s="2455" customFormat="1" ht="15" customHeight="1">
      <c r="A46" s="2453"/>
      <c r="B46" s="2215" t="s">
        <v>1024</v>
      </c>
      <c r="C46" s="2402"/>
      <c r="D46" s="3834">
        <v>119.8</v>
      </c>
      <c r="E46" s="1408"/>
      <c r="F46" s="1773">
        <v>117.00000000000001</v>
      </c>
      <c r="G46" s="1408"/>
      <c r="H46" s="1773">
        <v>108.89999999999996</v>
      </c>
      <c r="I46" s="1447"/>
      <c r="J46" s="1773">
        <v>103.10000000000004</v>
      </c>
      <c r="K46" s="1982"/>
      <c r="L46" s="1773">
        <v>100.59999999999998</v>
      </c>
      <c r="M46" s="1982"/>
      <c r="N46" s="1773">
        <f t="shared" si="7"/>
        <v>108.70000000000012</v>
      </c>
      <c r="O46" s="1982"/>
      <c r="P46" s="1773"/>
      <c r="Q46" s="1982"/>
      <c r="R46" s="1773"/>
      <c r="S46" s="1982"/>
      <c r="T46" s="1773"/>
      <c r="U46" s="1982"/>
      <c r="V46" s="1773"/>
      <c r="W46" s="1982"/>
      <c r="X46" s="1773"/>
      <c r="Y46" s="1982"/>
      <c r="Z46" s="1773"/>
      <c r="AA46" s="1983"/>
      <c r="AB46" s="1986"/>
      <c r="AC46" s="1789">
        <v>658.1</v>
      </c>
      <c r="AD46" s="2025"/>
      <c r="AE46" s="1986" t="s">
        <v>14</v>
      </c>
      <c r="AF46" s="1789">
        <v>566.79999999999995</v>
      </c>
      <c r="AG46" s="1447"/>
      <c r="AH46" s="2454"/>
      <c r="AI46" s="1429">
        <f t="shared" si="8"/>
        <v>91.3</v>
      </c>
      <c r="AJ46" s="1430"/>
      <c r="AK46" s="1424">
        <f t="shared" si="9"/>
        <v>0.161</v>
      </c>
      <c r="AL46" s="2391"/>
      <c r="AO46" s="2393"/>
    </row>
    <row r="47" spans="1:41" s="2455" customFormat="1" ht="15" customHeight="1">
      <c r="A47" s="2453"/>
      <c r="B47" s="2215" t="s">
        <v>1025</v>
      </c>
      <c r="C47" s="2402"/>
      <c r="D47" s="3834">
        <v>1.3</v>
      </c>
      <c r="E47" s="1408"/>
      <c r="F47" s="1773">
        <v>1.0999999999999999</v>
      </c>
      <c r="G47" s="1408"/>
      <c r="H47" s="1773">
        <v>1.1000000000000003</v>
      </c>
      <c r="I47" s="1447"/>
      <c r="J47" s="1773">
        <v>1.0999999999999999</v>
      </c>
      <c r="K47" s="1982"/>
      <c r="L47" s="1773">
        <v>2.1000000000000005</v>
      </c>
      <c r="M47" s="1982"/>
      <c r="N47" s="1773">
        <f>$AC47-$D47-$F47-L47-J47-H47</f>
        <v>1.7000000000000004</v>
      </c>
      <c r="O47" s="1982"/>
      <c r="P47" s="1773"/>
      <c r="Q47" s="1982"/>
      <c r="R47" s="1773"/>
      <c r="S47" s="1982"/>
      <c r="T47" s="1773"/>
      <c r="U47" s="1982"/>
      <c r="V47" s="1773"/>
      <c r="W47" s="1982"/>
      <c r="X47" s="1773"/>
      <c r="Y47" s="1982"/>
      <c r="Z47" s="1773"/>
      <c r="AA47" s="1983"/>
      <c r="AB47" s="1986"/>
      <c r="AC47" s="1789">
        <v>8.4</v>
      </c>
      <c r="AD47" s="2025"/>
      <c r="AE47" s="1986" t="s">
        <v>14</v>
      </c>
      <c r="AF47" s="1789">
        <v>4.8</v>
      </c>
      <c r="AG47" s="1447"/>
      <c r="AH47" s="2454"/>
      <c r="AI47" s="1429">
        <f t="shared" si="8"/>
        <v>3.6</v>
      </c>
      <c r="AJ47" s="1430"/>
      <c r="AK47" s="1424">
        <f t="shared" si="9"/>
        <v>0.75</v>
      </c>
      <c r="AL47" s="2391"/>
      <c r="AO47" s="2393"/>
    </row>
    <row r="48" spans="1:41" s="2455" customFormat="1" ht="15" customHeight="1">
      <c r="A48" s="2453"/>
      <c r="B48" s="2215" t="s">
        <v>1026</v>
      </c>
      <c r="C48" s="2402"/>
      <c r="D48" s="3834">
        <v>0</v>
      </c>
      <c r="E48" s="1408"/>
      <c r="F48" s="1773">
        <v>0</v>
      </c>
      <c r="G48" s="1408"/>
      <c r="H48" s="1773">
        <v>0</v>
      </c>
      <c r="I48" s="1447"/>
      <c r="J48" s="1773">
        <v>0</v>
      </c>
      <c r="K48" s="1982"/>
      <c r="L48" s="1773">
        <v>0</v>
      </c>
      <c r="M48" s="1982"/>
      <c r="N48" s="1773">
        <f t="shared" si="7"/>
        <v>0</v>
      </c>
      <c r="O48" s="1982"/>
      <c r="P48" s="1773"/>
      <c r="Q48" s="1982"/>
      <c r="R48" s="1773"/>
      <c r="S48" s="1982"/>
      <c r="T48" s="1773"/>
      <c r="U48" s="1982"/>
      <c r="V48" s="1773"/>
      <c r="W48" s="1982"/>
      <c r="X48" s="1773"/>
      <c r="Y48" s="1982"/>
      <c r="Z48" s="1773"/>
      <c r="AA48" s="1983"/>
      <c r="AB48" s="1986"/>
      <c r="AC48" s="1789">
        <v>0</v>
      </c>
      <c r="AD48" s="2025">
        <f>'Exhibit F'!AF1211</f>
        <v>0</v>
      </c>
      <c r="AE48" s="1986" t="s">
        <v>14</v>
      </c>
      <c r="AF48" s="1789">
        <v>0</v>
      </c>
      <c r="AG48" s="1447"/>
      <c r="AH48" s="2454"/>
      <c r="AI48" s="1429">
        <f t="shared" si="8"/>
        <v>0</v>
      </c>
      <c r="AJ48" s="1430"/>
      <c r="AK48" s="1424">
        <f t="shared" si="9"/>
        <v>0</v>
      </c>
      <c r="AL48" s="2391"/>
      <c r="AO48" s="2393"/>
    </row>
    <row r="49" spans="1:41" s="2455" customFormat="1" ht="15" customHeight="1">
      <c r="A49" s="2453"/>
      <c r="B49" s="2215" t="s">
        <v>1027</v>
      </c>
      <c r="C49" s="2402"/>
      <c r="D49" s="3834">
        <v>0</v>
      </c>
      <c r="E49" s="1408"/>
      <c r="F49" s="1773">
        <v>0</v>
      </c>
      <c r="G49" s="1408"/>
      <c r="H49" s="1773">
        <v>0</v>
      </c>
      <c r="I49" s="1447"/>
      <c r="J49" s="1773">
        <v>0</v>
      </c>
      <c r="K49" s="1982"/>
      <c r="L49" s="1773">
        <v>0.1</v>
      </c>
      <c r="M49" s="1982"/>
      <c r="N49" s="1773">
        <f t="shared" si="7"/>
        <v>0.19999999999999998</v>
      </c>
      <c r="O49" s="1982"/>
      <c r="P49" s="1773"/>
      <c r="Q49" s="1982"/>
      <c r="R49" s="1773"/>
      <c r="S49" s="1982"/>
      <c r="T49" s="1773"/>
      <c r="U49" s="1982"/>
      <c r="V49" s="1773"/>
      <c r="W49" s="1982"/>
      <c r="X49" s="1773"/>
      <c r="Y49" s="1982"/>
      <c r="Z49" s="1773"/>
      <c r="AA49" s="1983"/>
      <c r="AB49" s="1986"/>
      <c r="AC49" s="1789">
        <v>0.3</v>
      </c>
      <c r="AD49" s="2025"/>
      <c r="AE49" s="1986" t="s">
        <v>14</v>
      </c>
      <c r="AF49" s="1789">
        <v>0.1</v>
      </c>
      <c r="AG49" s="1447"/>
      <c r="AH49" s="2454"/>
      <c r="AI49" s="1429">
        <f t="shared" si="8"/>
        <v>0.2</v>
      </c>
      <c r="AJ49" s="1430"/>
      <c r="AK49" s="1424">
        <f>ROUND(IF(AF49=0,1,AI49/ABS(AF49)),3)</f>
        <v>2</v>
      </c>
      <c r="AL49" s="2391"/>
      <c r="AO49" s="2393"/>
    </row>
    <row r="50" spans="1:41" s="2455" customFormat="1" ht="15" customHeight="1">
      <c r="A50" s="2453"/>
      <c r="B50" s="2444" t="s">
        <v>1284</v>
      </c>
      <c r="C50" s="2439"/>
      <c r="D50" s="3834">
        <v>0.1</v>
      </c>
      <c r="E50" s="1408"/>
      <c r="F50" s="1773">
        <v>0.1</v>
      </c>
      <c r="G50" s="1408"/>
      <c r="H50" s="1773">
        <v>9.9999999999999978E-2</v>
      </c>
      <c r="I50" s="2443"/>
      <c r="J50" s="1773">
        <v>0.20000000000000007</v>
      </c>
      <c r="K50" s="1982"/>
      <c r="L50" s="1773">
        <v>9.9999999999999978E-2</v>
      </c>
      <c r="M50" s="1982"/>
      <c r="N50" s="1773">
        <f t="shared" si="7"/>
        <v>0.20000000000000007</v>
      </c>
      <c r="O50" s="1982"/>
      <c r="P50" s="1773"/>
      <c r="Q50" s="1982"/>
      <c r="R50" s="1773"/>
      <c r="S50" s="1982"/>
      <c r="T50" s="1773"/>
      <c r="U50" s="1982"/>
      <c r="V50" s="1773"/>
      <c r="W50" s="1982"/>
      <c r="X50" s="1773"/>
      <c r="Y50" s="1982"/>
      <c r="Z50" s="1773"/>
      <c r="AA50" s="1983"/>
      <c r="AB50" s="1986"/>
      <c r="AC50" s="1789">
        <v>0.8</v>
      </c>
      <c r="AD50" s="2025"/>
      <c r="AE50" s="1986" t="s">
        <v>14</v>
      </c>
      <c r="AF50" s="1789">
        <v>0.4</v>
      </c>
      <c r="AG50" s="2168"/>
      <c r="AH50" s="2441"/>
      <c r="AI50" s="1984">
        <f>ROUND(SUM(+AC50-AF50),1)</f>
        <v>0.4</v>
      </c>
      <c r="AJ50" s="2442"/>
      <c r="AK50" s="1708">
        <f>ROUND(IF(AF50=0,1,AI50/ABS(AF50)),3)</f>
        <v>1</v>
      </c>
      <c r="AL50" s="2391"/>
      <c r="AO50" s="2393"/>
    </row>
    <row r="51" spans="1:41" s="2455" customFormat="1" ht="15" customHeight="1">
      <c r="A51" s="2453"/>
      <c r="B51" s="2447" t="s">
        <v>1021</v>
      </c>
      <c r="C51" s="2402"/>
      <c r="D51" s="2449">
        <f>ROUND(SUM(D45:D50),1)</f>
        <v>121.2</v>
      </c>
      <c r="E51" s="1447"/>
      <c r="F51" s="2449">
        <f>ROUND(SUM(F45:F50),1)</f>
        <v>118.2</v>
      </c>
      <c r="G51" s="1447"/>
      <c r="H51" s="2449">
        <f>ROUND(SUM(H45:H50),1)</f>
        <v>110.1</v>
      </c>
      <c r="I51" s="1447"/>
      <c r="J51" s="2449">
        <f>ROUND(SUM(J45:J50),1)</f>
        <v>104.4</v>
      </c>
      <c r="K51" s="1447"/>
      <c r="L51" s="1446">
        <f>ROUND(SUM(L45:L50),1)</f>
        <v>102.9</v>
      </c>
      <c r="M51" s="1447"/>
      <c r="N51" s="1446">
        <f>ROUND(SUM(N45:N50),1)</f>
        <v>110.8</v>
      </c>
      <c r="O51" s="1447"/>
      <c r="P51" s="1446">
        <f>ROUND(SUM(P45:P50),1)</f>
        <v>0</v>
      </c>
      <c r="Q51" s="1447"/>
      <c r="R51" s="1446">
        <f>ROUND(SUM(R45:R50),1)</f>
        <v>0</v>
      </c>
      <c r="S51" s="1447"/>
      <c r="T51" s="1446">
        <f>ROUND(SUM(T45:T50),1)</f>
        <v>0</v>
      </c>
      <c r="U51" s="1447"/>
      <c r="V51" s="1446">
        <f>ROUND(SUM(V45:V50),1)</f>
        <v>0</v>
      </c>
      <c r="W51" s="1447"/>
      <c r="X51" s="1446">
        <f>ROUND(SUM(X45:X50),1)</f>
        <v>0</v>
      </c>
      <c r="Y51" s="1447"/>
      <c r="Z51" s="1446">
        <f>ROUND(SUM(Z45:Z50),1)</f>
        <v>0</v>
      </c>
      <c r="AA51" s="1994"/>
      <c r="AB51" s="2029"/>
      <c r="AC51" s="3118">
        <f>ROUND(SUM(AC45:AC50),1)</f>
        <v>667.6</v>
      </c>
      <c r="AD51" s="2034"/>
      <c r="AE51" s="2527"/>
      <c r="AF51" s="1446">
        <f>ROUND(SUM(AF45:AF50),1)</f>
        <v>572.1</v>
      </c>
      <c r="AG51" s="1447"/>
      <c r="AH51" s="2454"/>
      <c r="AI51" s="1446">
        <f>ROUND(SUM(AI45:AI50),1)</f>
        <v>95.5</v>
      </c>
      <c r="AJ51" s="1430"/>
      <c r="AK51" s="1431">
        <f>ROUND(SUM(+AI51/AF51),3)</f>
        <v>0.16700000000000001</v>
      </c>
      <c r="AL51" s="2391"/>
      <c r="AO51" s="2393"/>
    </row>
    <row r="52" spans="1:41" s="2455" customFormat="1" ht="15" customHeight="1">
      <c r="A52" s="2453"/>
      <c r="B52" s="2447"/>
      <c r="C52" s="2402"/>
      <c r="D52" s="1430"/>
      <c r="E52" s="1447"/>
      <c r="F52" s="1430"/>
      <c r="G52" s="1430"/>
      <c r="H52" s="1430"/>
      <c r="I52" s="1430"/>
      <c r="J52" s="1448"/>
      <c r="K52" s="1430"/>
      <c r="L52" s="1430"/>
      <c r="M52" s="1430"/>
      <c r="N52" s="1430"/>
      <c r="O52" s="1430"/>
      <c r="P52" s="1448"/>
      <c r="Q52" s="1430"/>
      <c r="R52" s="1430"/>
      <c r="S52" s="1430"/>
      <c r="T52" s="1430"/>
      <c r="U52" s="1430"/>
      <c r="V52" s="1430"/>
      <c r="W52" s="1430"/>
      <c r="X52" s="1448"/>
      <c r="Y52" s="1430"/>
      <c r="Z52" s="1448"/>
      <c r="AA52" s="1994"/>
      <c r="AB52" s="2029"/>
      <c r="AC52" s="1448"/>
      <c r="AD52" s="2034"/>
      <c r="AE52" s="2527"/>
      <c r="AF52" s="1448"/>
      <c r="AG52" s="1447"/>
      <c r="AH52" s="2454"/>
      <c r="AI52" s="1430"/>
      <c r="AJ52" s="1430"/>
      <c r="AK52" s="2452"/>
      <c r="AL52" s="2391"/>
      <c r="AO52" s="2393"/>
    </row>
    <row r="53" spans="1:41" ht="15" customHeight="1">
      <c r="A53" s="2425"/>
      <c r="B53" s="2447" t="s">
        <v>1022</v>
      </c>
      <c r="C53" s="2006"/>
      <c r="D53" s="2456">
        <f>ROUND(SUM(D26+D36+D43+D51),1)</f>
        <v>4464.8</v>
      </c>
      <c r="E53" s="1429"/>
      <c r="F53" s="2456">
        <f>ROUND(SUM(F26+F36+F43+F51),1)</f>
        <v>5481.5</v>
      </c>
      <c r="G53" s="1429"/>
      <c r="H53" s="2456">
        <f>ROUND(SUM(H26+H36+H43+H51),1)</f>
        <v>5057.2</v>
      </c>
      <c r="I53" s="1429"/>
      <c r="J53" s="2456">
        <f>ROUND(SUM(J26+J36+J43+J51),1)</f>
        <v>2402.6999999999998</v>
      </c>
      <c r="K53" s="1990"/>
      <c r="L53" s="1967">
        <f>ROUND(SUM(L26+L36+L43+L51),1)</f>
        <v>2432.8000000000002</v>
      </c>
      <c r="M53" s="1990"/>
      <c r="N53" s="1967">
        <f>ROUND(SUM(N26+N36+N43+N51),1)</f>
        <v>5503.6</v>
      </c>
      <c r="O53" s="1990"/>
      <c r="P53" s="1967">
        <f>ROUND(SUM(P26+P36+P43+P51),1)</f>
        <v>0</v>
      </c>
      <c r="Q53" s="1990"/>
      <c r="R53" s="1967">
        <f>ROUND(SUM(R26+R36+R43+R51),1)</f>
        <v>0</v>
      </c>
      <c r="S53" s="1990"/>
      <c r="T53" s="1967">
        <f>ROUND(SUM(T26+T36+T43+T51),1)</f>
        <v>0</v>
      </c>
      <c r="U53" s="1990"/>
      <c r="V53" s="1967">
        <f>ROUND(SUM(V26+V36+V43+V51),1)</f>
        <v>0</v>
      </c>
      <c r="W53" s="1990"/>
      <c r="X53" s="1967">
        <f>ROUND(SUM(X26+X36+X43+X51),1)</f>
        <v>0</v>
      </c>
      <c r="Y53" s="1990"/>
      <c r="Z53" s="1967">
        <f>ROUND(SUM(Z26+Z36+Z43+Z51),1)</f>
        <v>0</v>
      </c>
      <c r="AA53" s="1449"/>
      <c r="AB53" s="2027"/>
      <c r="AC53" s="3120">
        <f>ROUND(SUM(AC26+AC36+AC43+AC51),1)</f>
        <v>25342.6</v>
      </c>
      <c r="AD53" s="1979"/>
      <c r="AE53" s="2023"/>
      <c r="AF53" s="1967">
        <f>ROUND(SUM(AF26+AF36+AF43+AF51),1)</f>
        <v>20410.2</v>
      </c>
      <c r="AG53" s="1990"/>
      <c r="AH53" s="2450"/>
      <c r="AI53" s="1967">
        <f>ROUND(SUM(AI26+AI36+AI43+AI51),1)</f>
        <v>4932.3999999999996</v>
      </c>
      <c r="AJ53" s="2451"/>
      <c r="AK53" s="1421">
        <f>ROUND(SUM(+AI53/AF53),3)</f>
        <v>0.24199999999999999</v>
      </c>
      <c r="AO53" s="2393"/>
    </row>
    <row r="54" spans="1:41" ht="8.25" customHeight="1">
      <c r="A54" s="2425"/>
      <c r="B54" s="2443"/>
      <c r="C54" s="2006"/>
      <c r="D54" s="1429"/>
      <c r="E54" s="1429"/>
      <c r="F54" s="1429"/>
      <c r="G54" s="1429"/>
      <c r="H54" s="1429"/>
      <c r="I54" s="1429"/>
      <c r="J54" s="1984"/>
      <c r="K54" s="1990"/>
      <c r="L54" s="1990"/>
      <c r="M54" s="1990"/>
      <c r="N54" s="1990"/>
      <c r="O54" s="1990"/>
      <c r="P54" s="1979"/>
      <c r="Q54" s="1990"/>
      <c r="R54" s="1990"/>
      <c r="S54" s="1990"/>
      <c r="T54" s="1990"/>
      <c r="U54" s="1990"/>
      <c r="V54" s="1990"/>
      <c r="W54" s="1990"/>
      <c r="X54" s="1990"/>
      <c r="Y54" s="1990"/>
      <c r="Z54" s="1990"/>
      <c r="AA54" s="1449"/>
      <c r="AB54" s="2027"/>
      <c r="AC54" s="1984"/>
      <c r="AD54" s="1979"/>
      <c r="AE54" s="2023"/>
      <c r="AF54" s="1979"/>
      <c r="AG54" s="1990"/>
      <c r="AH54" s="2450"/>
      <c r="AI54" s="1429"/>
      <c r="AJ54" s="2451"/>
      <c r="AK54" s="1418"/>
      <c r="AO54" s="2393"/>
    </row>
    <row r="55" spans="1:41" ht="15" customHeight="1">
      <c r="A55" s="2425"/>
      <c r="B55" s="2436" t="s">
        <v>930</v>
      </c>
      <c r="C55" s="2457"/>
      <c r="D55" s="1429"/>
      <c r="E55" s="2458"/>
      <c r="F55" s="1429"/>
      <c r="G55" s="2458"/>
      <c r="H55" s="1429"/>
      <c r="I55" s="1429"/>
      <c r="J55" s="1984"/>
      <c r="K55" s="1990"/>
      <c r="L55" s="1990"/>
      <c r="M55" s="1990"/>
      <c r="N55" s="1990"/>
      <c r="O55" s="1990"/>
      <c r="P55" s="1979"/>
      <c r="Q55" s="1990"/>
      <c r="R55" s="1990"/>
      <c r="S55" s="1990"/>
      <c r="T55" s="1990"/>
      <c r="U55" s="1990"/>
      <c r="V55" s="1990"/>
      <c r="W55" s="1990"/>
      <c r="X55" s="1990"/>
      <c r="Y55" s="1990"/>
      <c r="Z55" s="1990"/>
      <c r="AA55" s="1449"/>
      <c r="AB55" s="2027"/>
      <c r="AC55" s="1984"/>
      <c r="AD55" s="1979"/>
      <c r="AE55" s="2023"/>
      <c r="AF55" s="1979"/>
      <c r="AG55" s="1990"/>
      <c r="AH55" s="2450"/>
      <c r="AI55" s="1429"/>
      <c r="AJ55" s="2451"/>
      <c r="AK55" s="1418"/>
      <c r="AO55" s="2393"/>
    </row>
    <row r="56" spans="1:41" ht="15" customHeight="1">
      <c r="A56" s="2425"/>
      <c r="B56" s="2459" t="s">
        <v>1049</v>
      </c>
      <c r="C56" s="2457"/>
      <c r="D56" s="1429"/>
      <c r="E56" s="2458"/>
      <c r="F56" s="1429"/>
      <c r="G56" s="2458"/>
      <c r="H56" s="1429"/>
      <c r="I56" s="1429"/>
      <c r="J56" s="1984"/>
      <c r="K56" s="1990"/>
      <c r="L56" s="1990"/>
      <c r="M56" s="1990"/>
      <c r="N56" s="1990"/>
      <c r="O56" s="1990"/>
      <c r="P56" s="1979"/>
      <c r="Q56" s="1990"/>
      <c r="R56" s="1990"/>
      <c r="S56" s="1990"/>
      <c r="T56" s="1990"/>
      <c r="U56" s="1990"/>
      <c r="V56" s="1990"/>
      <c r="W56" s="1990"/>
      <c r="X56" s="1990"/>
      <c r="Y56" s="1990"/>
      <c r="Z56" s="1990"/>
      <c r="AA56" s="1449"/>
      <c r="AB56" s="2030"/>
      <c r="AC56" s="1984"/>
      <c r="AD56" s="1979"/>
      <c r="AE56" s="2023"/>
      <c r="AF56" s="1984"/>
      <c r="AG56" s="1990"/>
      <c r="AH56" s="2450"/>
      <c r="AI56" s="1429"/>
      <c r="AJ56" s="2451"/>
      <c r="AK56" s="1418"/>
      <c r="AO56" s="2393"/>
    </row>
    <row r="57" spans="1:41" ht="15" customHeight="1">
      <c r="A57" s="2425"/>
      <c r="B57" s="2459" t="s">
        <v>928</v>
      </c>
      <c r="C57" s="2459"/>
      <c r="D57" s="3834">
        <v>0.4</v>
      </c>
      <c r="E57" s="2458"/>
      <c r="F57" s="1773">
        <v>0</v>
      </c>
      <c r="G57" s="2458"/>
      <c r="H57" s="1773">
        <v>0</v>
      </c>
      <c r="I57" s="1429"/>
      <c r="J57" s="1773">
        <v>0</v>
      </c>
      <c r="K57" s="1982"/>
      <c r="L57" s="1773">
        <v>10</v>
      </c>
      <c r="M57" s="1982"/>
      <c r="N57" s="1773">
        <f t="shared" ref="N57:N91" si="10">$AC57-$D57-$F57-L57-J57-H57</f>
        <v>100</v>
      </c>
      <c r="O57" s="1982"/>
      <c r="P57" s="1773"/>
      <c r="Q57" s="1982"/>
      <c r="R57" s="1773"/>
      <c r="S57" s="1982"/>
      <c r="T57" s="1773"/>
      <c r="U57" s="1982"/>
      <c r="V57" s="1773"/>
      <c r="W57" s="1982"/>
      <c r="X57" s="1773"/>
      <c r="Y57" s="1982"/>
      <c r="Z57" s="1773"/>
      <c r="AA57" s="1983"/>
      <c r="AB57" s="1986"/>
      <c r="AC57" s="1789">
        <v>110.4</v>
      </c>
      <c r="AD57" s="2025"/>
      <c r="AE57" s="1986" t="s">
        <v>14</v>
      </c>
      <c r="AF57" s="1789">
        <v>110.29999999999998</v>
      </c>
      <c r="AG57" s="2460"/>
      <c r="AH57" s="2461"/>
      <c r="AI57" s="1429">
        <f>ROUND(SUM(+AC57-AF57),1)</f>
        <v>0.1</v>
      </c>
      <c r="AJ57" s="2451"/>
      <c r="AK57" s="1424">
        <f>ROUND(IF(AF57=0,1,AI57/ABS(AF57)),3)</f>
        <v>1E-3</v>
      </c>
      <c r="AO57" s="2393"/>
    </row>
    <row r="58" spans="1:41" ht="15" customHeight="1">
      <c r="A58" s="2425"/>
      <c r="B58" s="2459" t="s">
        <v>929</v>
      </c>
      <c r="C58" s="2459"/>
      <c r="D58" s="3834">
        <v>1</v>
      </c>
      <c r="E58" s="2458"/>
      <c r="F58" s="1773">
        <v>0.30000000000000004</v>
      </c>
      <c r="G58" s="2458"/>
      <c r="H58" s="1773">
        <v>8.1</v>
      </c>
      <c r="I58" s="1429"/>
      <c r="J58" s="1773">
        <v>2</v>
      </c>
      <c r="K58" s="1982"/>
      <c r="L58" s="1773">
        <v>0.19999999999999929</v>
      </c>
      <c r="M58" s="1982"/>
      <c r="N58" s="1773">
        <f t="shared" si="10"/>
        <v>34.9</v>
      </c>
      <c r="O58" s="1982"/>
      <c r="P58" s="1773"/>
      <c r="Q58" s="1982"/>
      <c r="R58" s="1773"/>
      <c r="S58" s="1982"/>
      <c r="T58" s="1773"/>
      <c r="U58" s="1982"/>
      <c r="V58" s="1773"/>
      <c r="W58" s="1982"/>
      <c r="X58" s="1773"/>
      <c r="Y58" s="1982"/>
      <c r="Z58" s="1773"/>
      <c r="AA58" s="1983"/>
      <c r="AB58" s="1986"/>
      <c r="AC58" s="1789">
        <v>46.5</v>
      </c>
      <c r="AD58" s="2025"/>
      <c r="AE58" s="1986" t="s">
        <v>14</v>
      </c>
      <c r="AF58" s="1789">
        <v>60.3</v>
      </c>
      <c r="AG58" s="1991"/>
      <c r="AH58" s="2450"/>
      <c r="AI58" s="1429">
        <f>ROUND(SUM(+AC58-AF58),1)</f>
        <v>-13.8</v>
      </c>
      <c r="AJ58" s="2451"/>
      <c r="AK58" s="1424">
        <f>ROUND(IF(AF58=0,0,AI58/ABS(AF58)),3)</f>
        <v>-0.22900000000000001</v>
      </c>
      <c r="AO58" s="2393"/>
    </row>
    <row r="59" spans="1:41" ht="15" customHeight="1">
      <c r="A59" s="2425"/>
      <c r="B59" s="2459" t="s">
        <v>1050</v>
      </c>
      <c r="C59" s="2459"/>
      <c r="D59" s="3834"/>
      <c r="E59" s="2458"/>
      <c r="F59" s="1773" t="s">
        <v>14</v>
      </c>
      <c r="G59" s="2458"/>
      <c r="H59" s="1773" t="s">
        <v>14</v>
      </c>
      <c r="I59" s="1429"/>
      <c r="J59" s="1773"/>
      <c r="K59" s="1979"/>
      <c r="L59" s="1773"/>
      <c r="M59" s="1979"/>
      <c r="N59" s="1773"/>
      <c r="O59" s="1979"/>
      <c r="P59" s="1773"/>
      <c r="Q59" s="1979"/>
      <c r="R59" s="1773"/>
      <c r="S59" s="1979"/>
      <c r="T59" s="1773"/>
      <c r="U59" s="1979"/>
      <c r="V59" s="1773"/>
      <c r="W59" s="1979"/>
      <c r="X59" s="1773"/>
      <c r="Y59" s="1979"/>
      <c r="Z59" s="1773"/>
      <c r="AA59" s="1975"/>
      <c r="AB59" s="2031"/>
      <c r="AC59" s="3121"/>
      <c r="AD59" s="1961"/>
      <c r="AE59" s="1981"/>
      <c r="AF59" s="3121"/>
      <c r="AG59" s="1991"/>
      <c r="AH59" s="2450"/>
      <c r="AI59" s="1429"/>
      <c r="AJ59" s="2451"/>
      <c r="AK59" s="1418"/>
      <c r="AO59" s="2393"/>
    </row>
    <row r="60" spans="1:41" ht="15" customHeight="1">
      <c r="A60" s="2425"/>
      <c r="B60" s="2459" t="s">
        <v>933</v>
      </c>
      <c r="C60" s="2459"/>
      <c r="D60" s="3834">
        <v>0</v>
      </c>
      <c r="E60" s="2458"/>
      <c r="F60" s="1773">
        <v>0</v>
      </c>
      <c r="G60" s="2458"/>
      <c r="H60" s="1773">
        <v>0</v>
      </c>
      <c r="I60" s="1429"/>
      <c r="J60" s="1773">
        <v>0</v>
      </c>
      <c r="K60" s="1982"/>
      <c r="L60" s="1773">
        <v>0</v>
      </c>
      <c r="M60" s="1982"/>
      <c r="N60" s="1773">
        <f t="shared" si="10"/>
        <v>0</v>
      </c>
      <c r="O60" s="1982"/>
      <c r="P60" s="1773"/>
      <c r="Q60" s="1982"/>
      <c r="R60" s="1773"/>
      <c r="S60" s="1982"/>
      <c r="T60" s="1773"/>
      <c r="U60" s="1982"/>
      <c r="V60" s="1773"/>
      <c r="W60" s="1982"/>
      <c r="X60" s="1773"/>
      <c r="Y60" s="1982"/>
      <c r="Z60" s="1773"/>
      <c r="AA60" s="1983"/>
      <c r="AB60" s="1986"/>
      <c r="AC60" s="1789">
        <v>0</v>
      </c>
      <c r="AD60" s="2025"/>
      <c r="AE60" s="1986" t="s">
        <v>14</v>
      </c>
      <c r="AF60" s="1789">
        <v>0</v>
      </c>
      <c r="AG60" s="2460"/>
      <c r="AH60" s="2461"/>
      <c r="AI60" s="1429">
        <f>ROUND(SUM(+AC60-AF60),1)</f>
        <v>0</v>
      </c>
      <c r="AJ60" s="2451"/>
      <c r="AK60" s="1424">
        <f>ROUND(IF(AF60=0,0,AI60/ABS(AF60)),3)</f>
        <v>0</v>
      </c>
      <c r="AO60" s="2393"/>
    </row>
    <row r="61" spans="1:41" ht="15" customHeight="1">
      <c r="A61" s="2425"/>
      <c r="B61" s="2459" t="s">
        <v>934</v>
      </c>
      <c r="C61" s="2459"/>
      <c r="D61" s="3834">
        <v>1.8</v>
      </c>
      <c r="E61" s="2458"/>
      <c r="F61" s="1773">
        <v>3.8</v>
      </c>
      <c r="G61" s="2458"/>
      <c r="H61" s="1773">
        <v>4.2</v>
      </c>
      <c r="I61" s="1429"/>
      <c r="J61" s="1773">
        <v>0</v>
      </c>
      <c r="K61" s="1982"/>
      <c r="L61" s="1773">
        <v>6.1000000000000005</v>
      </c>
      <c r="M61" s="1982"/>
      <c r="N61" s="1773">
        <f t="shared" si="10"/>
        <v>2.6999999999999993</v>
      </c>
      <c r="O61" s="1982"/>
      <c r="P61" s="1773"/>
      <c r="Q61" s="1982"/>
      <c r="R61" s="1773"/>
      <c r="S61" s="1982"/>
      <c r="T61" s="1773"/>
      <c r="U61" s="1982"/>
      <c r="V61" s="1773"/>
      <c r="W61" s="1982"/>
      <c r="X61" s="1773"/>
      <c r="Y61" s="1982"/>
      <c r="Z61" s="1773"/>
      <c r="AA61" s="1983"/>
      <c r="AB61" s="1986"/>
      <c r="AC61" s="1789">
        <v>18.600000000000001</v>
      </c>
      <c r="AD61" s="2025"/>
      <c r="AE61" s="1986" t="s">
        <v>14</v>
      </c>
      <c r="AF61" s="1789">
        <v>12.3</v>
      </c>
      <c r="AG61" s="2460"/>
      <c r="AH61" s="2461"/>
      <c r="AI61" s="1429">
        <f>ROUND(SUM(+AC61-AF61),1)</f>
        <v>6.3</v>
      </c>
      <c r="AJ61" s="2451"/>
      <c r="AK61" s="1424">
        <f>ROUND(IF(AF61=0,1,AI61/ABS(AF61)),3)</f>
        <v>0.51200000000000001</v>
      </c>
      <c r="AO61" s="2393"/>
    </row>
    <row r="62" spans="1:41" ht="15" customHeight="1">
      <c r="A62" s="2425"/>
      <c r="B62" s="2459" t="s">
        <v>935</v>
      </c>
      <c r="C62" s="2459"/>
      <c r="D62" s="3834">
        <v>0</v>
      </c>
      <c r="E62" s="2458"/>
      <c r="F62" s="1773">
        <v>0</v>
      </c>
      <c r="G62" s="2458"/>
      <c r="H62" s="1773">
        <v>0</v>
      </c>
      <c r="I62" s="1429"/>
      <c r="J62" s="1773">
        <v>0</v>
      </c>
      <c r="K62" s="1982"/>
      <c r="L62" s="1773">
        <v>0</v>
      </c>
      <c r="M62" s="1982"/>
      <c r="N62" s="1773">
        <f t="shared" si="10"/>
        <v>0</v>
      </c>
      <c r="O62" s="1982"/>
      <c r="P62" s="1773"/>
      <c r="Q62" s="1982"/>
      <c r="R62" s="1773"/>
      <c r="S62" s="1982"/>
      <c r="T62" s="1773"/>
      <c r="U62" s="1982"/>
      <c r="V62" s="1773"/>
      <c r="W62" s="1982"/>
      <c r="X62" s="1773"/>
      <c r="Y62" s="1982"/>
      <c r="Z62" s="1773"/>
      <c r="AA62" s="1983"/>
      <c r="AB62" s="1986"/>
      <c r="AC62" s="1789">
        <v>0</v>
      </c>
      <c r="AD62" s="2025"/>
      <c r="AE62" s="1986" t="s">
        <v>14</v>
      </c>
      <c r="AF62" s="1789">
        <v>0</v>
      </c>
      <c r="AG62" s="2460"/>
      <c r="AH62" s="2461"/>
      <c r="AI62" s="1429">
        <f>ROUND(SUM(+AC62-AF62),1)</f>
        <v>0</v>
      </c>
      <c r="AJ62" s="2451"/>
      <c r="AK62" s="1424">
        <f>ROUND(IF(AF62=0,0,AI62/ABS(AF62)),3)</f>
        <v>0</v>
      </c>
      <c r="AO62" s="2393"/>
    </row>
    <row r="63" spans="1:41" ht="15.5">
      <c r="A63" s="2425"/>
      <c r="B63" s="2459" t="s">
        <v>936</v>
      </c>
      <c r="C63" s="2459"/>
      <c r="D63" s="3834">
        <v>0</v>
      </c>
      <c r="E63" s="2458"/>
      <c r="F63" s="1773">
        <v>0.1</v>
      </c>
      <c r="G63" s="2458"/>
      <c r="H63" s="1773">
        <v>0</v>
      </c>
      <c r="I63" s="1429"/>
      <c r="J63" s="1773">
        <v>0.1</v>
      </c>
      <c r="K63" s="1982"/>
      <c r="L63" s="1773">
        <v>9.9999999999999978E-2</v>
      </c>
      <c r="M63" s="1982"/>
      <c r="N63" s="1773">
        <f t="shared" si="10"/>
        <v>0</v>
      </c>
      <c r="O63" s="1982"/>
      <c r="P63" s="1773"/>
      <c r="Q63" s="1982"/>
      <c r="R63" s="1773"/>
      <c r="S63" s="1982"/>
      <c r="T63" s="1773"/>
      <c r="U63" s="1982"/>
      <c r="V63" s="1773"/>
      <c r="W63" s="1982"/>
      <c r="X63" s="1773"/>
      <c r="Y63" s="1982"/>
      <c r="Z63" s="1773"/>
      <c r="AA63" s="1983"/>
      <c r="AB63" s="1986"/>
      <c r="AC63" s="1789">
        <v>0.3</v>
      </c>
      <c r="AD63" s="2025"/>
      <c r="AE63" s="1986" t="s">
        <v>14</v>
      </c>
      <c r="AF63" s="1789">
        <v>0.1</v>
      </c>
      <c r="AG63" s="2460"/>
      <c r="AH63" s="2461"/>
      <c r="AI63" s="1429">
        <f>ROUND(SUM(+AC63-AF63),1)</f>
        <v>0.2</v>
      </c>
      <c r="AJ63" s="2451"/>
      <c r="AK63" s="1424">
        <f>ROUND(IF(AF63=0,0,AI63/ABS(AF63)),3)</f>
        <v>2</v>
      </c>
      <c r="AO63" s="2393"/>
    </row>
    <row r="64" spans="1:41" ht="15" customHeight="1">
      <c r="A64" s="2425"/>
      <c r="B64" s="2459" t="s">
        <v>1055</v>
      </c>
      <c r="C64" s="2459"/>
      <c r="D64" s="3834"/>
      <c r="E64" s="2458"/>
      <c r="F64" s="1773" t="s">
        <v>14</v>
      </c>
      <c r="G64" s="2458"/>
      <c r="H64" s="1773" t="s">
        <v>14</v>
      </c>
      <c r="I64" s="1429"/>
      <c r="J64" s="1773"/>
      <c r="K64" s="1979"/>
      <c r="L64" s="1773"/>
      <c r="M64" s="1979"/>
      <c r="N64" s="1773"/>
      <c r="O64" s="1979"/>
      <c r="P64" s="1773"/>
      <c r="Q64" s="1979"/>
      <c r="R64" s="1773"/>
      <c r="S64" s="1979"/>
      <c r="T64" s="1773"/>
      <c r="U64" s="1979"/>
      <c r="V64" s="1773"/>
      <c r="W64" s="1979"/>
      <c r="X64" s="1773"/>
      <c r="Y64" s="1979"/>
      <c r="Z64" s="1773"/>
      <c r="AA64" s="1975"/>
      <c r="AB64" s="2031"/>
      <c r="AC64" s="3121"/>
      <c r="AD64" s="1961"/>
      <c r="AE64" s="1981"/>
      <c r="AF64" s="3121"/>
      <c r="AG64" s="1991"/>
      <c r="AH64" s="2450"/>
      <c r="AI64" s="1429"/>
      <c r="AJ64" s="2451"/>
      <c r="AK64" s="1418"/>
      <c r="AO64" s="2393"/>
    </row>
    <row r="65" spans="1:41" ht="15" customHeight="1">
      <c r="A65" s="2425"/>
      <c r="B65" s="2459" t="s">
        <v>937</v>
      </c>
      <c r="C65" s="2459"/>
      <c r="D65" s="3834">
        <v>5.3</v>
      </c>
      <c r="E65" s="2458"/>
      <c r="F65" s="1773">
        <v>5.5000000000000009</v>
      </c>
      <c r="G65" s="2458"/>
      <c r="H65" s="1773">
        <v>6.9999999999999991</v>
      </c>
      <c r="I65" s="1429"/>
      <c r="J65" s="1773">
        <v>6.2</v>
      </c>
      <c r="K65" s="1982"/>
      <c r="L65" s="1773">
        <v>6.2</v>
      </c>
      <c r="M65" s="1982"/>
      <c r="N65" s="1773">
        <f t="shared" si="10"/>
        <v>5.0000000000000044</v>
      </c>
      <c r="O65" s="1982"/>
      <c r="P65" s="1773"/>
      <c r="Q65" s="1982"/>
      <c r="R65" s="1773"/>
      <c r="S65" s="1982"/>
      <c r="T65" s="1773"/>
      <c r="U65" s="1982"/>
      <c r="V65" s="1773"/>
      <c r="W65" s="1982"/>
      <c r="X65" s="1773"/>
      <c r="Y65" s="1982"/>
      <c r="Z65" s="1773"/>
      <c r="AA65" s="1983"/>
      <c r="AB65" s="1986"/>
      <c r="AC65" s="1789">
        <v>35.200000000000003</v>
      </c>
      <c r="AD65" s="2025"/>
      <c r="AE65" s="1986" t="s">
        <v>14</v>
      </c>
      <c r="AF65" s="1789">
        <v>23.1</v>
      </c>
      <c r="AG65" s="1991"/>
      <c r="AH65" s="2450"/>
      <c r="AI65" s="1429">
        <f t="shared" ref="AI65:AI72" si="11">ROUND(SUM(+AC65-AF65),1)</f>
        <v>12.1</v>
      </c>
      <c r="AJ65" s="2451"/>
      <c r="AK65" s="1424">
        <f>ROUND(IF(AF65=0,0,AI65/ABS(AF65)),3)</f>
        <v>0.52400000000000002</v>
      </c>
      <c r="AO65" s="2393"/>
    </row>
    <row r="66" spans="1:41" ht="15" customHeight="1">
      <c r="A66" s="2425"/>
      <c r="B66" s="2459" t="s">
        <v>1147</v>
      </c>
      <c r="C66" s="2459"/>
      <c r="D66" s="3834">
        <v>0</v>
      </c>
      <c r="E66" s="2458"/>
      <c r="F66" s="1773">
        <v>0</v>
      </c>
      <c r="G66" s="2458"/>
      <c r="H66" s="1773">
        <v>0</v>
      </c>
      <c r="I66" s="1429"/>
      <c r="J66" s="1773">
        <v>0</v>
      </c>
      <c r="K66" s="1982"/>
      <c r="L66" s="1773">
        <v>0</v>
      </c>
      <c r="M66" s="1982"/>
      <c r="N66" s="1773">
        <f t="shared" si="10"/>
        <v>0</v>
      </c>
      <c r="O66" s="1982"/>
      <c r="P66" s="1773"/>
      <c r="Q66" s="1982"/>
      <c r="R66" s="1773"/>
      <c r="S66" s="1982"/>
      <c r="T66" s="1773"/>
      <c r="U66" s="1982"/>
      <c r="V66" s="1773"/>
      <c r="W66" s="1982"/>
      <c r="X66" s="1773"/>
      <c r="Y66" s="1982"/>
      <c r="Z66" s="1773"/>
      <c r="AA66" s="1983"/>
      <c r="AB66" s="2032"/>
      <c r="AC66" s="1789">
        <v>0</v>
      </c>
      <c r="AD66" s="2025"/>
      <c r="AE66" s="2032" t="s">
        <v>14</v>
      </c>
      <c r="AF66" s="1789">
        <v>0</v>
      </c>
      <c r="AG66" s="1991"/>
      <c r="AH66" s="2450"/>
      <c r="AI66" s="1429">
        <f>ROUND(SUM(+AC66-AF66),1)</f>
        <v>0</v>
      </c>
      <c r="AJ66" s="2451"/>
      <c r="AK66" s="1424">
        <f>ROUND(IF(AF66=0,0,AI66/ABS(AF66)),3)</f>
        <v>0</v>
      </c>
      <c r="AO66" s="2393"/>
    </row>
    <row r="67" spans="1:41" ht="15" customHeight="1">
      <c r="A67" s="2425"/>
      <c r="B67" s="2459" t="s">
        <v>938</v>
      </c>
      <c r="C67" s="2459"/>
      <c r="D67" s="3834">
        <v>14</v>
      </c>
      <c r="E67" s="2458"/>
      <c r="F67" s="1773">
        <v>20.700000000000003</v>
      </c>
      <c r="G67" s="2458"/>
      <c r="H67" s="1773">
        <v>33.899999999999991</v>
      </c>
      <c r="I67" s="1429"/>
      <c r="J67" s="1773">
        <v>12.200000000000017</v>
      </c>
      <c r="K67" s="1982"/>
      <c r="L67" s="1773">
        <v>4.3999999999999915</v>
      </c>
      <c r="M67" s="1982"/>
      <c r="N67" s="1773">
        <f t="shared" si="10"/>
        <v>28.599999999999994</v>
      </c>
      <c r="O67" s="1982"/>
      <c r="P67" s="1773"/>
      <c r="Q67" s="1982"/>
      <c r="R67" s="1773"/>
      <c r="S67" s="1982"/>
      <c r="T67" s="1773"/>
      <c r="U67" s="1982"/>
      <c r="V67" s="1773"/>
      <c r="W67" s="1982"/>
      <c r="X67" s="1773"/>
      <c r="Y67" s="1982"/>
      <c r="Z67" s="1773"/>
      <c r="AA67" s="1983"/>
      <c r="AB67" s="1986"/>
      <c r="AC67" s="1789">
        <v>113.8</v>
      </c>
      <c r="AD67" s="2025"/>
      <c r="AE67" s="1986" t="s">
        <v>14</v>
      </c>
      <c r="AF67" s="1789">
        <v>100.2</v>
      </c>
      <c r="AG67" s="2460"/>
      <c r="AH67" s="2461"/>
      <c r="AI67" s="1429">
        <f t="shared" si="11"/>
        <v>13.6</v>
      </c>
      <c r="AJ67" s="2451"/>
      <c r="AK67" s="1424">
        <f>ROUND(IF(AF67=0,0,AI67/ABS(AF67)),3)</f>
        <v>0.13600000000000001</v>
      </c>
      <c r="AO67" s="2393"/>
    </row>
    <row r="68" spans="1:41" ht="15" customHeight="1">
      <c r="A68" s="2425"/>
      <c r="B68" s="2459" t="s">
        <v>939</v>
      </c>
      <c r="C68" s="2459"/>
      <c r="D68" s="3834">
        <v>20.8</v>
      </c>
      <c r="E68" s="2458"/>
      <c r="F68" s="1773">
        <v>22.8</v>
      </c>
      <c r="G68" s="2458"/>
      <c r="H68" s="1773">
        <v>13.900000000000002</v>
      </c>
      <c r="I68" s="1429"/>
      <c r="J68" s="1773">
        <v>15.900000000000006</v>
      </c>
      <c r="K68" s="1982"/>
      <c r="L68" s="1773">
        <v>19.500000000000004</v>
      </c>
      <c r="M68" s="1982"/>
      <c r="N68" s="1773">
        <f t="shared" si="10"/>
        <v>17.699999999999992</v>
      </c>
      <c r="O68" s="1982"/>
      <c r="P68" s="1773"/>
      <c r="Q68" s="1982"/>
      <c r="R68" s="1773"/>
      <c r="S68" s="1982"/>
      <c r="T68" s="1773"/>
      <c r="U68" s="1982"/>
      <c r="V68" s="1773"/>
      <c r="W68" s="1982"/>
      <c r="X68" s="1773"/>
      <c r="Y68" s="1982"/>
      <c r="Z68" s="1773"/>
      <c r="AA68" s="1983"/>
      <c r="AB68" s="1986"/>
      <c r="AC68" s="1789">
        <v>110.6</v>
      </c>
      <c r="AD68" s="2025"/>
      <c r="AE68" s="1986" t="s">
        <v>14</v>
      </c>
      <c r="AF68" s="1789">
        <v>74.8</v>
      </c>
      <c r="AG68" s="2460"/>
      <c r="AH68" s="2461"/>
      <c r="AI68" s="1429">
        <f t="shared" si="11"/>
        <v>35.799999999999997</v>
      </c>
      <c r="AJ68" s="2451"/>
      <c r="AK68" s="1465">
        <f>ROUND(IF(AF68=0,0,AI68/ABS(AF68)),3)</f>
        <v>0.47899999999999998</v>
      </c>
      <c r="AO68" s="2393"/>
    </row>
    <row r="69" spans="1:41" ht="15" customHeight="1">
      <c r="A69" s="2425"/>
      <c r="B69" s="2459" t="s">
        <v>940</v>
      </c>
      <c r="C69" s="2459"/>
      <c r="D69" s="3834">
        <v>0.1</v>
      </c>
      <c r="E69" s="2458"/>
      <c r="F69" s="1773">
        <v>0.1</v>
      </c>
      <c r="G69" s="2458"/>
      <c r="H69" s="1773">
        <v>9.9999999999999978E-2</v>
      </c>
      <c r="I69" s="1429"/>
      <c r="J69" s="1773">
        <v>0.10000000000000006</v>
      </c>
      <c r="K69" s="1982"/>
      <c r="L69" s="1773">
        <v>0.1</v>
      </c>
      <c r="M69" s="1982"/>
      <c r="N69" s="1773">
        <f t="shared" si="10"/>
        <v>0.19999999999999996</v>
      </c>
      <c r="O69" s="1982"/>
      <c r="P69" s="1773"/>
      <c r="Q69" s="1982"/>
      <c r="R69" s="1773"/>
      <c r="S69" s="1982"/>
      <c r="T69" s="1773"/>
      <c r="U69" s="1982"/>
      <c r="V69" s="1773"/>
      <c r="W69" s="1982"/>
      <c r="X69" s="1773"/>
      <c r="Y69" s="1982"/>
      <c r="Z69" s="1773"/>
      <c r="AA69" s="1983"/>
      <c r="AB69" s="1986"/>
      <c r="AC69" s="1789">
        <v>0.7</v>
      </c>
      <c r="AD69" s="2025"/>
      <c r="AE69" s="1986" t="s">
        <v>14</v>
      </c>
      <c r="AF69" s="1789">
        <v>0.6</v>
      </c>
      <c r="AG69" s="2460"/>
      <c r="AH69" s="2461"/>
      <c r="AI69" s="1429">
        <f t="shared" si="11"/>
        <v>0.1</v>
      </c>
      <c r="AJ69" s="2451"/>
      <c r="AK69" s="1424">
        <f>ROUND(IF(AF69=0,0,AI69/ABS(AF69)),3)</f>
        <v>0.16700000000000001</v>
      </c>
      <c r="AO69" s="2393"/>
    </row>
    <row r="70" spans="1:41" ht="15" customHeight="1">
      <c r="A70" s="2425"/>
      <c r="B70" s="2459" t="s">
        <v>941</v>
      </c>
      <c r="C70" s="2459"/>
      <c r="D70" s="3834">
        <v>20.2</v>
      </c>
      <c r="E70" s="2458"/>
      <c r="F70" s="1773">
        <v>15.599999999999998</v>
      </c>
      <c r="G70" s="2458"/>
      <c r="H70" s="1773">
        <v>54.900000000000006</v>
      </c>
      <c r="I70" s="1429"/>
      <c r="J70" s="1773">
        <v>20.700000000000003</v>
      </c>
      <c r="K70" s="1982"/>
      <c r="L70" s="1773">
        <v>32</v>
      </c>
      <c r="M70" s="1982"/>
      <c r="N70" s="1773">
        <f t="shared" si="10"/>
        <v>29.700000000000003</v>
      </c>
      <c r="O70" s="1982"/>
      <c r="P70" s="1773"/>
      <c r="Q70" s="1982"/>
      <c r="R70" s="1773"/>
      <c r="S70" s="1982"/>
      <c r="T70" s="1773"/>
      <c r="U70" s="1982"/>
      <c r="V70" s="1773"/>
      <c r="W70" s="1982"/>
      <c r="X70" s="1773"/>
      <c r="Y70" s="1982"/>
      <c r="Z70" s="1773"/>
      <c r="AA70" s="1983"/>
      <c r="AB70" s="1986"/>
      <c r="AC70" s="1789">
        <v>173.1</v>
      </c>
      <c r="AD70" s="2025"/>
      <c r="AE70" s="1986" t="s">
        <v>14</v>
      </c>
      <c r="AF70" s="1789">
        <v>143.9</v>
      </c>
      <c r="AG70" s="2460"/>
      <c r="AH70" s="2461"/>
      <c r="AI70" s="1429">
        <f t="shared" si="11"/>
        <v>29.2</v>
      </c>
      <c r="AJ70" s="2451"/>
      <c r="AK70" s="1465">
        <f>ROUND(IF(AF70=0,1,AI70/ABS(AF70)),3)</f>
        <v>0.20300000000000001</v>
      </c>
      <c r="AO70" s="2393"/>
    </row>
    <row r="71" spans="1:41" ht="15" customHeight="1">
      <c r="A71" s="2425"/>
      <c r="B71" s="2459" t="s">
        <v>942</v>
      </c>
      <c r="C71" s="2459"/>
      <c r="D71" s="3834">
        <v>1.2</v>
      </c>
      <c r="E71" s="2458"/>
      <c r="F71" s="1773">
        <v>0.8</v>
      </c>
      <c r="G71" s="2458"/>
      <c r="H71" s="1773">
        <v>3</v>
      </c>
      <c r="I71" s="1429"/>
      <c r="J71" s="1773">
        <v>1.4000000000000004</v>
      </c>
      <c r="K71" s="1982"/>
      <c r="L71" s="1773">
        <v>2.6999999999999993</v>
      </c>
      <c r="M71" s="1982"/>
      <c r="N71" s="1773">
        <f t="shared" si="10"/>
        <v>2</v>
      </c>
      <c r="O71" s="1982"/>
      <c r="P71" s="1773"/>
      <c r="Q71" s="1982"/>
      <c r="R71" s="1773"/>
      <c r="S71" s="1982"/>
      <c r="T71" s="1773"/>
      <c r="U71" s="1982"/>
      <c r="V71" s="1773"/>
      <c r="W71" s="1982"/>
      <c r="X71" s="1773"/>
      <c r="Y71" s="1982"/>
      <c r="Z71" s="1773"/>
      <c r="AA71" s="1983"/>
      <c r="AB71" s="1986"/>
      <c r="AC71" s="1789">
        <v>11.1</v>
      </c>
      <c r="AD71" s="2025"/>
      <c r="AE71" s="1986" t="s">
        <v>14</v>
      </c>
      <c r="AF71" s="1789">
        <v>3.5</v>
      </c>
      <c r="AG71" s="2460"/>
      <c r="AH71" s="2461"/>
      <c r="AI71" s="1429">
        <f t="shared" si="11"/>
        <v>7.6</v>
      </c>
      <c r="AJ71" s="2451"/>
      <c r="AK71" s="1465">
        <f>ROUND(IF(AF71=0,1,AI71/ABS(AF71)),3)</f>
        <v>2.1709999999999998</v>
      </c>
      <c r="AO71" s="2393"/>
    </row>
    <row r="72" spans="1:41" ht="15" customHeight="1">
      <c r="A72" s="2425"/>
      <c r="B72" s="2459" t="s">
        <v>931</v>
      </c>
      <c r="C72" s="2459"/>
      <c r="D72" s="3834">
        <v>41.4</v>
      </c>
      <c r="E72" s="2458"/>
      <c r="F72" s="1773">
        <v>32.699999999999996</v>
      </c>
      <c r="G72" s="2458"/>
      <c r="H72" s="1773">
        <v>37.20000000000001</v>
      </c>
      <c r="I72" s="1429"/>
      <c r="J72" s="1773">
        <v>3.7999999999999829</v>
      </c>
      <c r="K72" s="1982"/>
      <c r="L72" s="1773">
        <v>12</v>
      </c>
      <c r="M72" s="1982"/>
      <c r="N72" s="1773">
        <f t="shared" si="10"/>
        <v>20.100000000000001</v>
      </c>
      <c r="O72" s="1982"/>
      <c r="P72" s="1773"/>
      <c r="Q72" s="1982"/>
      <c r="R72" s="1773"/>
      <c r="S72" s="1982"/>
      <c r="T72" s="1773"/>
      <c r="U72" s="1982"/>
      <c r="V72" s="1773"/>
      <c r="W72" s="1982"/>
      <c r="X72" s="1773"/>
      <c r="Y72" s="1982"/>
      <c r="Z72" s="1773"/>
      <c r="AA72" s="1983"/>
      <c r="AB72" s="1986"/>
      <c r="AC72" s="1789">
        <v>147.19999999999999</v>
      </c>
      <c r="AD72" s="2025"/>
      <c r="AE72" s="1986" t="s">
        <v>14</v>
      </c>
      <c r="AF72" s="1789">
        <v>527.20000000000005</v>
      </c>
      <c r="AG72" s="2460"/>
      <c r="AH72" s="2461"/>
      <c r="AI72" s="1429">
        <f t="shared" si="11"/>
        <v>-380</v>
      </c>
      <c r="AJ72" s="2451"/>
      <c r="AK72" s="1465">
        <f>ROUND(IF(AF72=0,0,AI72/ABS(AF72)),3)</f>
        <v>-0.72099999999999997</v>
      </c>
      <c r="AO72" s="2393"/>
    </row>
    <row r="73" spans="1:41" ht="15" customHeight="1">
      <c r="A73" s="2425"/>
      <c r="B73" s="2459" t="s">
        <v>932</v>
      </c>
      <c r="C73" s="2459"/>
      <c r="D73" s="3834">
        <v>1.5</v>
      </c>
      <c r="E73" s="2458"/>
      <c r="F73" s="1773">
        <v>0.60000000000000009</v>
      </c>
      <c r="G73" s="2458"/>
      <c r="H73" s="1773">
        <v>0.5</v>
      </c>
      <c r="I73" s="1429"/>
      <c r="J73" s="1773">
        <v>0.5</v>
      </c>
      <c r="K73" s="1982"/>
      <c r="L73" s="1773">
        <v>0.5</v>
      </c>
      <c r="M73" s="1982"/>
      <c r="N73" s="1773">
        <f t="shared" si="10"/>
        <v>0.60000000000000009</v>
      </c>
      <c r="O73" s="1982"/>
      <c r="P73" s="1773"/>
      <c r="Q73" s="1982"/>
      <c r="R73" s="1773"/>
      <c r="S73" s="1982"/>
      <c r="T73" s="1773"/>
      <c r="U73" s="1982"/>
      <c r="V73" s="1773"/>
      <c r="W73" s="1982"/>
      <c r="X73" s="1773"/>
      <c r="Y73" s="1982"/>
      <c r="Z73" s="1773"/>
      <c r="AA73" s="1983"/>
      <c r="AB73" s="1986"/>
      <c r="AC73" s="1789">
        <v>4.2</v>
      </c>
      <c r="AD73" s="2025"/>
      <c r="AE73" s="1986" t="s">
        <v>14</v>
      </c>
      <c r="AF73" s="1789">
        <v>27.3</v>
      </c>
      <c r="AG73" s="1991"/>
      <c r="AH73" s="2450"/>
      <c r="AI73" s="1429">
        <f>ROUND(SUM(+AC73-AF73),1)</f>
        <v>-23.1</v>
      </c>
      <c r="AJ73" s="2451"/>
      <c r="AK73" s="1465">
        <f>ROUND(IF(AF73=0,1,AI73/ABS(AF73)),3)</f>
        <v>-0.84599999999999997</v>
      </c>
      <c r="AO73" s="2393"/>
    </row>
    <row r="74" spans="1:41" ht="15" customHeight="1">
      <c r="A74" s="2425"/>
      <c r="B74" s="2459" t="s">
        <v>950</v>
      </c>
      <c r="C74" s="2459"/>
      <c r="D74" s="3834">
        <v>0</v>
      </c>
      <c r="E74" s="2458"/>
      <c r="F74" s="1773">
        <v>0</v>
      </c>
      <c r="G74" s="2458"/>
      <c r="H74" s="1773">
        <v>0</v>
      </c>
      <c r="I74" s="1429"/>
      <c r="J74" s="1773">
        <v>0</v>
      </c>
      <c r="K74" s="1982"/>
      <c r="L74" s="1773">
        <v>0</v>
      </c>
      <c r="M74" s="1982"/>
      <c r="N74" s="1773">
        <f t="shared" si="10"/>
        <v>0.1</v>
      </c>
      <c r="O74" s="1982"/>
      <c r="P74" s="1773"/>
      <c r="Q74" s="1982"/>
      <c r="R74" s="1773"/>
      <c r="S74" s="1982"/>
      <c r="T74" s="1773"/>
      <c r="U74" s="1982"/>
      <c r="V74" s="1773"/>
      <c r="W74" s="1982"/>
      <c r="X74" s="1773"/>
      <c r="Y74" s="1982"/>
      <c r="Z74" s="1773"/>
      <c r="AA74" s="1983"/>
      <c r="AB74" s="1986"/>
      <c r="AC74" s="1789">
        <v>0.1</v>
      </c>
      <c r="AD74" s="2025"/>
      <c r="AE74" s="1986" t="s">
        <v>14</v>
      </c>
      <c r="AF74" s="1789">
        <v>0.1</v>
      </c>
      <c r="AG74" s="2460"/>
      <c r="AH74" s="2461"/>
      <c r="AI74" s="1429">
        <f>ROUND(SUM(+AC74-AF74),1)</f>
        <v>0</v>
      </c>
      <c r="AJ74" s="2451"/>
      <c r="AK74" s="1424">
        <f>ROUND(IF(AF74=0,0,AI74/ABS(AF74)),3)</f>
        <v>0</v>
      </c>
      <c r="AO74" s="2393"/>
    </row>
    <row r="75" spans="1:41" ht="15" customHeight="1">
      <c r="A75" s="2425"/>
      <c r="B75" s="2459" t="s">
        <v>1053</v>
      </c>
      <c r="C75" s="2459"/>
      <c r="D75" s="3834"/>
      <c r="E75" s="2458"/>
      <c r="F75" s="1773" t="s">
        <v>14</v>
      </c>
      <c r="G75" s="2458"/>
      <c r="H75" s="1773" t="s">
        <v>14</v>
      </c>
      <c r="I75" s="1429"/>
      <c r="J75" s="1773"/>
      <c r="K75" s="1979"/>
      <c r="L75" s="1773"/>
      <c r="M75" s="1979"/>
      <c r="N75" s="1773"/>
      <c r="O75" s="1979"/>
      <c r="P75" s="1773"/>
      <c r="Q75" s="1979"/>
      <c r="R75" s="1773"/>
      <c r="S75" s="1979"/>
      <c r="T75" s="1773"/>
      <c r="U75" s="1979"/>
      <c r="V75" s="1773"/>
      <c r="W75" s="1979"/>
      <c r="X75" s="1773"/>
      <c r="Y75" s="1979"/>
      <c r="Z75" s="1773"/>
      <c r="AA75" s="1975"/>
      <c r="AB75" s="2031"/>
      <c r="AC75" s="3121"/>
      <c r="AD75" s="1961"/>
      <c r="AE75" s="1981"/>
      <c r="AF75" s="3121"/>
      <c r="AG75" s="1991"/>
      <c r="AH75" s="2450"/>
      <c r="AI75" s="1429"/>
      <c r="AJ75" s="2451"/>
      <c r="AK75" s="1418"/>
      <c r="AO75" s="2393"/>
    </row>
    <row r="76" spans="1:41" ht="15" customHeight="1">
      <c r="A76" s="2425"/>
      <c r="B76" s="2459" t="s">
        <v>946</v>
      </c>
      <c r="C76" s="2459"/>
      <c r="D76" s="3834">
        <v>0</v>
      </c>
      <c r="E76" s="2458"/>
      <c r="F76" s="1773">
        <v>0</v>
      </c>
      <c r="G76" s="2458"/>
      <c r="H76" s="1773">
        <v>0</v>
      </c>
      <c r="I76" s="1429"/>
      <c r="J76" s="1773">
        <v>0</v>
      </c>
      <c r="K76" s="1979"/>
      <c r="L76" s="1773">
        <v>0</v>
      </c>
      <c r="M76" s="1979"/>
      <c r="N76" s="1773">
        <f t="shared" si="10"/>
        <v>0</v>
      </c>
      <c r="O76" s="1979"/>
      <c r="P76" s="1773"/>
      <c r="Q76" s="1979"/>
      <c r="R76" s="1773"/>
      <c r="S76" s="1979"/>
      <c r="T76" s="1773"/>
      <c r="U76" s="1979"/>
      <c r="V76" s="1773"/>
      <c r="W76" s="1979"/>
      <c r="X76" s="1773"/>
      <c r="Y76" s="1979"/>
      <c r="Z76" s="1773"/>
      <c r="AA76" s="1975"/>
      <c r="AB76" s="3646"/>
      <c r="AC76" s="1789">
        <v>0</v>
      </c>
      <c r="AD76" s="1961"/>
      <c r="AE76" s="3137"/>
      <c r="AF76" s="1789">
        <v>4500</v>
      </c>
      <c r="AG76" s="1991"/>
      <c r="AH76" s="2450"/>
      <c r="AI76" s="1429">
        <f t="shared" ref="AI76:AI80" si="12">ROUND(SUM(+AC76-AF76),1)</f>
        <v>-4500</v>
      </c>
      <c r="AJ76" s="2451"/>
      <c r="AK76" s="1424">
        <f>ROUND(IF(AF76=0,0,AI76/ABS(AF76)),3)</f>
        <v>-1</v>
      </c>
      <c r="AO76" s="2393"/>
    </row>
    <row r="77" spans="1:41" ht="15" customHeight="1">
      <c r="A77" s="2425"/>
      <c r="B77" s="2459" t="s">
        <v>947</v>
      </c>
      <c r="C77" s="2459"/>
      <c r="D77" s="3834">
        <v>0</v>
      </c>
      <c r="E77" s="2458"/>
      <c r="F77" s="1773">
        <v>0</v>
      </c>
      <c r="G77" s="2458"/>
      <c r="H77" s="1773">
        <v>0</v>
      </c>
      <c r="I77" s="1429"/>
      <c r="J77" s="1773">
        <v>0</v>
      </c>
      <c r="K77" s="1982"/>
      <c r="L77" s="1773">
        <v>0</v>
      </c>
      <c r="M77" s="1982"/>
      <c r="N77" s="1773">
        <f t="shared" si="10"/>
        <v>0</v>
      </c>
      <c r="O77" s="1982"/>
      <c r="P77" s="1773"/>
      <c r="Q77" s="1982"/>
      <c r="R77" s="1773"/>
      <c r="S77" s="1982"/>
      <c r="T77" s="1773"/>
      <c r="U77" s="1982"/>
      <c r="V77" s="1773"/>
      <c r="W77" s="1982"/>
      <c r="X77" s="1773"/>
      <c r="Y77" s="1982"/>
      <c r="Z77" s="1773"/>
      <c r="AA77" s="1983"/>
      <c r="AB77" s="1986"/>
      <c r="AC77" s="1789">
        <v>0</v>
      </c>
      <c r="AD77" s="2025"/>
      <c r="AE77" s="1986" t="s">
        <v>14</v>
      </c>
      <c r="AF77" s="1789">
        <v>0</v>
      </c>
      <c r="AG77" s="2460"/>
      <c r="AH77" s="2461"/>
      <c r="AI77" s="1429">
        <f t="shared" si="12"/>
        <v>0</v>
      </c>
      <c r="AJ77" s="2451"/>
      <c r="AK77" s="1424">
        <f>ROUND(IF(AF77=0,0,AI77/ABS(AF77)),3)</f>
        <v>0</v>
      </c>
      <c r="AO77" s="2393"/>
    </row>
    <row r="78" spans="1:41" ht="15" customHeight="1">
      <c r="A78" s="2425"/>
      <c r="B78" s="2459" t="s">
        <v>948</v>
      </c>
      <c r="C78" s="2459"/>
      <c r="D78" s="3834">
        <v>0</v>
      </c>
      <c r="E78" s="2458"/>
      <c r="F78" s="1773">
        <v>0</v>
      </c>
      <c r="G78" s="2458"/>
      <c r="H78" s="1773">
        <v>0</v>
      </c>
      <c r="I78" s="1429"/>
      <c r="J78" s="1773">
        <v>21.5</v>
      </c>
      <c r="K78" s="1982"/>
      <c r="L78" s="1773">
        <v>0.60000000000000142</v>
      </c>
      <c r="M78" s="1982"/>
      <c r="N78" s="1773">
        <f t="shared" si="10"/>
        <v>0</v>
      </c>
      <c r="O78" s="1982"/>
      <c r="P78" s="1773"/>
      <c r="Q78" s="1982"/>
      <c r="R78" s="1773"/>
      <c r="S78" s="1982"/>
      <c r="T78" s="1773"/>
      <c r="U78" s="1982"/>
      <c r="V78" s="1773"/>
      <c r="W78" s="1982"/>
      <c r="X78" s="1773"/>
      <c r="Y78" s="1982"/>
      <c r="Z78" s="1773"/>
      <c r="AA78" s="1983"/>
      <c r="AB78" s="1986"/>
      <c r="AC78" s="1789">
        <v>22.1</v>
      </c>
      <c r="AD78" s="2025"/>
      <c r="AE78" s="1986" t="s">
        <v>14</v>
      </c>
      <c r="AF78" s="1789">
        <v>46.7</v>
      </c>
      <c r="AG78" s="2460"/>
      <c r="AH78" s="2461"/>
      <c r="AI78" s="1429">
        <f t="shared" si="12"/>
        <v>-24.6</v>
      </c>
      <c r="AJ78" s="2451"/>
      <c r="AK78" s="1424">
        <f>ROUND(IF(AF78=0,0,AI78/ABS(AF78)),3)</f>
        <v>-0.52700000000000002</v>
      </c>
      <c r="AO78" s="2393"/>
    </row>
    <row r="79" spans="1:41" ht="15" customHeight="1">
      <c r="A79" s="2425"/>
      <c r="B79" s="2459" t="s">
        <v>949</v>
      </c>
      <c r="C79" s="2459"/>
      <c r="D79" s="3834">
        <v>0</v>
      </c>
      <c r="E79" s="2458"/>
      <c r="F79" s="1773">
        <v>0</v>
      </c>
      <c r="G79" s="2458"/>
      <c r="H79" s="1773">
        <v>0</v>
      </c>
      <c r="I79" s="1429"/>
      <c r="J79" s="1773">
        <v>0</v>
      </c>
      <c r="K79" s="1982"/>
      <c r="L79" s="1773">
        <v>0</v>
      </c>
      <c r="M79" s="1982"/>
      <c r="N79" s="1773">
        <f t="shared" si="10"/>
        <v>0</v>
      </c>
      <c r="O79" s="1982"/>
      <c r="P79" s="1773"/>
      <c r="Q79" s="1982"/>
      <c r="R79" s="1773"/>
      <c r="S79" s="1982"/>
      <c r="T79" s="1773"/>
      <c r="U79" s="1982"/>
      <c r="V79" s="1773"/>
      <c r="W79" s="1982"/>
      <c r="X79" s="1773"/>
      <c r="Y79" s="1982"/>
      <c r="Z79" s="1773"/>
      <c r="AA79" s="1983"/>
      <c r="AB79" s="1986"/>
      <c r="AC79" s="1789">
        <v>0</v>
      </c>
      <c r="AD79" s="2025"/>
      <c r="AE79" s="1986" t="s">
        <v>14</v>
      </c>
      <c r="AF79" s="1789">
        <v>0</v>
      </c>
      <c r="AG79" s="2460"/>
      <c r="AH79" s="2461"/>
      <c r="AI79" s="1429">
        <f t="shared" si="12"/>
        <v>0</v>
      </c>
      <c r="AJ79" s="2451"/>
      <c r="AK79" s="1424">
        <f>ROUND(IF(AF79=0,0,AI79/ABS(AF79)),3)</f>
        <v>0</v>
      </c>
      <c r="AO79" s="2393"/>
    </row>
    <row r="80" spans="1:41" ht="15" customHeight="1">
      <c r="A80" s="2425"/>
      <c r="B80" s="2459" t="s">
        <v>951</v>
      </c>
      <c r="C80" s="2459"/>
      <c r="D80" s="3834">
        <v>0.2</v>
      </c>
      <c r="E80" s="2458"/>
      <c r="F80" s="1773">
        <v>9.9999999999999978E-2</v>
      </c>
      <c r="G80" s="2458"/>
      <c r="H80" s="1773">
        <v>0.10000000000000003</v>
      </c>
      <c r="I80" s="1429"/>
      <c r="J80" s="1773">
        <v>9.9999999999999978E-2</v>
      </c>
      <c r="K80" s="1982"/>
      <c r="L80" s="1773">
        <v>9.9999999999999978E-2</v>
      </c>
      <c r="M80" s="1982"/>
      <c r="N80" s="1773">
        <f t="shared" si="10"/>
        <v>9.9999999999999978E-2</v>
      </c>
      <c r="O80" s="1982"/>
      <c r="P80" s="1773"/>
      <c r="Q80" s="1982"/>
      <c r="R80" s="1773"/>
      <c r="S80" s="1982"/>
      <c r="T80" s="1773"/>
      <c r="U80" s="1982"/>
      <c r="V80" s="1773"/>
      <c r="W80" s="1982"/>
      <c r="X80" s="1773"/>
      <c r="Y80" s="1982"/>
      <c r="Z80" s="1773"/>
      <c r="AA80" s="1983"/>
      <c r="AB80" s="1986"/>
      <c r="AC80" s="1789">
        <v>0.7</v>
      </c>
      <c r="AD80" s="2025"/>
      <c r="AE80" s="1986" t="s">
        <v>14</v>
      </c>
      <c r="AF80" s="1789">
        <v>0.8</v>
      </c>
      <c r="AG80" s="2460"/>
      <c r="AH80" s="2461"/>
      <c r="AI80" s="1429">
        <f t="shared" si="12"/>
        <v>-0.1</v>
      </c>
      <c r="AJ80" s="2451"/>
      <c r="AK80" s="1465">
        <f>ROUND(IF(AF80=0,1,AI80/ABS(AF80)),3)</f>
        <v>-0.125</v>
      </c>
      <c r="AO80" s="2393"/>
    </row>
    <row r="81" spans="1:41" ht="15" customHeight="1">
      <c r="A81" s="2425"/>
      <c r="B81" s="2459" t="s">
        <v>1054</v>
      </c>
      <c r="C81" s="2459"/>
      <c r="D81" s="3834"/>
      <c r="E81" s="2458"/>
      <c r="F81" s="1773" t="s">
        <v>14</v>
      </c>
      <c r="G81" s="2458"/>
      <c r="H81" s="1773" t="s">
        <v>14</v>
      </c>
      <c r="I81" s="1429"/>
      <c r="J81" s="1773"/>
      <c r="K81" s="1979"/>
      <c r="L81" s="1773"/>
      <c r="M81" s="1979"/>
      <c r="N81" s="1773"/>
      <c r="O81" s="1979"/>
      <c r="P81" s="1773"/>
      <c r="Q81" s="1979"/>
      <c r="R81" s="1773"/>
      <c r="S81" s="1979"/>
      <c r="T81" s="1773"/>
      <c r="U81" s="1979"/>
      <c r="V81" s="1773"/>
      <c r="W81" s="1979"/>
      <c r="X81" s="1773"/>
      <c r="Y81" s="1979"/>
      <c r="Z81" s="1773"/>
      <c r="AA81" s="1975"/>
      <c r="AB81" s="2031"/>
      <c r="AC81" s="3121"/>
      <c r="AD81" s="1961"/>
      <c r="AE81" s="1986" t="s">
        <v>14</v>
      </c>
      <c r="AF81" s="3121"/>
      <c r="AG81" s="1991"/>
      <c r="AH81" s="2450"/>
      <c r="AI81" s="1429"/>
      <c r="AJ81" s="2451"/>
      <c r="AK81" s="1418"/>
      <c r="AO81" s="2393"/>
    </row>
    <row r="82" spans="1:41" ht="15" customHeight="1">
      <c r="A82" s="2425"/>
      <c r="B82" s="2459" t="s">
        <v>952</v>
      </c>
      <c r="C82" s="2459"/>
      <c r="D82" s="3834">
        <v>0.79999999999999993</v>
      </c>
      <c r="E82" s="2458"/>
      <c r="F82" s="1773">
        <v>0.30000000000000016</v>
      </c>
      <c r="G82" s="2458"/>
      <c r="H82" s="1773">
        <v>15.2</v>
      </c>
      <c r="I82" s="1429"/>
      <c r="J82" s="1773">
        <v>0.19999999999999929</v>
      </c>
      <c r="K82" s="1982"/>
      <c r="L82" s="1773">
        <v>0.5</v>
      </c>
      <c r="M82" s="1982"/>
      <c r="N82" s="1773">
        <f t="shared" si="10"/>
        <v>15.200000000000003</v>
      </c>
      <c r="O82" s="1982"/>
      <c r="P82" s="1773"/>
      <c r="Q82" s="1982"/>
      <c r="R82" s="1773"/>
      <c r="S82" s="1982"/>
      <c r="T82" s="1773"/>
      <c r="U82" s="1982"/>
      <c r="V82" s="1773"/>
      <c r="W82" s="1982"/>
      <c r="X82" s="1773"/>
      <c r="Y82" s="1982"/>
      <c r="Z82" s="1773"/>
      <c r="AA82" s="1983"/>
      <c r="AB82" s="1986"/>
      <c r="AC82" s="1789">
        <v>32.200000000000003</v>
      </c>
      <c r="AD82" s="2025"/>
      <c r="AE82" s="1986" t="s">
        <v>14</v>
      </c>
      <c r="AF82" s="1789">
        <v>33.4</v>
      </c>
      <c r="AG82" s="2460"/>
      <c r="AH82" s="2461"/>
      <c r="AI82" s="1429">
        <f t="shared" ref="AI82:AI91" si="13">ROUND(SUM(+AC82-AF82),1)</f>
        <v>-1.2</v>
      </c>
      <c r="AJ82" s="2451"/>
      <c r="AK82" s="1424">
        <f t="shared" ref="AK82" si="14">ROUND(IF(AF82=0,1,AI82/ABS(AF82)),3)</f>
        <v>-3.5999999999999997E-2</v>
      </c>
      <c r="AO82" s="2393"/>
    </row>
    <row r="83" spans="1:41" ht="15" customHeight="1">
      <c r="A83" s="2425"/>
      <c r="B83" s="2459" t="s">
        <v>953</v>
      </c>
      <c r="C83" s="2459"/>
      <c r="D83" s="3834">
        <v>0.4</v>
      </c>
      <c r="E83" s="2458"/>
      <c r="F83" s="1773">
        <v>0.19999999999999996</v>
      </c>
      <c r="G83" s="2458"/>
      <c r="H83" s="1773">
        <v>-0.39999999999999997</v>
      </c>
      <c r="I83" s="1429"/>
      <c r="J83" s="1773">
        <v>0</v>
      </c>
      <c r="K83" s="1982"/>
      <c r="L83" s="1773">
        <v>0</v>
      </c>
      <c r="M83" s="1982"/>
      <c r="N83" s="1773">
        <f t="shared" si="10"/>
        <v>0.90000000000000013</v>
      </c>
      <c r="O83" s="1982"/>
      <c r="P83" s="1773"/>
      <c r="Q83" s="1982"/>
      <c r="R83" s="1773"/>
      <c r="S83" s="1982"/>
      <c r="T83" s="1773"/>
      <c r="U83" s="1982"/>
      <c r="V83" s="1773"/>
      <c r="W83" s="1982"/>
      <c r="X83" s="1773"/>
      <c r="Y83" s="1982"/>
      <c r="Z83" s="1773"/>
      <c r="AA83" s="1983"/>
      <c r="AB83" s="2032"/>
      <c r="AC83" s="1789">
        <v>1.1000000000000001</v>
      </c>
      <c r="AD83" s="2025"/>
      <c r="AE83" s="1986" t="s">
        <v>14</v>
      </c>
      <c r="AF83" s="1789">
        <v>0.3</v>
      </c>
      <c r="AG83" s="2460"/>
      <c r="AH83" s="2461"/>
      <c r="AI83" s="1429">
        <f t="shared" ref="AI83" si="15">ROUND(SUM(+AC83-AF83),1)</f>
        <v>0.8</v>
      </c>
      <c r="AJ83" s="2451"/>
      <c r="AK83" s="1465">
        <f>ROUND(IF(AF83=0,1,AI83/ABS(AF83)),3)</f>
        <v>2.6669999999999998</v>
      </c>
      <c r="AO83" s="2393"/>
    </row>
    <row r="84" spans="1:41" ht="15" customHeight="1">
      <c r="A84" s="2425"/>
      <c r="B84" s="2459" t="s">
        <v>954</v>
      </c>
      <c r="C84" s="2459"/>
      <c r="D84" s="3834">
        <v>0</v>
      </c>
      <c r="E84" s="2458"/>
      <c r="F84" s="1773">
        <v>0</v>
      </c>
      <c r="G84" s="2458"/>
      <c r="H84" s="1773">
        <v>0</v>
      </c>
      <c r="I84" s="1429"/>
      <c r="J84" s="1773">
        <v>0</v>
      </c>
      <c r="K84" s="1982"/>
      <c r="L84" s="1773">
        <v>0.3</v>
      </c>
      <c r="M84" s="1982"/>
      <c r="N84" s="1773">
        <f t="shared" si="10"/>
        <v>0</v>
      </c>
      <c r="O84" s="1982"/>
      <c r="P84" s="1773"/>
      <c r="Q84" s="1982"/>
      <c r="R84" s="1773"/>
      <c r="S84" s="1982"/>
      <c r="T84" s="1773"/>
      <c r="U84" s="1982"/>
      <c r="V84" s="1773"/>
      <c r="W84" s="1982"/>
      <c r="X84" s="1773"/>
      <c r="Y84" s="1982"/>
      <c r="Z84" s="1773"/>
      <c r="AA84" s="1983"/>
      <c r="AB84" s="1986"/>
      <c r="AC84" s="1789">
        <v>0.3</v>
      </c>
      <c r="AD84" s="2025"/>
      <c r="AE84" s="1986" t="s">
        <v>14</v>
      </c>
      <c r="AF84" s="1789">
        <v>0</v>
      </c>
      <c r="AG84" s="2460"/>
      <c r="AH84" s="2461"/>
      <c r="AI84" s="1429">
        <f t="shared" si="13"/>
        <v>0.3</v>
      </c>
      <c r="AJ84" s="2451"/>
      <c r="AK84" s="1424">
        <f>ROUND(IF(AF84=0,1,AI84/ABS(AF84)),3)</f>
        <v>1</v>
      </c>
      <c r="AO84" s="2393"/>
    </row>
    <row r="85" spans="1:41" ht="15" customHeight="1">
      <c r="A85" s="2425"/>
      <c r="B85" s="2459" t="s">
        <v>955</v>
      </c>
      <c r="C85" s="2459"/>
      <c r="D85" s="3834">
        <v>4.9000000000000004</v>
      </c>
      <c r="E85" s="2458"/>
      <c r="F85" s="1773">
        <v>5.6999999999999993</v>
      </c>
      <c r="G85" s="2458"/>
      <c r="H85" s="1773">
        <v>6.3000000000000025</v>
      </c>
      <c r="I85" s="1429"/>
      <c r="J85" s="1773">
        <v>4.9999999999999982</v>
      </c>
      <c r="K85" s="1982"/>
      <c r="L85" s="1773">
        <v>6</v>
      </c>
      <c r="M85" s="1982"/>
      <c r="N85" s="1773">
        <f t="shared" si="10"/>
        <v>7.5</v>
      </c>
      <c r="O85" s="1982"/>
      <c r="P85" s="1773"/>
      <c r="Q85" s="1982"/>
      <c r="R85" s="1773"/>
      <c r="S85" s="1982"/>
      <c r="T85" s="1773"/>
      <c r="U85" s="1982"/>
      <c r="V85" s="1773"/>
      <c r="W85" s="1982"/>
      <c r="X85" s="1773"/>
      <c r="Y85" s="1982"/>
      <c r="Z85" s="1773"/>
      <c r="AA85" s="1983"/>
      <c r="AB85" s="1986"/>
      <c r="AC85" s="1789">
        <v>35.4</v>
      </c>
      <c r="AD85" s="2025"/>
      <c r="AE85" s="1986" t="s">
        <v>14</v>
      </c>
      <c r="AF85" s="1789">
        <v>36</v>
      </c>
      <c r="AG85" s="2460"/>
      <c r="AH85" s="2461"/>
      <c r="AI85" s="1429">
        <f t="shared" si="13"/>
        <v>-0.6</v>
      </c>
      <c r="AJ85" s="2451"/>
      <c r="AK85" s="1424">
        <f>ROUND(IF(AF85=0,1,AI85/ABS(AF85)),3)</f>
        <v>-1.7000000000000001E-2</v>
      </c>
      <c r="AO85" s="2393"/>
    </row>
    <row r="86" spans="1:41" ht="15" customHeight="1">
      <c r="A86" s="2425"/>
      <c r="B86" s="2459" t="s">
        <v>956</v>
      </c>
      <c r="C86" s="2459"/>
      <c r="D86" s="3834">
        <v>38.299999999999997</v>
      </c>
      <c r="E86" s="2458"/>
      <c r="F86" s="1773">
        <v>6.1000000000000014</v>
      </c>
      <c r="G86" s="2458"/>
      <c r="H86" s="1773">
        <v>-54.4</v>
      </c>
      <c r="I86" s="1429"/>
      <c r="J86" s="1773">
        <v>54.6</v>
      </c>
      <c r="K86" s="1982"/>
      <c r="L86" s="1773">
        <v>-4</v>
      </c>
      <c r="M86" s="1982"/>
      <c r="N86" s="1773">
        <f>$AC86-$D86-$F86-L86-J86-H86</f>
        <v>5.7999999999999972</v>
      </c>
      <c r="O86" s="1982"/>
      <c r="P86" s="1773"/>
      <c r="Q86" s="1982"/>
      <c r="R86" s="1773"/>
      <c r="S86" s="1982"/>
      <c r="T86" s="1773"/>
      <c r="U86" s="1982"/>
      <c r="V86" s="1773"/>
      <c r="W86" s="1982"/>
      <c r="X86" s="1773"/>
      <c r="Y86" s="1982"/>
      <c r="Z86" s="1773"/>
      <c r="AA86" s="1983"/>
      <c r="AB86" s="2032"/>
      <c r="AC86" s="1789">
        <v>46.4</v>
      </c>
      <c r="AD86" s="2025"/>
      <c r="AE86" s="2032" t="s">
        <v>14</v>
      </c>
      <c r="AF86" s="1789">
        <v>-64.5</v>
      </c>
      <c r="AG86" s="2460"/>
      <c r="AH86" s="2461"/>
      <c r="AI86" s="1429">
        <f>ROUND(SUM(+AC86-AF86),1)</f>
        <v>110.9</v>
      </c>
      <c r="AJ86" s="2451"/>
      <c r="AK86" s="1465">
        <f>ROUND(IF(AF86=0,1,AI86/ABS(AF86)),3)</f>
        <v>1.7190000000000001</v>
      </c>
      <c r="AO86" s="2393"/>
    </row>
    <row r="87" spans="1:41" ht="15" customHeight="1">
      <c r="A87" s="2425"/>
      <c r="B87" s="2459" t="s">
        <v>957</v>
      </c>
      <c r="C87" s="2459"/>
      <c r="D87" s="3834">
        <v>0</v>
      </c>
      <c r="E87" s="2458"/>
      <c r="F87" s="1773">
        <v>1.6</v>
      </c>
      <c r="G87" s="2458"/>
      <c r="H87" s="1773">
        <v>-0.40000000000000013</v>
      </c>
      <c r="I87" s="1429"/>
      <c r="J87" s="1773">
        <v>-0.39999999999999991</v>
      </c>
      <c r="K87" s="1982"/>
      <c r="L87" s="1773">
        <v>2.2999999999999998</v>
      </c>
      <c r="M87" s="1982"/>
      <c r="N87" s="1773">
        <f t="shared" si="10"/>
        <v>-0.19999999999999996</v>
      </c>
      <c r="O87" s="1982"/>
      <c r="P87" s="1773"/>
      <c r="Q87" s="1982"/>
      <c r="R87" s="1773"/>
      <c r="S87" s="1982"/>
      <c r="T87" s="1773"/>
      <c r="U87" s="1982"/>
      <c r="V87" s="1773"/>
      <c r="W87" s="1982"/>
      <c r="X87" s="1773"/>
      <c r="Y87" s="1982"/>
      <c r="Z87" s="1773"/>
      <c r="AA87" s="1983"/>
      <c r="AB87" s="1986"/>
      <c r="AC87" s="1789">
        <v>2.9</v>
      </c>
      <c r="AD87" s="2025"/>
      <c r="AE87" s="1986" t="s">
        <v>14</v>
      </c>
      <c r="AF87" s="1789">
        <v>4</v>
      </c>
      <c r="AG87" s="2460"/>
      <c r="AH87" s="2461"/>
      <c r="AI87" s="1429">
        <f t="shared" si="13"/>
        <v>-1.1000000000000001</v>
      </c>
      <c r="AJ87" s="2451"/>
      <c r="AK87" s="1424">
        <f>ROUND(IF(AF87=0,0,AI87/ABS(AF87)),3)</f>
        <v>-0.27500000000000002</v>
      </c>
      <c r="AO87" s="2393"/>
    </row>
    <row r="88" spans="1:41" ht="15" customHeight="1">
      <c r="A88" s="2425"/>
      <c r="B88" s="2459" t="s">
        <v>958</v>
      </c>
      <c r="C88" s="2459"/>
      <c r="D88" s="3834">
        <v>0</v>
      </c>
      <c r="E88" s="2458"/>
      <c r="F88" s="1773">
        <v>0</v>
      </c>
      <c r="G88" s="2458"/>
      <c r="H88" s="1773">
        <v>0.2</v>
      </c>
      <c r="I88" s="1429"/>
      <c r="J88" s="1773">
        <v>0</v>
      </c>
      <c r="K88" s="1982"/>
      <c r="L88" s="1773">
        <v>0</v>
      </c>
      <c r="M88" s="1982"/>
      <c r="N88" s="1773">
        <f t="shared" si="10"/>
        <v>0</v>
      </c>
      <c r="O88" s="1982"/>
      <c r="P88" s="1773"/>
      <c r="Q88" s="1982"/>
      <c r="R88" s="1773"/>
      <c r="S88" s="1982"/>
      <c r="T88" s="1773"/>
      <c r="U88" s="1982"/>
      <c r="V88" s="1773"/>
      <c r="W88" s="1982"/>
      <c r="X88" s="1773"/>
      <c r="Y88" s="1982"/>
      <c r="Z88" s="1773"/>
      <c r="AA88" s="1983"/>
      <c r="AB88" s="1986"/>
      <c r="AC88" s="1789">
        <v>0.2</v>
      </c>
      <c r="AD88" s="2025"/>
      <c r="AE88" s="1986" t="s">
        <v>14</v>
      </c>
      <c r="AF88" s="1789">
        <v>0.3</v>
      </c>
      <c r="AG88" s="2460"/>
      <c r="AH88" s="2461"/>
      <c r="AI88" s="1429">
        <f t="shared" si="13"/>
        <v>-0.1</v>
      </c>
      <c r="AJ88" s="2451"/>
      <c r="AK88" s="1465">
        <f>ROUND(IF(AF88=0,1,AI88/ABS(AF88)),3)</f>
        <v>-0.33300000000000002</v>
      </c>
      <c r="AO88" s="2393"/>
    </row>
    <row r="89" spans="1:41" ht="15" customHeight="1">
      <c r="A89" s="2425"/>
      <c r="B89" s="2459" t="s">
        <v>959</v>
      </c>
      <c r="C89" s="2459"/>
      <c r="D89" s="3834">
        <v>0</v>
      </c>
      <c r="E89" s="2458"/>
      <c r="F89" s="1773">
        <v>0</v>
      </c>
      <c r="G89" s="2458"/>
      <c r="H89" s="1773">
        <v>0</v>
      </c>
      <c r="I89" s="1429"/>
      <c r="J89" s="1773">
        <v>0</v>
      </c>
      <c r="K89" s="1982"/>
      <c r="L89" s="1773">
        <v>0</v>
      </c>
      <c r="M89" s="1982"/>
      <c r="N89" s="1773">
        <f t="shared" si="10"/>
        <v>0</v>
      </c>
      <c r="O89" s="1982"/>
      <c r="P89" s="1773"/>
      <c r="Q89" s="1982"/>
      <c r="R89" s="1773"/>
      <c r="S89" s="1982"/>
      <c r="T89" s="1773"/>
      <c r="U89" s="1982"/>
      <c r="V89" s="1773"/>
      <c r="W89" s="1982"/>
      <c r="X89" s="1773"/>
      <c r="Y89" s="1982"/>
      <c r="Z89" s="1773"/>
      <c r="AA89" s="1983"/>
      <c r="AB89" s="1986"/>
      <c r="AC89" s="1789">
        <v>0</v>
      </c>
      <c r="AD89" s="2025"/>
      <c r="AE89" s="1986" t="s">
        <v>14</v>
      </c>
      <c r="AF89" s="1789">
        <v>0</v>
      </c>
      <c r="AG89" s="2460"/>
      <c r="AH89" s="2461"/>
      <c r="AI89" s="1429">
        <f t="shared" si="13"/>
        <v>0</v>
      </c>
      <c r="AJ89" s="2451"/>
      <c r="AK89" s="1424">
        <f>ROUND(IF(AF89=0,0,AI89/ABS(AF89)),3)</f>
        <v>0</v>
      </c>
      <c r="AO89" s="2393"/>
    </row>
    <row r="90" spans="1:41" ht="15" customHeight="1">
      <c r="A90" s="2425"/>
      <c r="B90" s="2459" t="s">
        <v>960</v>
      </c>
      <c r="C90" s="2459"/>
      <c r="D90" s="3834">
        <v>20.100000000000001</v>
      </c>
      <c r="E90" s="2458"/>
      <c r="F90" s="1773">
        <v>23.1</v>
      </c>
      <c r="G90" s="2458"/>
      <c r="H90" s="1773">
        <v>1.5999999999999943</v>
      </c>
      <c r="I90" s="1429"/>
      <c r="J90" s="1773">
        <v>10</v>
      </c>
      <c r="K90" s="1982"/>
      <c r="L90" s="1773">
        <v>22.899999999999991</v>
      </c>
      <c r="M90" s="1982"/>
      <c r="N90" s="1773">
        <f t="shared" si="10"/>
        <v>-14.399999999999991</v>
      </c>
      <c r="O90" s="1982"/>
      <c r="P90" s="1773"/>
      <c r="Q90" s="1982"/>
      <c r="R90" s="1773"/>
      <c r="S90" s="1982"/>
      <c r="T90" s="1773"/>
      <c r="U90" s="1982"/>
      <c r="V90" s="1773"/>
      <c r="W90" s="1982"/>
      <c r="X90" s="1773"/>
      <c r="Y90" s="1982"/>
      <c r="Z90" s="1773"/>
      <c r="AA90" s="1983"/>
      <c r="AB90" s="1986"/>
      <c r="AC90" s="1773">
        <v>63.3</v>
      </c>
      <c r="AD90" s="2025"/>
      <c r="AE90" s="1986" t="s">
        <v>14</v>
      </c>
      <c r="AF90" s="1773">
        <v>35.4</v>
      </c>
      <c r="AG90" s="2025"/>
      <c r="AH90" s="2461"/>
      <c r="AI90" s="1429">
        <f t="shared" si="13"/>
        <v>27.9</v>
      </c>
      <c r="AJ90" s="2451"/>
      <c r="AK90" s="1465">
        <f>ROUND(IF(AF90=0,0,AI90/ABS(AF90)),3)</f>
        <v>0.78800000000000003</v>
      </c>
      <c r="AO90" s="2393"/>
    </row>
    <row r="91" spans="1:41" ht="15" customHeight="1">
      <c r="A91" s="2425"/>
      <c r="B91" s="2459" t="s">
        <v>961</v>
      </c>
      <c r="C91" s="2459"/>
      <c r="D91" s="3834">
        <v>0.1</v>
      </c>
      <c r="E91" s="2458"/>
      <c r="F91" s="1773">
        <v>0</v>
      </c>
      <c r="G91" s="2458"/>
      <c r="H91" s="1773">
        <v>0</v>
      </c>
      <c r="I91" s="1429"/>
      <c r="J91" s="1773">
        <v>0.1</v>
      </c>
      <c r="K91" s="1982"/>
      <c r="L91" s="1773">
        <v>0</v>
      </c>
      <c r="M91" s="1982"/>
      <c r="N91" s="1773">
        <f t="shared" si="10"/>
        <v>0</v>
      </c>
      <c r="O91" s="1982"/>
      <c r="P91" s="1773"/>
      <c r="Q91" s="1982"/>
      <c r="R91" s="1773"/>
      <c r="S91" s="1982"/>
      <c r="T91" s="1773"/>
      <c r="U91" s="1982"/>
      <c r="V91" s="1773"/>
      <c r="W91" s="1982"/>
      <c r="X91" s="1773"/>
      <c r="Y91" s="1982"/>
      <c r="Z91" s="1773"/>
      <c r="AA91" s="1983"/>
      <c r="AB91" s="1986"/>
      <c r="AC91" s="1789">
        <v>0.2</v>
      </c>
      <c r="AD91" s="2025"/>
      <c r="AE91" s="1986" t="s">
        <v>14</v>
      </c>
      <c r="AF91" s="1789">
        <v>4.0999999999999996</v>
      </c>
      <c r="AG91" s="2025"/>
      <c r="AH91" s="2461"/>
      <c r="AI91" s="1429">
        <f t="shared" si="13"/>
        <v>-3.9</v>
      </c>
      <c r="AJ91" s="2451"/>
      <c r="AK91" s="2462">
        <f>ROUND(IF(AF91=0,1,AI91/ABS(AF91)),3)</f>
        <v>-0.95099999999999996</v>
      </c>
      <c r="AO91" s="2393"/>
    </row>
    <row r="92" spans="1:41" s="2455" customFormat="1" ht="15" customHeight="1">
      <c r="A92" s="2453"/>
      <c r="B92" s="2447" t="s">
        <v>996</v>
      </c>
      <c r="C92" s="2402"/>
      <c r="D92" s="2449">
        <f>ROUND(SUM(D57:D91),1)</f>
        <v>172.5</v>
      </c>
      <c r="E92" s="2463"/>
      <c r="F92" s="2448">
        <f>ROUND(SUM(F57:F91),1)</f>
        <v>140.1</v>
      </c>
      <c r="G92" s="2463"/>
      <c r="H92" s="2448">
        <f>ROUND(SUM(H57:H91),1)</f>
        <v>131</v>
      </c>
      <c r="I92" s="1447"/>
      <c r="J92" s="2449">
        <f>ROUND(SUM(J57:J91),1)</f>
        <v>154</v>
      </c>
      <c r="K92" s="1447"/>
      <c r="L92" s="2449">
        <f>ROUND(SUM(L57:L91),1)</f>
        <v>122.5</v>
      </c>
      <c r="M92" s="1447"/>
      <c r="N92" s="2026">
        <f>ROUND(SUM(N57:N91),1)</f>
        <v>256.5</v>
      </c>
      <c r="O92" s="1447"/>
      <c r="P92" s="1446">
        <f>ROUND(SUM(P57:P91),1)</f>
        <v>0</v>
      </c>
      <c r="Q92" s="1447"/>
      <c r="R92" s="2026">
        <f>ROUND(SUM(R57:R91),1)</f>
        <v>0</v>
      </c>
      <c r="S92" s="1447"/>
      <c r="T92" s="2026">
        <f>ROUND(SUM(T57:T91),1)</f>
        <v>0</v>
      </c>
      <c r="U92" s="1447"/>
      <c r="V92" s="2026">
        <f>ROUND(SUM(V57:V91),1)</f>
        <v>0</v>
      </c>
      <c r="W92" s="1447"/>
      <c r="X92" s="2026">
        <f>ROUND(SUM(X57:X91),1)</f>
        <v>0</v>
      </c>
      <c r="Y92" s="1447"/>
      <c r="Z92" s="2026">
        <f>ROUND(SUM(Z57:Z91),1)</f>
        <v>0</v>
      </c>
      <c r="AA92" s="1994"/>
      <c r="AB92" s="2033"/>
      <c r="AC92" s="3118">
        <f>ROUND(SUM(AC57:AC91),1)</f>
        <v>976.6</v>
      </c>
      <c r="AD92" s="2034"/>
      <c r="AE92" s="3122" t="s">
        <v>14</v>
      </c>
      <c r="AF92" s="3446">
        <f>ROUND(SUM(AF57:AF91),1)</f>
        <v>5680.2</v>
      </c>
      <c r="AG92" s="1447"/>
      <c r="AH92" s="2454"/>
      <c r="AI92" s="2026">
        <f>ROUND(SUM(AI57:AI91),1)</f>
        <v>-4703.6000000000004</v>
      </c>
      <c r="AJ92" s="1430"/>
      <c r="AK92" s="1431">
        <f>ROUND(SUM(+AI92/AF92),3)</f>
        <v>-0.82799999999999996</v>
      </c>
      <c r="AL92" s="2391"/>
      <c r="AO92" s="2393"/>
    </row>
    <row r="93" spans="1:41" s="2455" customFormat="1" ht="8.25" customHeight="1">
      <c r="A93" s="2453"/>
      <c r="B93" s="2401"/>
      <c r="C93" s="2402"/>
      <c r="D93" s="1447"/>
      <c r="E93" s="2463"/>
      <c r="F93" s="1447"/>
      <c r="G93" s="2463"/>
      <c r="H93" s="1447"/>
      <c r="I93" s="1447"/>
      <c r="J93" s="2034"/>
      <c r="K93" s="1447"/>
      <c r="L93" s="1447"/>
      <c r="M93" s="1447"/>
      <c r="N93" s="1447"/>
      <c r="O93" s="1447"/>
      <c r="P93" s="2034"/>
      <c r="Q93" s="1447"/>
      <c r="R93" s="1447"/>
      <c r="S93" s="1447"/>
      <c r="T93" s="1447"/>
      <c r="U93" s="1447"/>
      <c r="V93" s="1447"/>
      <c r="W93" s="1447"/>
      <c r="X93" s="1447"/>
      <c r="Y93" s="1447"/>
      <c r="Z93" s="1447"/>
      <c r="AA93" s="1994"/>
      <c r="AB93" s="2033"/>
      <c r="AC93" s="2034"/>
      <c r="AD93" s="2034"/>
      <c r="AE93" s="3122"/>
      <c r="AF93" s="2034"/>
      <c r="AG93" s="1447"/>
      <c r="AH93" s="2454"/>
      <c r="AI93" s="1447"/>
      <c r="AJ93" s="1430"/>
      <c r="AK93" s="2464"/>
      <c r="AL93" s="2391"/>
      <c r="AO93" s="2393"/>
    </row>
    <row r="94" spans="1:41" ht="15" customHeight="1">
      <c r="A94" s="2425"/>
      <c r="B94" s="2443" t="s">
        <v>1143</v>
      </c>
      <c r="C94" s="2006"/>
      <c r="D94" s="3834">
        <v>0.2</v>
      </c>
      <c r="E94" s="1429"/>
      <c r="F94" s="1773">
        <v>0</v>
      </c>
      <c r="G94" s="1429"/>
      <c r="H94" s="1773">
        <v>0</v>
      </c>
      <c r="I94" s="1429"/>
      <c r="J94" s="1773">
        <v>0.10000000000000003</v>
      </c>
      <c r="K94" s="1982"/>
      <c r="L94" s="3912">
        <v>0</v>
      </c>
      <c r="M94" s="1982"/>
      <c r="N94" s="1773">
        <f t="shared" ref="N94" si="16">$AC94-$D94-$F94-L94-J94-H94</f>
        <v>-0.30000000000000004</v>
      </c>
      <c r="O94" s="1982"/>
      <c r="P94" s="1773"/>
      <c r="Q94" s="1982"/>
      <c r="R94" s="1773"/>
      <c r="S94" s="1982"/>
      <c r="T94" s="1773"/>
      <c r="U94" s="1982"/>
      <c r="V94" s="1773"/>
      <c r="W94" s="1982"/>
      <c r="X94" s="1773"/>
      <c r="Y94" s="1982"/>
      <c r="Z94" s="1773"/>
      <c r="AA94" s="1983"/>
      <c r="AB94" s="1986"/>
      <c r="AC94" s="3926">
        <v>0</v>
      </c>
      <c r="AD94" s="2025"/>
      <c r="AE94" s="1986" t="s">
        <v>14</v>
      </c>
      <c r="AF94" s="1789">
        <v>0.1</v>
      </c>
      <c r="AG94" s="1991"/>
      <c r="AH94" s="2450"/>
      <c r="AI94" s="2465">
        <f>ROUND(SUM(+AC94-AF94),1)</f>
        <v>-0.1</v>
      </c>
      <c r="AJ94" s="2451"/>
      <c r="AK94" s="3856">
        <f>ROUND(IF(AF94=0,1,AI94/ABS(AF94)),3)</f>
        <v>-1</v>
      </c>
      <c r="AO94" s="2393"/>
    </row>
    <row r="95" spans="1:41" ht="4.4000000000000004" customHeight="1">
      <c r="A95" s="2425"/>
      <c r="B95" s="2028"/>
      <c r="C95" s="2006"/>
      <c r="D95" s="2466"/>
      <c r="E95" s="1429"/>
      <c r="F95" s="2466"/>
      <c r="G95" s="1429"/>
      <c r="H95" s="2466"/>
      <c r="I95" s="1429"/>
      <c r="J95" s="2467"/>
      <c r="K95" s="1990"/>
      <c r="L95" s="1989"/>
      <c r="M95" s="1990"/>
      <c r="N95" s="1989"/>
      <c r="O95" s="1990"/>
      <c r="P95" s="3541"/>
      <c r="Q95" s="1990"/>
      <c r="R95" s="1989"/>
      <c r="S95" s="1990"/>
      <c r="T95" s="1989"/>
      <c r="U95" s="1990"/>
      <c r="V95" s="1989"/>
      <c r="W95" s="1990"/>
      <c r="X95" s="1989">
        <f t="shared" ref="X95" si="17">$AC95-$D95-$F95-$H95-$J95-$L95-$N95-$P95-$R95-$T95-$V95</f>
        <v>0</v>
      </c>
      <c r="Y95" s="1990"/>
      <c r="Z95" s="1989"/>
      <c r="AA95" s="2005"/>
      <c r="AB95" s="2030"/>
      <c r="AC95" s="3123"/>
      <c r="AD95" s="1979"/>
      <c r="AE95" s="1986" t="s">
        <v>14</v>
      </c>
      <c r="AF95" s="2035"/>
      <c r="AG95" s="1991"/>
      <c r="AH95" s="2450"/>
      <c r="AI95" s="1429"/>
      <c r="AJ95" s="2451"/>
      <c r="AK95" s="1418"/>
      <c r="AO95" s="2393"/>
    </row>
    <row r="96" spans="1:41" ht="15" customHeight="1">
      <c r="A96" s="2425"/>
      <c r="B96" s="2401" t="s">
        <v>149</v>
      </c>
      <c r="C96" s="2006"/>
      <c r="D96" s="2004">
        <f>ROUND(SUM(D94+D92+D53),1)</f>
        <v>4637.5</v>
      </c>
      <c r="E96" s="1447"/>
      <c r="F96" s="2004">
        <f>ROUND(SUM(F94+F92+F53),1)</f>
        <v>5621.6</v>
      </c>
      <c r="G96" s="1447"/>
      <c r="H96" s="2004">
        <f>ROUND(SUM(H94+H92+H53),1)</f>
        <v>5188.2</v>
      </c>
      <c r="I96" s="1447"/>
      <c r="J96" s="1544">
        <f>ROUND(SUM(J94+J92+J53),1)</f>
        <v>2556.8000000000002</v>
      </c>
      <c r="K96" s="1447"/>
      <c r="L96" s="1544">
        <f>ROUND(SUM(L94+L92+L53),1)</f>
        <v>2555.3000000000002</v>
      </c>
      <c r="M96" s="1447"/>
      <c r="N96" s="1447">
        <f>ROUND(SUM(N94+N92+N53),1)</f>
        <v>5759.8</v>
      </c>
      <c r="O96" s="1447"/>
      <c r="P96" s="2038">
        <f>ROUND(SUM(P94+P92+P53),1)</f>
        <v>0</v>
      </c>
      <c r="Q96" s="1447"/>
      <c r="R96" s="2036">
        <f>ROUND(SUM(R94+R92+R53),1)</f>
        <v>0</v>
      </c>
      <c r="S96" s="1447"/>
      <c r="T96" s="2036">
        <f>ROUND(SUM(T94+T92+T53),1)</f>
        <v>0</v>
      </c>
      <c r="U96" s="1447"/>
      <c r="V96" s="2036">
        <f>ROUND(SUM(V94+V92+V53),1)</f>
        <v>0</v>
      </c>
      <c r="W96" s="1447"/>
      <c r="X96" s="2036">
        <f>ROUND(SUM(X94+X92+X53),1)</f>
        <v>0</v>
      </c>
      <c r="Y96" s="1447"/>
      <c r="Z96" s="2036">
        <f>ROUND(SUM(Z94+Z92+Z53),1)</f>
        <v>0</v>
      </c>
      <c r="AA96" s="2037"/>
      <c r="AB96" s="2033"/>
      <c r="AC96" s="2038">
        <f>ROUND(SUM(AC94+AC92+AC53),1)</f>
        <v>26319.200000000001</v>
      </c>
      <c r="AD96" s="2034"/>
      <c r="AE96" s="3122"/>
      <c r="AF96" s="2038">
        <f>ROUND(SUM(AF94+AF92+AF53),1)</f>
        <v>26090.5</v>
      </c>
      <c r="AG96" s="1430"/>
      <c r="AH96" s="2454"/>
      <c r="AI96" s="2036">
        <f>ROUND(SUM(AI94+AI92+AI53),1)</f>
        <v>228.7</v>
      </c>
      <c r="AJ96" s="1430"/>
      <c r="AK96" s="1421">
        <f>ROUND(SUM(+AI96/AF96),3)</f>
        <v>8.9999999999999993E-3</v>
      </c>
      <c r="AO96" s="2393"/>
    </row>
    <row r="97" spans="1:41" ht="15" customHeight="1">
      <c r="A97" s="2425"/>
      <c r="B97" s="2028"/>
      <c r="C97" s="2006"/>
      <c r="D97" s="2451"/>
      <c r="E97" s="1429"/>
      <c r="F97" s="2451"/>
      <c r="G97" s="1429"/>
      <c r="H97" s="2451"/>
      <c r="I97" s="1429"/>
      <c r="J97" s="2025"/>
      <c r="K97" s="1990"/>
      <c r="L97" s="1989"/>
      <c r="M97" s="1990"/>
      <c r="N97" s="1989"/>
      <c r="O97" s="1990"/>
      <c r="P97" s="1961"/>
      <c r="Q97" s="1990"/>
      <c r="R97" s="1991"/>
      <c r="S97" s="1990"/>
      <c r="T97" s="1991"/>
      <c r="U97" s="1990"/>
      <c r="V97" s="1991"/>
      <c r="W97" s="1990"/>
      <c r="X97" s="1991"/>
      <c r="Y97" s="1990"/>
      <c r="Z97" s="1991"/>
      <c r="AA97" s="1997"/>
      <c r="AB97" s="2030"/>
      <c r="AC97" s="2025"/>
      <c r="AD97" s="1979"/>
      <c r="AE97" s="1981"/>
      <c r="AF97" s="1961"/>
      <c r="AG97" s="1991"/>
      <c r="AH97" s="2450"/>
      <c r="AI97" s="1429"/>
      <c r="AJ97" s="2451"/>
      <c r="AK97" s="1418"/>
      <c r="AO97" s="2393"/>
    </row>
    <row r="98" spans="1:41" ht="15" customHeight="1">
      <c r="A98" s="2425"/>
      <c r="B98" s="2401" t="s">
        <v>22</v>
      </c>
      <c r="C98" s="2006"/>
      <c r="D98" s="1429"/>
      <c r="E98" s="1429"/>
      <c r="F98" s="1429"/>
      <c r="G98" s="1429"/>
      <c r="H98" s="1429"/>
      <c r="I98" s="1429"/>
      <c r="J98" s="1984"/>
      <c r="K98" s="1990"/>
      <c r="L98" s="1990"/>
      <c r="M98" s="1990"/>
      <c r="N98" s="1990"/>
      <c r="O98" s="1990"/>
      <c r="P98" s="1979"/>
      <c r="Q98" s="1990"/>
      <c r="R98" s="1990"/>
      <c r="S98" s="1990"/>
      <c r="T98" s="1990"/>
      <c r="U98" s="1990"/>
      <c r="V98" s="1990"/>
      <c r="W98" s="1990"/>
      <c r="X98" s="1990"/>
      <c r="Y98" s="1990"/>
      <c r="Z98" s="1990"/>
      <c r="AA98" s="1449"/>
      <c r="AB98" s="2030"/>
      <c r="AC98" s="1984"/>
      <c r="AD98" s="1979"/>
      <c r="AE98" s="1981"/>
      <c r="AF98" s="1979"/>
      <c r="AG98" s="1990"/>
      <c r="AH98" s="2450"/>
      <c r="AI98" s="1429"/>
      <c r="AJ98" s="2451"/>
      <c r="AK98" s="1418"/>
      <c r="AO98" s="2393"/>
    </row>
    <row r="99" spans="1:41" ht="15" customHeight="1">
      <c r="A99" s="2425"/>
      <c r="B99" s="2028" t="s">
        <v>150</v>
      </c>
      <c r="C99" s="2006"/>
      <c r="D99" s="2451"/>
      <c r="E99" s="2451"/>
      <c r="F99" s="2451"/>
      <c r="G99" s="2451"/>
      <c r="H99" s="2451"/>
      <c r="I99" s="2451"/>
      <c r="J99" s="2025"/>
      <c r="K99" s="1991"/>
      <c r="L99" s="1991"/>
      <c r="M99" s="1991"/>
      <c r="N99" s="1991"/>
      <c r="O99" s="1991"/>
      <c r="P99" s="1961"/>
      <c r="Q99" s="1991"/>
      <c r="R99" s="1991"/>
      <c r="S99" s="1991"/>
      <c r="T99" s="1991"/>
      <c r="U99" s="1991"/>
      <c r="V99" s="1991"/>
      <c r="W99" s="1991"/>
      <c r="X99" s="1991"/>
      <c r="Y99" s="1991"/>
      <c r="Z99" s="1773"/>
      <c r="AA99" s="1449"/>
      <c r="AB99" s="2030"/>
      <c r="AC99" s="3124"/>
      <c r="AD99" s="1979"/>
      <c r="AE99" s="1981"/>
      <c r="AF99" s="3447"/>
      <c r="AG99" s="2468"/>
      <c r="AH99" s="2450"/>
      <c r="AI99" s="1429"/>
      <c r="AJ99" s="2451"/>
      <c r="AK99" s="1418"/>
      <c r="AO99" s="2393"/>
    </row>
    <row r="100" spans="1:41" ht="15" customHeight="1">
      <c r="A100" s="2425"/>
      <c r="B100" s="2434" t="s">
        <v>24</v>
      </c>
      <c r="C100" s="2006"/>
      <c r="D100" s="3834">
        <v>523.4</v>
      </c>
      <c r="E100" s="2451"/>
      <c r="F100" s="1773">
        <v>3899.2000000000003</v>
      </c>
      <c r="G100" s="2451"/>
      <c r="H100" s="1773">
        <v>2835.2999999999997</v>
      </c>
      <c r="I100" s="2451"/>
      <c r="J100" s="1773">
        <v>1505.4999999999995</v>
      </c>
      <c r="K100" s="1982"/>
      <c r="L100" s="1773">
        <v>723.29999999999927</v>
      </c>
      <c r="M100" s="1982"/>
      <c r="N100" s="1773">
        <f t="shared" ref="N100:N109" si="18">$AC100-$D100-$F100-L100-J100-H100</f>
        <v>1656.900000000001</v>
      </c>
      <c r="O100" s="1982"/>
      <c r="P100" s="1773"/>
      <c r="Q100" s="1982"/>
      <c r="R100" s="1773"/>
      <c r="S100" s="1982"/>
      <c r="T100" s="1773"/>
      <c r="U100" s="1982"/>
      <c r="V100" s="1773"/>
      <c r="W100" s="1982"/>
      <c r="X100" s="1773"/>
      <c r="Y100" s="1982"/>
      <c r="Z100" s="1773"/>
      <c r="AA100" s="1983"/>
      <c r="AB100" s="1986"/>
      <c r="AC100" s="1789">
        <v>11143.6</v>
      </c>
      <c r="AD100" s="2025"/>
      <c r="AE100" s="1986" t="s">
        <v>14</v>
      </c>
      <c r="AF100" s="1789">
        <v>10887.5</v>
      </c>
      <c r="AG100" s="2468"/>
      <c r="AH100" s="2450"/>
      <c r="AI100" s="1429">
        <f>ROUND(SUM(+AC100-AF100),1)</f>
        <v>256.10000000000002</v>
      </c>
      <c r="AJ100" s="2451"/>
      <c r="AK100" s="1424">
        <f>ROUND(IF(AF100=0,0,AI100/ABS(AF100)),3)</f>
        <v>2.4E-2</v>
      </c>
      <c r="AO100" s="2393"/>
    </row>
    <row r="101" spans="1:41" ht="15" customHeight="1">
      <c r="A101" s="2425"/>
      <c r="B101" s="2434" t="s">
        <v>25</v>
      </c>
      <c r="C101" s="2006"/>
      <c r="D101" s="3834">
        <v>0</v>
      </c>
      <c r="E101" s="1429"/>
      <c r="F101" s="1773">
        <v>1.7</v>
      </c>
      <c r="G101" s="1429"/>
      <c r="H101" s="1773">
        <v>4</v>
      </c>
      <c r="I101" s="1429"/>
      <c r="J101" s="1773">
        <v>9.9999999999999645E-2</v>
      </c>
      <c r="K101" s="1982"/>
      <c r="L101" s="1773">
        <v>0.10000000000000053</v>
      </c>
      <c r="M101" s="1982"/>
      <c r="N101" s="1773">
        <f t="shared" si="18"/>
        <v>0</v>
      </c>
      <c r="O101" s="1982"/>
      <c r="P101" s="1773"/>
      <c r="Q101" s="1982"/>
      <c r="R101" s="1773"/>
      <c r="S101" s="1982"/>
      <c r="T101" s="1773"/>
      <c r="U101" s="1982"/>
      <c r="V101" s="1773"/>
      <c r="W101" s="1982"/>
      <c r="X101" s="1773"/>
      <c r="Y101" s="1982"/>
      <c r="Z101" s="1773"/>
      <c r="AA101" s="1983"/>
      <c r="AB101" s="1986"/>
      <c r="AC101" s="1789">
        <v>5.9</v>
      </c>
      <c r="AD101" s="2025"/>
      <c r="AE101" s="1986" t="s">
        <v>14</v>
      </c>
      <c r="AF101" s="1789">
        <v>0</v>
      </c>
      <c r="AG101" s="1990"/>
      <c r="AH101" s="2450"/>
      <c r="AI101" s="1429">
        <f t="shared" ref="AI101:AI109" si="19">ROUND(SUM(+AC101-AF101),1)</f>
        <v>5.9</v>
      </c>
      <c r="AJ101" s="2451"/>
      <c r="AK101" s="1465">
        <f>ROUND(IF(AF101=0,1,AI101/ABS(AF101)),3)</f>
        <v>1</v>
      </c>
      <c r="AO101" s="2393"/>
    </row>
    <row r="102" spans="1:41" ht="15" customHeight="1">
      <c r="A102" s="2425"/>
      <c r="B102" s="2434" t="s">
        <v>26</v>
      </c>
      <c r="C102" s="2006"/>
      <c r="D102" s="3834">
        <v>2.9</v>
      </c>
      <c r="E102" s="1429"/>
      <c r="F102" s="1773">
        <v>48.6</v>
      </c>
      <c r="G102" s="1429"/>
      <c r="H102" s="1773">
        <v>450.8</v>
      </c>
      <c r="I102" s="1429"/>
      <c r="J102" s="1773">
        <v>-37</v>
      </c>
      <c r="K102" s="1982"/>
      <c r="L102" s="1773">
        <v>34.199999999999989</v>
      </c>
      <c r="M102" s="1982"/>
      <c r="N102" s="1773">
        <f t="shared" si="18"/>
        <v>109.40000000000003</v>
      </c>
      <c r="O102" s="1982"/>
      <c r="P102" s="1773"/>
      <c r="Q102" s="1982"/>
      <c r="R102" s="1773"/>
      <c r="S102" s="1982"/>
      <c r="T102" s="1773"/>
      <c r="U102" s="1982"/>
      <c r="V102" s="1773"/>
      <c r="W102" s="1982"/>
      <c r="X102" s="1773"/>
      <c r="Y102" s="1982"/>
      <c r="Z102" s="1773"/>
      <c r="AA102" s="1983"/>
      <c r="AB102" s="1986"/>
      <c r="AC102" s="1789">
        <v>608.9</v>
      </c>
      <c r="AD102" s="2025"/>
      <c r="AE102" s="1986" t="s">
        <v>14</v>
      </c>
      <c r="AF102" s="1789">
        <v>565.9</v>
      </c>
      <c r="AG102" s="1990"/>
      <c r="AH102" s="2450"/>
      <c r="AI102" s="1429">
        <f t="shared" si="19"/>
        <v>43</v>
      </c>
      <c r="AJ102" s="2451"/>
      <c r="AK102" s="1424">
        <f>ROUND(IF(AF102=0,0,AI102/ABS(AF102)),3)</f>
        <v>7.5999999999999998E-2</v>
      </c>
      <c r="AO102" s="2393"/>
    </row>
    <row r="103" spans="1:41" ht="15" customHeight="1">
      <c r="A103" s="2425"/>
      <c r="B103" s="2434" t="s">
        <v>27</v>
      </c>
      <c r="C103" s="2006"/>
      <c r="D103" s="3834"/>
      <c r="E103" s="1429"/>
      <c r="F103" s="1773" t="s">
        <v>14</v>
      </c>
      <c r="G103" s="1429" t="s">
        <v>14</v>
      </c>
      <c r="H103" s="1773" t="s">
        <v>14</v>
      </c>
      <c r="I103" s="1429"/>
      <c r="J103" s="1773"/>
      <c r="K103" s="1982"/>
      <c r="L103" s="1773"/>
      <c r="M103" s="1982"/>
      <c r="N103" s="1773"/>
      <c r="O103" s="1982"/>
      <c r="P103" s="1773"/>
      <c r="Q103" s="1982"/>
      <c r="R103" s="1773"/>
      <c r="S103" s="1982"/>
      <c r="T103" s="1773"/>
      <c r="U103" s="1982"/>
      <c r="V103" s="1773"/>
      <c r="W103" s="1982"/>
      <c r="X103" s="1773"/>
      <c r="Y103" s="1982"/>
      <c r="Z103" s="1773"/>
      <c r="AA103" s="1983"/>
      <c r="AB103" s="1986"/>
      <c r="AC103" s="1789"/>
      <c r="AD103" s="2025"/>
      <c r="AE103" s="1986" t="s">
        <v>14</v>
      </c>
      <c r="AF103" s="1789"/>
      <c r="AG103" s="1990"/>
      <c r="AH103" s="2450"/>
      <c r="AI103" s="1429" t="s">
        <v>14</v>
      </c>
      <c r="AJ103" s="2451"/>
      <c r="AK103" s="1418" t="s">
        <v>14</v>
      </c>
      <c r="AO103" s="2393"/>
    </row>
    <row r="104" spans="1:41" ht="15" customHeight="1">
      <c r="A104" s="2425"/>
      <c r="B104" s="2469" t="s">
        <v>28</v>
      </c>
      <c r="C104" s="2006"/>
      <c r="D104" s="3834">
        <v>2741</v>
      </c>
      <c r="E104" s="1429"/>
      <c r="F104" s="1773">
        <v>1493.1999999999998</v>
      </c>
      <c r="G104" s="1429"/>
      <c r="H104" s="1773">
        <v>1799.1999999999998</v>
      </c>
      <c r="I104" s="1429"/>
      <c r="J104" s="1773">
        <v>995.69999999999982</v>
      </c>
      <c r="K104" s="1982"/>
      <c r="L104" s="1773">
        <v>1432.0000000000009</v>
      </c>
      <c r="M104" s="1982"/>
      <c r="N104" s="1773">
        <f t="shared" si="18"/>
        <v>1322.6000000000004</v>
      </c>
      <c r="O104" s="1982"/>
      <c r="P104" s="1773"/>
      <c r="Q104" s="1982"/>
      <c r="R104" s="1773"/>
      <c r="S104" s="1982"/>
      <c r="T104" s="1773"/>
      <c r="U104" s="1982"/>
      <c r="V104" s="1773"/>
      <c r="W104" s="1982"/>
      <c r="X104" s="1773"/>
      <c r="Y104" s="1982"/>
      <c r="Z104" s="1773"/>
      <c r="AA104" s="1983"/>
      <c r="AB104" s="1986"/>
      <c r="AC104" s="1789">
        <v>9783.7000000000007</v>
      </c>
      <c r="AD104" s="2025"/>
      <c r="AE104" s="1986" t="s">
        <v>14</v>
      </c>
      <c r="AF104" s="1789">
        <v>8247</v>
      </c>
      <c r="AG104" s="1990"/>
      <c r="AH104" s="2450"/>
      <c r="AI104" s="1429">
        <f t="shared" si="19"/>
        <v>1536.7</v>
      </c>
      <c r="AJ104" s="2451"/>
      <c r="AK104" s="1465">
        <f t="shared" ref="AK104:AK107" si="20">ROUND(IF(AF104=0,0,AI104/ABS(AF104)),3)</f>
        <v>0.186</v>
      </c>
      <c r="AO104" s="2393"/>
    </row>
    <row r="105" spans="1:41" ht="15" customHeight="1">
      <c r="A105" s="2425"/>
      <c r="B105" s="2434" t="s">
        <v>29</v>
      </c>
      <c r="C105" s="2006"/>
      <c r="D105" s="3834">
        <v>47.9</v>
      </c>
      <c r="E105" s="1429"/>
      <c r="F105" s="1773">
        <v>102.1</v>
      </c>
      <c r="G105" s="1429"/>
      <c r="H105" s="1773">
        <v>400.80000000000007</v>
      </c>
      <c r="I105" s="1429"/>
      <c r="J105" s="1773">
        <v>156.39999999999986</v>
      </c>
      <c r="K105" s="1982"/>
      <c r="L105" s="1773">
        <v>113.60000000000002</v>
      </c>
      <c r="M105" s="1982"/>
      <c r="N105" s="1773">
        <f t="shared" si="18"/>
        <v>317.49999999999989</v>
      </c>
      <c r="O105" s="1982"/>
      <c r="P105" s="1773"/>
      <c r="Q105" s="1982"/>
      <c r="R105" s="1773"/>
      <c r="S105" s="1982"/>
      <c r="T105" s="1773"/>
      <c r="U105" s="1982"/>
      <c r="V105" s="1773"/>
      <c r="W105" s="1982"/>
      <c r="X105" s="1773"/>
      <c r="Y105" s="1982"/>
      <c r="Z105" s="1773"/>
      <c r="AA105" s="1983"/>
      <c r="AB105" s="1986"/>
      <c r="AC105" s="1789">
        <v>1138.3</v>
      </c>
      <c r="AD105" s="2025"/>
      <c r="AE105" s="1986" t="s">
        <v>14</v>
      </c>
      <c r="AF105" s="1789">
        <v>1104.9000000000001</v>
      </c>
      <c r="AG105" s="1990"/>
      <c r="AH105" s="2450"/>
      <c r="AI105" s="1429">
        <f t="shared" si="19"/>
        <v>33.4</v>
      </c>
      <c r="AJ105" s="2451"/>
      <c r="AK105" s="1424">
        <f t="shared" si="20"/>
        <v>0.03</v>
      </c>
      <c r="AO105" s="2393"/>
    </row>
    <row r="106" spans="1:41" ht="15" customHeight="1">
      <c r="A106" s="2425"/>
      <c r="B106" s="2434" t="s">
        <v>30</v>
      </c>
      <c r="C106" s="2006"/>
      <c r="D106" s="3834">
        <v>4.5</v>
      </c>
      <c r="E106" s="1429"/>
      <c r="F106" s="1773">
        <v>29.6</v>
      </c>
      <c r="G106" s="1429"/>
      <c r="H106" s="1773">
        <v>9.1999999999999957</v>
      </c>
      <c r="I106" s="1429"/>
      <c r="J106" s="1773">
        <v>6.5</v>
      </c>
      <c r="K106" s="1982"/>
      <c r="L106" s="1773">
        <v>10.5</v>
      </c>
      <c r="M106" s="1982"/>
      <c r="N106" s="1773">
        <f t="shared" si="18"/>
        <v>19.400000000000006</v>
      </c>
      <c r="O106" s="1982"/>
      <c r="P106" s="1773"/>
      <c r="Q106" s="1982"/>
      <c r="R106" s="1773"/>
      <c r="S106" s="1982"/>
      <c r="T106" s="1773"/>
      <c r="U106" s="1982"/>
      <c r="V106" s="1773"/>
      <c r="W106" s="1982"/>
      <c r="X106" s="1773"/>
      <c r="Y106" s="1982"/>
      <c r="Z106" s="1773"/>
      <c r="AA106" s="1983"/>
      <c r="AB106" s="1986"/>
      <c r="AC106" s="1789">
        <v>79.7</v>
      </c>
      <c r="AD106" s="2025"/>
      <c r="AE106" s="1986" t="s">
        <v>14</v>
      </c>
      <c r="AF106" s="1789">
        <v>29.3</v>
      </c>
      <c r="AG106" s="1990"/>
      <c r="AH106" s="2450" t="s">
        <v>14</v>
      </c>
      <c r="AI106" s="1429">
        <f t="shared" si="19"/>
        <v>50.4</v>
      </c>
      <c r="AJ106" s="2451"/>
      <c r="AK106" s="1424">
        <f t="shared" si="20"/>
        <v>1.72</v>
      </c>
      <c r="AO106" s="2393"/>
    </row>
    <row r="107" spans="1:41" ht="15" customHeight="1">
      <c r="A107" s="2425"/>
      <c r="B107" s="2434" t="s">
        <v>31</v>
      </c>
      <c r="C107" s="2006"/>
      <c r="D107" s="3834">
        <v>43.3</v>
      </c>
      <c r="E107" s="1429"/>
      <c r="F107" s="1773">
        <v>100.3</v>
      </c>
      <c r="G107" s="1429"/>
      <c r="H107" s="1773">
        <v>283.79999999999995</v>
      </c>
      <c r="I107" s="1429"/>
      <c r="J107" s="1773">
        <v>318.80000000000018</v>
      </c>
      <c r="K107" s="1982"/>
      <c r="L107" s="1773">
        <v>343.19999999999982</v>
      </c>
      <c r="M107" s="1982"/>
      <c r="N107" s="1773">
        <f t="shared" si="18"/>
        <v>943.2</v>
      </c>
      <c r="O107" s="1982"/>
      <c r="P107" s="1773"/>
      <c r="Q107" s="1982"/>
      <c r="R107" s="1773"/>
      <c r="S107" s="1982"/>
      <c r="T107" s="1773"/>
      <c r="U107" s="1982"/>
      <c r="V107" s="1773"/>
      <c r="W107" s="1982"/>
      <c r="X107" s="1773"/>
      <c r="Y107" s="1982"/>
      <c r="Z107" s="1773"/>
      <c r="AA107" s="1983"/>
      <c r="AB107" s="1986"/>
      <c r="AC107" s="1789">
        <v>2032.6</v>
      </c>
      <c r="AD107" s="2025"/>
      <c r="AE107" s="1986" t="s">
        <v>14</v>
      </c>
      <c r="AF107" s="1789">
        <v>1357.6</v>
      </c>
      <c r="AG107" s="1990"/>
      <c r="AH107" s="2450"/>
      <c r="AI107" s="1429">
        <f t="shared" si="19"/>
        <v>675</v>
      </c>
      <c r="AJ107" s="2451"/>
      <c r="AK107" s="1424">
        <f t="shared" si="20"/>
        <v>0.497</v>
      </c>
      <c r="AM107" s="3827"/>
      <c r="AO107" s="2393"/>
    </row>
    <row r="108" spans="1:41" ht="15" customHeight="1">
      <c r="A108" s="2425"/>
      <c r="B108" s="2434" t="s">
        <v>32</v>
      </c>
      <c r="C108" s="2006"/>
      <c r="D108" s="3834">
        <v>5</v>
      </c>
      <c r="E108" s="1429"/>
      <c r="F108" s="1773">
        <v>7</v>
      </c>
      <c r="G108" s="1429"/>
      <c r="H108" s="1773">
        <v>210.4</v>
      </c>
      <c r="I108" s="1429"/>
      <c r="J108" s="1773">
        <v>25.299999999999983</v>
      </c>
      <c r="K108" s="1982"/>
      <c r="L108" s="1773">
        <v>11.699999999999989</v>
      </c>
      <c r="M108" s="1982"/>
      <c r="N108" s="1773">
        <f t="shared" si="18"/>
        <v>13.100000000000023</v>
      </c>
      <c r="O108" s="1982"/>
      <c r="P108" s="1773"/>
      <c r="Q108" s="1982"/>
      <c r="R108" s="1773"/>
      <c r="S108" s="1982"/>
      <c r="T108" s="1773"/>
      <c r="U108" s="1982"/>
      <c r="V108" s="1773"/>
      <c r="W108" s="1982"/>
      <c r="X108" s="1773"/>
      <c r="Y108" s="1982"/>
      <c r="Z108" s="1773"/>
      <c r="AA108" s="1983"/>
      <c r="AB108" s="1986"/>
      <c r="AC108" s="1789">
        <v>272.5</v>
      </c>
      <c r="AD108" s="2025"/>
      <c r="AE108" s="1986" t="s">
        <v>14</v>
      </c>
      <c r="AF108" s="1789">
        <v>30.6</v>
      </c>
      <c r="AG108" s="1990"/>
      <c r="AH108" s="2450"/>
      <c r="AI108" s="1429">
        <f t="shared" si="19"/>
        <v>241.9</v>
      </c>
      <c r="AJ108" s="2451"/>
      <c r="AK108" s="1465">
        <f>ROUND(IF(AF108=0,0,AI108/ABS(AF108)),3)</f>
        <v>7.9050000000000002</v>
      </c>
      <c r="AO108" s="2393"/>
    </row>
    <row r="109" spans="1:41" ht="15" customHeight="1">
      <c r="A109" s="2425"/>
      <c r="B109" s="2434" t="s">
        <v>33</v>
      </c>
      <c r="C109" s="2006"/>
      <c r="D109" s="3834">
        <v>9.5</v>
      </c>
      <c r="E109" s="1429"/>
      <c r="F109" s="1773">
        <v>22.4</v>
      </c>
      <c r="G109" s="1429"/>
      <c r="H109" s="1773">
        <v>15.300000000000004</v>
      </c>
      <c r="I109" s="1429"/>
      <c r="J109" s="1773">
        <v>0</v>
      </c>
      <c r="K109" s="1982"/>
      <c r="L109" s="1773">
        <v>25.099999999999994</v>
      </c>
      <c r="M109" s="1982"/>
      <c r="N109" s="1773">
        <f t="shared" si="18"/>
        <v>0.10000000000000853</v>
      </c>
      <c r="O109" s="1982"/>
      <c r="P109" s="1773"/>
      <c r="Q109" s="1982"/>
      <c r="R109" s="1773"/>
      <c r="S109" s="1982"/>
      <c r="T109" s="1773"/>
      <c r="U109" s="1982"/>
      <c r="V109" s="1773"/>
      <c r="W109" s="1982"/>
      <c r="X109" s="1773"/>
      <c r="Y109" s="1982"/>
      <c r="Z109" s="1773"/>
      <c r="AA109" s="1983"/>
      <c r="AB109" s="1986"/>
      <c r="AC109" s="1789">
        <v>72.400000000000006</v>
      </c>
      <c r="AD109" s="2025"/>
      <c r="AE109" s="1986" t="s">
        <v>14</v>
      </c>
      <c r="AF109" s="1789">
        <v>39.299999999999997</v>
      </c>
      <c r="AG109" s="2022"/>
      <c r="AH109" s="2470"/>
      <c r="AI109" s="1429">
        <f t="shared" si="19"/>
        <v>33.1</v>
      </c>
      <c r="AJ109" s="2471"/>
      <c r="AK109" s="1465">
        <f>ROUND(IF(AF109=0,1,AI109/ABS(AF109)),3)</f>
        <v>0.84199999999999997</v>
      </c>
      <c r="AO109" s="2393"/>
    </row>
    <row r="110" spans="1:41" ht="15" customHeight="1">
      <c r="A110" s="2425"/>
      <c r="B110" s="2443" t="s">
        <v>892</v>
      </c>
      <c r="C110" s="2006"/>
      <c r="D110" s="2026">
        <f>ROUND(SUM(D100:D109),1)</f>
        <v>3377.5</v>
      </c>
      <c r="E110" s="1447"/>
      <c r="F110" s="2026">
        <f>ROUND(SUM(F100:F109),1)</f>
        <v>5704.1</v>
      </c>
      <c r="G110" s="1447"/>
      <c r="H110" s="2026">
        <f>ROUND(SUM(H100:H109),1)</f>
        <v>6008.8</v>
      </c>
      <c r="I110" s="1430"/>
      <c r="J110" s="1446">
        <f>ROUND(SUM(J100:J109),1)</f>
        <v>2971.3</v>
      </c>
      <c r="K110" s="1430"/>
      <c r="L110" s="2026">
        <f>ROUND(SUM(L100:L109),1)</f>
        <v>2693.7</v>
      </c>
      <c r="M110" s="1430"/>
      <c r="N110" s="2026">
        <f>ROUND(SUM(N100:N109),1)</f>
        <v>4382.2</v>
      </c>
      <c r="O110" s="1430"/>
      <c r="P110" s="1446">
        <f>ROUND(SUM(P100:P109),1)</f>
        <v>0</v>
      </c>
      <c r="Q110" s="1430"/>
      <c r="R110" s="2026">
        <f>ROUND(SUM(R100:R109),1)</f>
        <v>0</v>
      </c>
      <c r="S110" s="1430"/>
      <c r="T110" s="2026">
        <f>ROUND(SUM(T100:T109),1)</f>
        <v>0</v>
      </c>
      <c r="U110" s="1430"/>
      <c r="V110" s="2026">
        <f>ROUND(SUM(V100:V109),1)</f>
        <v>0</v>
      </c>
      <c r="W110" s="1430"/>
      <c r="X110" s="2026">
        <f>ROUND(SUM(X100:X109),1)</f>
        <v>0</v>
      </c>
      <c r="Y110" s="1430"/>
      <c r="Z110" s="2026">
        <f>ROUND(SUM(Z100:Z109),1)</f>
        <v>0</v>
      </c>
      <c r="AA110" s="2037"/>
      <c r="AB110" s="2033"/>
      <c r="AC110" s="1446">
        <f>SUM(AC100:AC109)</f>
        <v>25137.599999999999</v>
      </c>
      <c r="AD110" s="2034"/>
      <c r="AE110" s="3122" t="s">
        <v>14</v>
      </c>
      <c r="AF110" s="1446">
        <f>ROUND(SUM(AF100:AF109),1)</f>
        <v>22262.1</v>
      </c>
      <c r="AG110" s="1430"/>
      <c r="AH110" s="2454"/>
      <c r="AI110" s="2026">
        <f>ROUND(SUM(+AC110-AF110),1)</f>
        <v>2875.5</v>
      </c>
      <c r="AJ110" s="1430"/>
      <c r="AK110" s="2472">
        <f>ROUND(SUM(AI110/AF110),3)</f>
        <v>0.129</v>
      </c>
      <c r="AO110" s="2393"/>
    </row>
    <row r="111" spans="1:41" ht="15" customHeight="1">
      <c r="A111" s="2425"/>
      <c r="B111" s="2028" t="s">
        <v>151</v>
      </c>
      <c r="C111" s="2006"/>
      <c r="D111" s="1429"/>
      <c r="E111" s="1429"/>
      <c r="F111" s="1429"/>
      <c r="G111" s="1429"/>
      <c r="H111" s="1429"/>
      <c r="I111" s="1429"/>
      <c r="J111" s="1984"/>
      <c r="K111" s="1990"/>
      <c r="L111" s="1990"/>
      <c r="M111" s="1990"/>
      <c r="N111" s="1990"/>
      <c r="O111" s="1990"/>
      <c r="P111" s="1979"/>
      <c r="Q111" s="1990"/>
      <c r="R111" s="1990"/>
      <c r="S111" s="1990"/>
      <c r="T111" s="1990"/>
      <c r="U111" s="1990"/>
      <c r="V111" s="1990"/>
      <c r="W111" s="1990"/>
      <c r="X111" s="1990"/>
      <c r="Y111" s="1990"/>
      <c r="Z111" s="1990"/>
      <c r="AA111" s="1449"/>
      <c r="AB111" s="2030"/>
      <c r="AC111" s="1984"/>
      <c r="AD111" s="1979"/>
      <c r="AE111" s="1981"/>
      <c r="AF111" s="1979"/>
      <c r="AG111" s="1990"/>
      <c r="AH111" s="2450"/>
      <c r="AI111" s="1429"/>
      <c r="AJ111" s="2451"/>
      <c r="AK111" s="1418"/>
      <c r="AO111" s="2393"/>
    </row>
    <row r="112" spans="1:41" ht="15" customHeight="1">
      <c r="A112" s="2425"/>
      <c r="B112" s="2028" t="s">
        <v>152</v>
      </c>
      <c r="C112" s="2006"/>
      <c r="D112" s="3834">
        <v>707.6</v>
      </c>
      <c r="E112" s="1429"/>
      <c r="F112" s="1773">
        <v>725.4</v>
      </c>
      <c r="G112" s="1429"/>
      <c r="H112" s="1773">
        <v>382.19999999999993</v>
      </c>
      <c r="I112" s="1429"/>
      <c r="J112" s="1773">
        <v>863.20000000000016</v>
      </c>
      <c r="K112" s="1982"/>
      <c r="L112" s="1773">
        <v>673.4</v>
      </c>
      <c r="M112" s="1982"/>
      <c r="N112" s="1773">
        <f t="shared" ref="N112:N114" si="21">$AC112-$D112-$F112-L112-J112-H112</f>
        <v>820.1999999999997</v>
      </c>
      <c r="O112" s="1982"/>
      <c r="P112" s="1773"/>
      <c r="Q112" s="1982"/>
      <c r="R112" s="1773"/>
      <c r="S112" s="1982"/>
      <c r="T112" s="1773"/>
      <c r="U112" s="1982"/>
      <c r="V112" s="1773"/>
      <c r="W112" s="1982"/>
      <c r="X112" s="1773"/>
      <c r="Y112" s="1982"/>
      <c r="Z112" s="1773"/>
      <c r="AA112" s="1983"/>
      <c r="AB112" s="1986"/>
      <c r="AC112" s="1789">
        <v>4172</v>
      </c>
      <c r="AD112" s="2025"/>
      <c r="AE112" s="1986" t="s">
        <v>14</v>
      </c>
      <c r="AF112" s="1789">
        <v>4387.3999999999996</v>
      </c>
      <c r="AG112" s="1990"/>
      <c r="AH112" s="2450"/>
      <c r="AI112" s="1429">
        <f>ROUND(SUM(+AC112-AF112),1)</f>
        <v>-215.4</v>
      </c>
      <c r="AJ112" s="2451"/>
      <c r="AK112" s="1424">
        <f>ROUND(IF(AF112=0,0,AI112/ABS(AF112)),3)</f>
        <v>-4.9000000000000002E-2</v>
      </c>
      <c r="AO112" s="2393"/>
    </row>
    <row r="113" spans="1:41" ht="15" customHeight="1">
      <c r="A113" s="2425"/>
      <c r="B113" s="2473" t="s">
        <v>153</v>
      </c>
      <c r="C113" s="2006"/>
      <c r="D113" s="3834">
        <v>136.69999999999999</v>
      </c>
      <c r="E113" s="1429"/>
      <c r="F113" s="1773">
        <v>234.2</v>
      </c>
      <c r="G113" s="1429"/>
      <c r="H113" s="1773">
        <v>183</v>
      </c>
      <c r="I113" s="1429"/>
      <c r="J113" s="1773">
        <v>118.89999999999992</v>
      </c>
      <c r="K113" s="1982"/>
      <c r="L113" s="1773">
        <v>240.90000000000003</v>
      </c>
      <c r="M113" s="1982"/>
      <c r="N113" s="1773">
        <f t="shared" si="21"/>
        <v>248.09999999999985</v>
      </c>
      <c r="O113" s="1982"/>
      <c r="P113" s="1773"/>
      <c r="Q113" s="1982"/>
      <c r="R113" s="1773"/>
      <c r="S113" s="1982"/>
      <c r="T113" s="1773"/>
      <c r="U113" s="1982"/>
      <c r="V113" s="1773"/>
      <c r="W113" s="1982"/>
      <c r="X113" s="1773"/>
      <c r="Y113" s="1982"/>
      <c r="Z113" s="1773"/>
      <c r="AA113" s="1983"/>
      <c r="AB113" s="1986"/>
      <c r="AC113" s="1789">
        <v>1161.8</v>
      </c>
      <c r="AD113" s="2025"/>
      <c r="AE113" s="1986" t="s">
        <v>14</v>
      </c>
      <c r="AF113" s="1789">
        <v>649.79999999999995</v>
      </c>
      <c r="AG113" s="1990"/>
      <c r="AH113" s="2450"/>
      <c r="AI113" s="1429">
        <f>ROUND(SUM(+AC113-AF113),1)</f>
        <v>512</v>
      </c>
      <c r="AJ113" s="2451"/>
      <c r="AK113" s="1424">
        <f>ROUND(IF(AF113=0,0,AI113/ABS(AF113)),3)</f>
        <v>0.78800000000000003</v>
      </c>
      <c r="AO113" s="2393"/>
    </row>
    <row r="114" spans="1:41" ht="15" customHeight="1">
      <c r="A114" s="2425"/>
      <c r="B114" s="2473" t="s">
        <v>154</v>
      </c>
      <c r="C114" s="2006"/>
      <c r="D114" s="3834">
        <v>810.3</v>
      </c>
      <c r="E114" s="2458"/>
      <c r="F114" s="1773">
        <v>2276.6000000000004</v>
      </c>
      <c r="G114" s="2458"/>
      <c r="H114" s="1773">
        <v>392.29999999999927</v>
      </c>
      <c r="I114" s="1429"/>
      <c r="J114" s="1773">
        <v>419.20000000000073</v>
      </c>
      <c r="K114" s="1982"/>
      <c r="L114" s="1773">
        <v>402.39999999999964</v>
      </c>
      <c r="M114" s="1982"/>
      <c r="N114" s="1773">
        <f t="shared" si="21"/>
        <v>611.89999999999964</v>
      </c>
      <c r="O114" s="1982"/>
      <c r="P114" s="1773"/>
      <c r="Q114" s="1982"/>
      <c r="R114" s="1773"/>
      <c r="S114" s="1982"/>
      <c r="T114" s="1773"/>
      <c r="U114" s="1982"/>
      <c r="V114" s="1773"/>
      <c r="W114" s="1982"/>
      <c r="X114" s="1773"/>
      <c r="Y114" s="1982"/>
      <c r="Z114" s="1773"/>
      <c r="AA114" s="1983"/>
      <c r="AB114" s="1986"/>
      <c r="AC114" s="1789">
        <v>4912.7</v>
      </c>
      <c r="AD114" s="2025"/>
      <c r="AE114" s="1986" t="s">
        <v>14</v>
      </c>
      <c r="AF114" s="1789">
        <v>4385.8999999999996</v>
      </c>
      <c r="AG114" s="1991"/>
      <c r="AH114" s="2450"/>
      <c r="AI114" s="2465">
        <f>ROUND(SUM(+AC114-AF114),1)</f>
        <v>526.79999999999995</v>
      </c>
      <c r="AJ114" s="2451"/>
      <c r="AK114" s="1427">
        <f>ROUND(IF(AF114=0,0,AI114/ABS(AF114)),3)</f>
        <v>0.12</v>
      </c>
      <c r="AO114" s="2393"/>
    </row>
    <row r="115" spans="1:41" ht="7.5" customHeight="1">
      <c r="A115" s="2425"/>
      <c r="B115" s="2028"/>
      <c r="C115" s="2006"/>
      <c r="D115" s="2466"/>
      <c r="E115" s="1429"/>
      <c r="F115" s="2466"/>
      <c r="G115" s="1429"/>
      <c r="H115" s="2466"/>
      <c r="I115" s="1429"/>
      <c r="J115" s="2467"/>
      <c r="K115" s="1990"/>
      <c r="L115" s="1989"/>
      <c r="M115" s="1990"/>
      <c r="N115" s="1989"/>
      <c r="O115" s="1990"/>
      <c r="P115" s="2035"/>
      <c r="Q115" s="1990"/>
      <c r="R115" s="2133"/>
      <c r="S115" s="1990"/>
      <c r="T115" s="1989"/>
      <c r="U115" s="1990"/>
      <c r="V115" s="1989"/>
      <c r="W115" s="1990"/>
      <c r="X115" s="1989"/>
      <c r="Y115" s="1990"/>
      <c r="Z115" s="1989"/>
      <c r="AA115" s="1997"/>
      <c r="AB115" s="2030"/>
      <c r="AC115" s="3123"/>
      <c r="AD115" s="1979"/>
      <c r="AE115" s="1981"/>
      <c r="AF115" s="2035"/>
      <c r="AG115" s="1991"/>
      <c r="AH115" s="2450"/>
      <c r="AI115" s="1429"/>
      <c r="AJ115" s="2451"/>
      <c r="AK115" s="1418"/>
      <c r="AO115" s="2393"/>
    </row>
    <row r="116" spans="1:41" ht="15" customHeight="1">
      <c r="A116" s="2425"/>
      <c r="B116" s="2401" t="s">
        <v>155</v>
      </c>
      <c r="C116" s="2006"/>
      <c r="D116" s="1447">
        <f>ROUND(SUM(D112:D114)+D110,1)</f>
        <v>5032.1000000000004</v>
      </c>
      <c r="E116" s="1447"/>
      <c r="F116" s="1447">
        <f>ROUND(SUM(F110:F114),1)</f>
        <v>8940.2999999999993</v>
      </c>
      <c r="G116" s="1447"/>
      <c r="H116" s="1447">
        <f>ROUND(SUM(H110:H114),1)</f>
        <v>6966.3</v>
      </c>
      <c r="I116" s="1447"/>
      <c r="J116" s="2034">
        <f>ROUND(SUM(J110:J114),1)</f>
        <v>4372.6000000000004</v>
      </c>
      <c r="K116" s="1447"/>
      <c r="L116" s="1447">
        <f>ROUND(SUM(L110:L114),1)</f>
        <v>4010.4</v>
      </c>
      <c r="M116" s="1447"/>
      <c r="N116" s="1447">
        <f>ROUND(SUM(N110:N114),1)</f>
        <v>6062.4</v>
      </c>
      <c r="O116" s="1447"/>
      <c r="P116" s="2034">
        <f>ROUND(SUM(P110:P114),1)</f>
        <v>0</v>
      </c>
      <c r="Q116" s="1447"/>
      <c r="R116" s="1447">
        <f>ROUND(SUM(R110:R114),1)</f>
        <v>0</v>
      </c>
      <c r="S116" s="1447"/>
      <c r="T116" s="1447">
        <f>ROUND(SUM(T110:T114),1)</f>
        <v>0</v>
      </c>
      <c r="U116" s="1447"/>
      <c r="V116" s="1447">
        <f>ROUND(SUM(V110:V114),1)</f>
        <v>0</v>
      </c>
      <c r="W116" s="1447"/>
      <c r="X116" s="1447">
        <f>ROUND(SUM(X110:X114),1)</f>
        <v>0</v>
      </c>
      <c r="Y116" s="1447"/>
      <c r="Z116" s="1447">
        <f>ROUND(SUM(Z110:Z114),1)</f>
        <v>0</v>
      </c>
      <c r="AA116" s="2037"/>
      <c r="AB116" s="2033"/>
      <c r="AC116" s="2034">
        <f>ROUND(SUM(AC110:AC114),1)</f>
        <v>35384.1</v>
      </c>
      <c r="AD116" s="2034"/>
      <c r="AE116" s="3122"/>
      <c r="AF116" s="2034">
        <f>ROUND(SUM(AF110:AF114),1)</f>
        <v>31685.200000000001</v>
      </c>
      <c r="AG116" s="1430"/>
      <c r="AH116" s="2454"/>
      <c r="AI116" s="1544">
        <f>ROUND(SUM(AI110:AI114),1)</f>
        <v>3698.9</v>
      </c>
      <c r="AJ116" s="1430"/>
      <c r="AK116" s="2474">
        <f>ROUND(SUM(AI116/AF116),3)</f>
        <v>0.11700000000000001</v>
      </c>
      <c r="AO116" s="2393"/>
    </row>
    <row r="117" spans="1:41" ht="15" customHeight="1">
      <c r="A117" s="2425"/>
      <c r="B117" s="2028"/>
      <c r="C117" s="2006"/>
      <c r="D117" s="2466"/>
      <c r="E117" s="1429"/>
      <c r="F117" s="2466"/>
      <c r="G117" s="1429"/>
      <c r="H117" s="2466"/>
      <c r="I117" s="1429"/>
      <c r="J117" s="2467"/>
      <c r="K117" s="1990"/>
      <c r="L117" s="1989"/>
      <c r="M117" s="1990"/>
      <c r="N117" s="1989"/>
      <c r="O117" s="1990"/>
      <c r="P117" s="2035"/>
      <c r="Q117" s="1990"/>
      <c r="R117" s="1989"/>
      <c r="S117" s="1990"/>
      <c r="T117" s="1989"/>
      <c r="U117" s="1990"/>
      <c r="V117" s="1989"/>
      <c r="W117" s="1990"/>
      <c r="X117" s="1989"/>
      <c r="Y117" s="1990"/>
      <c r="Z117" s="1989"/>
      <c r="AA117" s="1997"/>
      <c r="AB117" s="2030"/>
      <c r="AC117" s="3123"/>
      <c r="AD117" s="1979"/>
      <c r="AE117" s="1981"/>
      <c r="AF117" s="2035"/>
      <c r="AG117" s="1991"/>
      <c r="AH117" s="2450"/>
      <c r="AI117" s="1429"/>
      <c r="AJ117" s="2451"/>
      <c r="AK117" s="1418"/>
      <c r="AO117" s="2393"/>
    </row>
    <row r="118" spans="1:41" ht="15" customHeight="1">
      <c r="A118" s="2425"/>
      <c r="B118" s="2401" t="s">
        <v>156</v>
      </c>
      <c r="C118" s="2006"/>
      <c r="D118" s="1429"/>
      <c r="E118" s="1429"/>
      <c r="F118" s="1429"/>
      <c r="G118" s="1429"/>
      <c r="H118" s="1429"/>
      <c r="I118" s="1429"/>
      <c r="J118" s="1984"/>
      <c r="K118" s="1990"/>
      <c r="L118" s="1990"/>
      <c r="M118" s="1990"/>
      <c r="N118" s="1990"/>
      <c r="O118" s="1990"/>
      <c r="P118" s="1979"/>
      <c r="Q118" s="1990"/>
      <c r="R118" s="1990"/>
      <c r="S118" s="1990"/>
      <c r="T118" s="1990"/>
      <c r="U118" s="1990"/>
      <c r="V118" s="1990"/>
      <c r="W118" s="1990"/>
      <c r="X118" s="1990"/>
      <c r="Y118" s="1990"/>
      <c r="Z118" s="1990"/>
      <c r="AA118" s="1449"/>
      <c r="AB118" s="2030"/>
      <c r="AC118" s="1984"/>
      <c r="AD118" s="1979"/>
      <c r="AE118" s="1981"/>
      <c r="AF118" s="1979"/>
      <c r="AG118" s="1990"/>
      <c r="AH118" s="2450"/>
      <c r="AI118" s="1429"/>
      <c r="AJ118" s="2451"/>
      <c r="AK118" s="1418"/>
      <c r="AO118" s="2393"/>
    </row>
    <row r="119" spans="1:41" ht="15" customHeight="1">
      <c r="A119" s="2425"/>
      <c r="B119" s="2401" t="s">
        <v>44</v>
      </c>
      <c r="C119" s="2006"/>
      <c r="D119" s="1447">
        <f>ROUND(SUM(D96-D116),1)</f>
        <v>-394.6</v>
      </c>
      <c r="E119" s="1447"/>
      <c r="F119" s="1447">
        <f>ROUND(SUM(F96-F116),1)</f>
        <v>-3318.7</v>
      </c>
      <c r="G119" s="1447"/>
      <c r="H119" s="1447">
        <f>ROUND(SUM(H96-H116),1)</f>
        <v>-1778.1</v>
      </c>
      <c r="I119" s="1447"/>
      <c r="J119" s="2034">
        <f>ROUND(SUM(J96-J116),1)</f>
        <v>-1815.8</v>
      </c>
      <c r="K119" s="1447"/>
      <c r="L119" s="1447">
        <f>ROUND(SUM(L96-L116),1)</f>
        <v>-1455.1</v>
      </c>
      <c r="M119" s="1447"/>
      <c r="N119" s="1447">
        <f>ROUND(SUM(N96-N116),1)</f>
        <v>-302.60000000000002</v>
      </c>
      <c r="O119" s="1447"/>
      <c r="P119" s="2034">
        <f>ROUND(SUM(P96-P116),1)</f>
        <v>0</v>
      </c>
      <c r="Q119" s="1447"/>
      <c r="R119" s="1447">
        <f>ROUND(SUM(R96-R116),1)</f>
        <v>0</v>
      </c>
      <c r="S119" s="1447"/>
      <c r="T119" s="1447">
        <f>ROUND(SUM(T96-T116),1)</f>
        <v>0</v>
      </c>
      <c r="U119" s="1447"/>
      <c r="V119" s="1447">
        <f>ROUND(SUM(V96-V116),1)</f>
        <v>0</v>
      </c>
      <c r="W119" s="1447"/>
      <c r="X119" s="1447">
        <f>ROUND(SUM(X96-X116),1)</f>
        <v>0</v>
      </c>
      <c r="Y119" s="1447"/>
      <c r="Z119" s="1447">
        <f>ROUND(SUM(Z96-Z116),1)</f>
        <v>0</v>
      </c>
      <c r="AA119" s="2037"/>
      <c r="AB119" s="2033"/>
      <c r="AC119" s="2034">
        <f>ROUND(SUM(AC96-AC116),1)</f>
        <v>-9064.9</v>
      </c>
      <c r="AD119" s="2034"/>
      <c r="AE119" s="3122"/>
      <c r="AF119" s="2034">
        <f>ROUND(SUM(AF96-AF116),1)</f>
        <v>-5594.7</v>
      </c>
      <c r="AG119" s="1447"/>
      <c r="AH119" s="2454"/>
      <c r="AI119" s="2036">
        <f>ROUND(SUM(+AC119-AF119),1)</f>
        <v>-3470.2</v>
      </c>
      <c r="AJ119" s="1430"/>
      <c r="AK119" s="2480">
        <f>-ROUND(AI119/AF119,3)</f>
        <v>-0.62</v>
      </c>
      <c r="AO119" s="2393"/>
    </row>
    <row r="120" spans="1:41" ht="15" customHeight="1">
      <c r="A120" s="2425"/>
      <c r="B120" s="2028"/>
      <c r="C120" s="2006"/>
      <c r="D120" s="2466"/>
      <c r="E120" s="1429"/>
      <c r="F120" s="2466"/>
      <c r="G120" s="1429"/>
      <c r="H120" s="2466"/>
      <c r="I120" s="1429"/>
      <c r="J120" s="2467"/>
      <c r="K120" s="1990"/>
      <c r="L120" s="1989"/>
      <c r="M120" s="1990"/>
      <c r="N120" s="1989"/>
      <c r="O120" s="1990"/>
      <c r="P120" s="2035"/>
      <c r="Q120" s="1990"/>
      <c r="R120" s="1989"/>
      <c r="S120" s="1990"/>
      <c r="T120" s="1989"/>
      <c r="U120" s="1990"/>
      <c r="V120" s="1989"/>
      <c r="W120" s="1990"/>
      <c r="X120" s="1989"/>
      <c r="Y120" s="1990"/>
      <c r="Z120" s="1989"/>
      <c r="AA120" s="1997"/>
      <c r="AB120" s="2030"/>
      <c r="AC120" s="3123"/>
      <c r="AD120" s="1979"/>
      <c r="AE120" s="1981"/>
      <c r="AF120" s="2035"/>
      <c r="AG120" s="1989"/>
      <c r="AH120" s="2450"/>
      <c r="AI120" s="1429"/>
      <c r="AJ120" s="2451"/>
      <c r="AK120" s="1418"/>
      <c r="AO120" s="2393"/>
    </row>
    <row r="121" spans="1:41" ht="15" customHeight="1">
      <c r="A121" s="2425"/>
      <c r="B121" s="2401" t="s">
        <v>45</v>
      </c>
      <c r="C121" s="2006"/>
      <c r="D121" s="1429"/>
      <c r="E121" s="1429"/>
      <c r="F121" s="1429"/>
      <c r="G121" s="1429"/>
      <c r="H121" s="1429"/>
      <c r="I121" s="1429"/>
      <c r="J121" s="1984"/>
      <c r="K121" s="1990"/>
      <c r="L121" s="1990"/>
      <c r="M121" s="1990"/>
      <c r="N121" s="1990"/>
      <c r="O121" s="1990"/>
      <c r="P121" s="1979"/>
      <c r="Q121" s="1990"/>
      <c r="R121" s="1990"/>
      <c r="S121" s="1990"/>
      <c r="T121" s="1990"/>
      <c r="U121" s="1990"/>
      <c r="V121" s="1990"/>
      <c r="W121" s="1990"/>
      <c r="X121" s="1990"/>
      <c r="Y121" s="1990"/>
      <c r="Z121" s="1990"/>
      <c r="AA121" s="1449"/>
      <c r="AB121" s="2030"/>
      <c r="AC121" s="1984"/>
      <c r="AD121" s="1979"/>
      <c r="AE121" s="1981"/>
      <c r="AF121" s="1979"/>
      <c r="AG121" s="1990"/>
      <c r="AH121" s="2450"/>
      <c r="AI121" s="1429"/>
      <c r="AJ121" s="2451"/>
      <c r="AK121" s="1418"/>
      <c r="AO121" s="2393"/>
    </row>
    <row r="122" spans="1:41" ht="15" customHeight="1">
      <c r="A122" s="2425"/>
      <c r="B122" s="2401"/>
      <c r="C122" s="2006"/>
      <c r="D122" s="1429"/>
      <c r="E122" s="1429"/>
      <c r="F122" s="1429"/>
      <c r="G122" s="1429"/>
      <c r="H122" s="1429"/>
      <c r="I122" s="1429"/>
      <c r="J122" s="1984"/>
      <c r="K122" s="1990"/>
      <c r="L122" s="1990"/>
      <c r="M122" s="1990"/>
      <c r="N122" s="1990"/>
      <c r="O122" s="1990"/>
      <c r="P122" s="1979"/>
      <c r="Q122" s="1990"/>
      <c r="R122" s="1990"/>
      <c r="S122" s="1990"/>
      <c r="T122" s="1990"/>
      <c r="U122" s="1990"/>
      <c r="V122" s="1990"/>
      <c r="W122" s="1990"/>
      <c r="X122" s="1990"/>
      <c r="Y122" s="1990"/>
      <c r="Z122" s="1990"/>
      <c r="AA122" s="1449"/>
      <c r="AB122" s="2030"/>
      <c r="AC122" s="1984"/>
      <c r="AD122" s="1979"/>
      <c r="AE122" s="1981"/>
      <c r="AF122" s="1979"/>
      <c r="AG122" s="1990"/>
      <c r="AH122" s="2450"/>
      <c r="AI122" s="1429"/>
      <c r="AJ122" s="2451"/>
      <c r="AK122" s="1418"/>
      <c r="AO122" s="2393"/>
    </row>
    <row r="123" spans="1:41" ht="15" customHeight="1">
      <c r="A123" s="2425"/>
      <c r="B123" s="2475" t="s">
        <v>903</v>
      </c>
      <c r="C123" s="2168"/>
      <c r="D123" s="3834">
        <v>3262.7</v>
      </c>
      <c r="E123" s="1984"/>
      <c r="F123" s="1773">
        <v>4916.9000000000005</v>
      </c>
      <c r="G123" s="1984"/>
      <c r="H123" s="1773">
        <v>2958.1999999999989</v>
      </c>
      <c r="I123" s="1984"/>
      <c r="J123" s="1773">
        <v>1411.300000000002</v>
      </c>
      <c r="K123" s="1982"/>
      <c r="L123" s="1773">
        <v>1149.8999999999978</v>
      </c>
      <c r="M123" s="1982"/>
      <c r="N123" s="1773">
        <f>$AC123-$D123-$F123-L123-J123-H123</f>
        <v>3306.7</v>
      </c>
      <c r="O123" s="1982"/>
      <c r="P123" s="1773"/>
      <c r="Q123" s="1982"/>
      <c r="R123" s="1773"/>
      <c r="S123" s="1982"/>
      <c r="T123" s="1773"/>
      <c r="U123" s="1982"/>
      <c r="V123" s="1773"/>
      <c r="W123" s="1982"/>
      <c r="X123" s="1773"/>
      <c r="Y123" s="1982"/>
      <c r="Z123" s="1773"/>
      <c r="AA123" s="1983"/>
      <c r="AB123" s="1986"/>
      <c r="AC123" s="1789">
        <v>17005.7</v>
      </c>
      <c r="AD123" s="2025"/>
      <c r="AE123" s="1986" t="s">
        <v>14</v>
      </c>
      <c r="AF123" s="1789">
        <v>11010.4</v>
      </c>
      <c r="AG123" s="1979"/>
      <c r="AH123" s="2450"/>
      <c r="AI123" s="1429">
        <f>ROUND(SUM(+AC123-AF123),1)</f>
        <v>5995.3</v>
      </c>
      <c r="AJ123" s="2451"/>
      <c r="AK123" s="1424">
        <f t="shared" ref="AK123:AK127" si="22">ROUND(IF(AF123=0,0,AI123/ABS(AF123)),3)</f>
        <v>0.54500000000000004</v>
      </c>
      <c r="AO123" s="2393"/>
    </row>
    <row r="124" spans="1:41" s="2393" customFormat="1" ht="15" customHeight="1">
      <c r="A124" s="2438"/>
      <c r="B124" s="2475" t="s">
        <v>923</v>
      </c>
      <c r="C124" s="2168"/>
      <c r="D124" s="3834">
        <v>870</v>
      </c>
      <c r="E124" s="1984"/>
      <c r="F124" s="1773">
        <v>690.09999999999991</v>
      </c>
      <c r="G124" s="1984"/>
      <c r="H124" s="1773">
        <v>1351.7000000000003</v>
      </c>
      <c r="I124" s="1984"/>
      <c r="J124" s="1773">
        <v>946.29999999999973</v>
      </c>
      <c r="K124" s="1982"/>
      <c r="L124" s="1773">
        <v>912.79999999999973</v>
      </c>
      <c r="M124" s="1982"/>
      <c r="N124" s="1773">
        <f t="shared" ref="N124:N130" si="23">$AC124-$D124-$F124-L124-J124-H124</f>
        <v>1203.2000000000003</v>
      </c>
      <c r="O124" s="1982"/>
      <c r="P124" s="1773"/>
      <c r="Q124" s="1982"/>
      <c r="R124" s="1773"/>
      <c r="S124" s="1982"/>
      <c r="T124" s="1773"/>
      <c r="U124" s="1982"/>
      <c r="V124" s="1773"/>
      <c r="W124" s="1982"/>
      <c r="X124" s="1773"/>
      <c r="Y124" s="1982"/>
      <c r="Z124" s="1773"/>
      <c r="AA124" s="1983"/>
      <c r="AB124" s="1986"/>
      <c r="AC124" s="1789">
        <v>5974.1</v>
      </c>
      <c r="AD124" s="2025"/>
      <c r="AE124" s="1986" t="s">
        <v>14</v>
      </c>
      <c r="AF124" s="1789">
        <v>2510.4</v>
      </c>
      <c r="AG124" s="1979"/>
      <c r="AH124" s="2476"/>
      <c r="AI124" s="1984">
        <f>ROUND(SUM(+AC124-AF124),1)</f>
        <v>3463.7</v>
      </c>
      <c r="AJ124" s="2025"/>
      <c r="AK124" s="1708">
        <f t="shared" si="22"/>
        <v>1.38</v>
      </c>
      <c r="AL124" s="2391"/>
    </row>
    <row r="125" spans="1:41" s="2393" customFormat="1" ht="15" customHeight="1">
      <c r="A125" s="2438"/>
      <c r="B125" s="2475" t="s">
        <v>904</v>
      </c>
      <c r="C125" s="2168"/>
      <c r="D125" s="3834">
        <v>86.8</v>
      </c>
      <c r="E125" s="1984"/>
      <c r="F125" s="1773">
        <v>110.00000000000001</v>
      </c>
      <c r="G125" s="1984"/>
      <c r="H125" s="1773">
        <v>115.09999999999995</v>
      </c>
      <c r="I125" s="1984"/>
      <c r="J125" s="1773">
        <v>128.70000000000005</v>
      </c>
      <c r="K125" s="1982"/>
      <c r="L125" s="1773">
        <v>136.60000000000002</v>
      </c>
      <c r="M125" s="1982"/>
      <c r="N125" s="1773">
        <f t="shared" si="23"/>
        <v>129.80000000000001</v>
      </c>
      <c r="O125" s="1982"/>
      <c r="P125" s="1773"/>
      <c r="Q125" s="1982"/>
      <c r="R125" s="1773"/>
      <c r="S125" s="1982"/>
      <c r="T125" s="1773"/>
      <c r="U125" s="1982"/>
      <c r="V125" s="1773"/>
      <c r="W125" s="1982"/>
      <c r="X125" s="1773"/>
      <c r="Y125" s="1982"/>
      <c r="Z125" s="1773"/>
      <c r="AA125" s="1983"/>
      <c r="AB125" s="1986"/>
      <c r="AC125" s="1789">
        <v>707</v>
      </c>
      <c r="AD125" s="2025"/>
      <c r="AE125" s="1986" t="s">
        <v>14</v>
      </c>
      <c r="AF125" s="1789">
        <v>298.60000000000002</v>
      </c>
      <c r="AG125" s="1979"/>
      <c r="AH125" s="2476"/>
      <c r="AI125" s="1984">
        <f>ROUND(SUM(+AC125-AF125),1)</f>
        <v>408.4</v>
      </c>
      <c r="AJ125" s="2025"/>
      <c r="AK125" s="1708">
        <f t="shared" si="22"/>
        <v>1.3680000000000001</v>
      </c>
      <c r="AL125" s="2391"/>
    </row>
    <row r="126" spans="1:41" s="2393" customFormat="1" ht="15" customHeight="1">
      <c r="A126" s="2438"/>
      <c r="B126" s="2477" t="s">
        <v>158</v>
      </c>
      <c r="C126" s="2168"/>
      <c r="D126" s="3834">
        <v>108.00000000000018</v>
      </c>
      <c r="E126" s="1984"/>
      <c r="F126" s="1773">
        <v>94.799999999998803</v>
      </c>
      <c r="G126" s="1984"/>
      <c r="H126" s="1773">
        <v>173.10000000000122</v>
      </c>
      <c r="I126" s="1984"/>
      <c r="J126" s="1773">
        <v>187.70000000000095</v>
      </c>
      <c r="K126" s="1982"/>
      <c r="L126" s="1773">
        <v>115.2999999999991</v>
      </c>
      <c r="M126" s="1982"/>
      <c r="N126" s="1773">
        <f t="shared" si="23"/>
        <v>433.69999999999783</v>
      </c>
      <c r="O126" s="1982"/>
      <c r="P126" s="1773"/>
      <c r="Q126" s="1982"/>
      <c r="R126" s="1773"/>
      <c r="S126" s="1982"/>
      <c r="T126" s="1773"/>
      <c r="U126" s="1982"/>
      <c r="V126" s="1773"/>
      <c r="W126" s="1982"/>
      <c r="X126" s="1773"/>
      <c r="Y126" s="1982"/>
      <c r="Z126" s="1773"/>
      <c r="AA126" s="1983"/>
      <c r="AB126" s="1986"/>
      <c r="AC126" s="1789">
        <v>1112.5999999999981</v>
      </c>
      <c r="AD126" s="2025"/>
      <c r="AE126" s="1986" t="s">
        <v>14</v>
      </c>
      <c r="AF126" s="1789">
        <v>825.30000000000098</v>
      </c>
      <c r="AG126" s="1979"/>
      <c r="AH126" s="2476"/>
      <c r="AI126" s="1984">
        <f>ROUND(SUM(+AC126-AF126),1)</f>
        <v>287.3</v>
      </c>
      <c r="AJ126" s="2025"/>
      <c r="AK126" s="1713">
        <f t="shared" si="22"/>
        <v>0.34799999999999998</v>
      </c>
      <c r="AL126" s="2391"/>
    </row>
    <row r="127" spans="1:41" ht="15" customHeight="1">
      <c r="A127" s="2425" t="s">
        <v>14</v>
      </c>
      <c r="B127" s="2028" t="s">
        <v>159</v>
      </c>
      <c r="C127" s="2006"/>
      <c r="D127" s="3834">
        <v>-485.70000000000005</v>
      </c>
      <c r="E127" s="1429"/>
      <c r="F127" s="1773">
        <v>-341.4</v>
      </c>
      <c r="G127" s="1429"/>
      <c r="H127" s="1773">
        <v>-715.6</v>
      </c>
      <c r="I127" s="1429"/>
      <c r="J127" s="1773">
        <v>-296.29999999999995</v>
      </c>
      <c r="K127" s="1982"/>
      <c r="L127" s="1773">
        <v>-573.00000000000011</v>
      </c>
      <c r="M127" s="1982"/>
      <c r="N127" s="1773">
        <f t="shared" si="23"/>
        <v>-414.19999999999993</v>
      </c>
      <c r="O127" s="1982"/>
      <c r="P127" s="1773"/>
      <c r="Q127" s="1982"/>
      <c r="R127" s="1773"/>
      <c r="S127" s="1982"/>
      <c r="T127" s="1773"/>
      <c r="U127" s="1982"/>
      <c r="V127" s="1773"/>
      <c r="W127" s="1982"/>
      <c r="X127" s="1773"/>
      <c r="Y127" s="1982"/>
      <c r="Z127" s="1773"/>
      <c r="AA127" s="1983"/>
      <c r="AB127" s="1986"/>
      <c r="AC127" s="1789">
        <v>-2826.2</v>
      </c>
      <c r="AD127" s="2025"/>
      <c r="AE127" s="1986" t="s">
        <v>14</v>
      </c>
      <c r="AF127" s="1789">
        <v>-816.6</v>
      </c>
      <c r="AG127" s="1990"/>
      <c r="AH127" s="2450"/>
      <c r="AI127" s="1429">
        <f>ROUND(SUM(+AC127-AF127)*-1,1)</f>
        <v>2009.6</v>
      </c>
      <c r="AJ127" s="2451"/>
      <c r="AK127" s="1465">
        <f t="shared" si="22"/>
        <v>2.4609999999999999</v>
      </c>
      <c r="AO127" s="2393"/>
    </row>
    <row r="128" spans="1:41" s="2393" customFormat="1" ht="15" customHeight="1">
      <c r="A128" s="2438"/>
      <c r="B128" s="2478" t="s">
        <v>1140</v>
      </c>
      <c r="C128" s="2168"/>
      <c r="D128" s="3834">
        <v>0</v>
      </c>
      <c r="E128" s="1984"/>
      <c r="F128" s="1773">
        <v>0</v>
      </c>
      <c r="G128" s="1984"/>
      <c r="H128" s="1773">
        <v>-100.5</v>
      </c>
      <c r="I128" s="1984"/>
      <c r="J128" s="1773">
        <v>0</v>
      </c>
      <c r="K128" s="1982"/>
      <c r="L128" s="1773">
        <v>0</v>
      </c>
      <c r="M128" s="1982"/>
      <c r="N128" s="1773">
        <f t="shared" si="23"/>
        <v>-16.5</v>
      </c>
      <c r="O128" s="1982"/>
      <c r="P128" s="1773"/>
      <c r="Q128" s="1982"/>
      <c r="R128" s="1773"/>
      <c r="S128" s="1982"/>
      <c r="T128" s="1773"/>
      <c r="U128" s="1982"/>
      <c r="V128" s="1773"/>
      <c r="W128" s="1982"/>
      <c r="X128" s="1773"/>
      <c r="Y128" s="1982"/>
      <c r="Z128" s="1773"/>
      <c r="AA128" s="1983"/>
      <c r="AB128" s="1986"/>
      <c r="AC128" s="1789">
        <v>-117</v>
      </c>
      <c r="AD128" s="2025"/>
      <c r="AE128" s="1986" t="s">
        <v>14</v>
      </c>
      <c r="AF128" s="1789">
        <v>-251</v>
      </c>
      <c r="AG128" s="1979"/>
      <c r="AH128" s="2476"/>
      <c r="AI128" s="1984">
        <f>ROUND(SUM(+AC128-AF128)*-1,1)</f>
        <v>-134</v>
      </c>
      <c r="AJ128" s="2025"/>
      <c r="AK128" s="1424">
        <f>ROUND(IF(AF128=0,0,AI128/ABS(AF128)),3)</f>
        <v>-0.53400000000000003</v>
      </c>
      <c r="AL128" s="2391"/>
    </row>
    <row r="129" spans="1:41" s="2393" customFormat="1" ht="15" customHeight="1">
      <c r="A129" s="2438"/>
      <c r="B129" s="2439" t="s">
        <v>160</v>
      </c>
      <c r="C129" s="2168"/>
      <c r="D129" s="3834">
        <v>-162.6</v>
      </c>
      <c r="E129" s="1429"/>
      <c r="F129" s="1773">
        <v>21.299999999999983</v>
      </c>
      <c r="G129" s="1429"/>
      <c r="H129" s="1773">
        <v>21.200000000000003</v>
      </c>
      <c r="I129" s="1429"/>
      <c r="J129" s="1773">
        <v>-55.699999999999974</v>
      </c>
      <c r="K129" s="1982"/>
      <c r="L129" s="1773">
        <v>7.6999999999999886</v>
      </c>
      <c r="M129" s="1982"/>
      <c r="N129" s="1773">
        <f t="shared" si="23"/>
        <v>-11.800000000000011</v>
      </c>
      <c r="O129" s="1982"/>
      <c r="P129" s="1773"/>
      <c r="Q129" s="1982"/>
      <c r="R129" s="1773"/>
      <c r="S129" s="1982"/>
      <c r="T129" s="1773"/>
      <c r="U129" s="1982"/>
      <c r="V129" s="1773"/>
      <c r="W129" s="1982"/>
      <c r="X129" s="1773"/>
      <c r="Y129" s="1982"/>
      <c r="Z129" s="1773"/>
      <c r="AA129" s="1983"/>
      <c r="AB129" s="1986"/>
      <c r="AC129" s="1789">
        <v>-179.9</v>
      </c>
      <c r="AD129" s="2025"/>
      <c r="AE129" s="1986" t="s">
        <v>14</v>
      </c>
      <c r="AF129" s="1789">
        <v>-91.1</v>
      </c>
      <c r="AG129" s="1979"/>
      <c r="AH129" s="2476"/>
      <c r="AI129" s="1984">
        <f>ROUND(SUM(+AC129-AF129)*-1,1)</f>
        <v>88.8</v>
      </c>
      <c r="AJ129" s="2025"/>
      <c r="AK129" s="1708">
        <f>ROUND(IF(AF129=0,0,AI129/ABS(AF129)),3)</f>
        <v>0.97499999999999998</v>
      </c>
      <c r="AL129" s="2391"/>
    </row>
    <row r="130" spans="1:41" s="2393" customFormat="1" ht="15" customHeight="1">
      <c r="A130" s="2438"/>
      <c r="B130" s="2439" t="s">
        <v>161</v>
      </c>
      <c r="C130" s="2168"/>
      <c r="D130" s="3834">
        <v>-227.79999999999995</v>
      </c>
      <c r="E130" s="1984"/>
      <c r="F130" s="1773">
        <v>-34.099999999999909</v>
      </c>
      <c r="G130" s="1984"/>
      <c r="H130" s="1773">
        <v>-917.20000000000027</v>
      </c>
      <c r="I130" s="1984"/>
      <c r="J130" s="1773">
        <v>-369.49999999999977</v>
      </c>
      <c r="K130" s="1982"/>
      <c r="L130" s="1773">
        <v>-106.00000000000045</v>
      </c>
      <c r="M130" s="1982"/>
      <c r="N130" s="1773">
        <f t="shared" si="23"/>
        <v>-163.90000000000009</v>
      </c>
      <c r="O130" s="1982"/>
      <c r="P130" s="1773"/>
      <c r="Q130" s="1982"/>
      <c r="R130" s="1773"/>
      <c r="S130" s="1982"/>
      <c r="T130" s="1773"/>
      <c r="U130" s="1982"/>
      <c r="V130" s="1773"/>
      <c r="W130" s="1982"/>
      <c r="X130" s="1773"/>
      <c r="Y130" s="1982"/>
      <c r="Z130" s="1773"/>
      <c r="AA130" s="1983"/>
      <c r="AB130" s="1986"/>
      <c r="AC130" s="1789">
        <v>-1818.5000000000005</v>
      </c>
      <c r="AD130" s="2025"/>
      <c r="AE130" s="1986" t="s">
        <v>14</v>
      </c>
      <c r="AF130" s="1789">
        <v>-1393.7000000000003</v>
      </c>
      <c r="AG130" s="1961"/>
      <c r="AH130" s="2476"/>
      <c r="AI130" s="2479">
        <f>ROUND(SUM(+AC130-AF130)*-1,1)</f>
        <v>424.8</v>
      </c>
      <c r="AJ130" s="2025"/>
      <c r="AK130" s="1796">
        <f>ROUND(IF(AF130=0,0,AI130/ABS(AF130)),3)</f>
        <v>0.30499999999999999</v>
      </c>
      <c r="AL130" s="2391"/>
    </row>
    <row r="131" spans="1:41" ht="5.15" customHeight="1">
      <c r="A131" s="2425"/>
      <c r="B131" s="2439"/>
      <c r="C131" s="2168"/>
      <c r="D131" s="2035"/>
      <c r="E131" s="1979"/>
      <c r="F131" s="2035"/>
      <c r="G131" s="1979"/>
      <c r="H131" s="2035" t="s">
        <v>14</v>
      </c>
      <c r="I131" s="1979"/>
      <c r="J131" s="2035"/>
      <c r="K131" s="1979"/>
      <c r="L131" s="2035"/>
      <c r="M131" s="1979"/>
      <c r="N131" s="2035"/>
      <c r="O131" s="1979"/>
      <c r="P131" s="2035"/>
      <c r="Q131" s="1979"/>
      <c r="R131" s="2035"/>
      <c r="S131" s="1979"/>
      <c r="T131" s="2035"/>
      <c r="U131" s="1979"/>
      <c r="V131" s="2035"/>
      <c r="W131" s="1979"/>
      <c r="X131" s="2035"/>
      <c r="Y131" s="1979"/>
      <c r="Z131" s="2035"/>
      <c r="AA131" s="2002"/>
      <c r="AB131" s="2031"/>
      <c r="AC131" s="3123"/>
      <c r="AD131" s="1979"/>
      <c r="AE131" s="1981"/>
      <c r="AF131" s="2035"/>
      <c r="AG131" s="1961"/>
      <c r="AH131" s="2450"/>
      <c r="AI131" s="1429"/>
      <c r="AJ131" s="2451"/>
      <c r="AK131" s="1418"/>
      <c r="AO131" s="2393"/>
    </row>
    <row r="132" spans="1:41" ht="15" customHeight="1">
      <c r="A132" s="2425"/>
      <c r="B132" s="2401" t="s">
        <v>162</v>
      </c>
      <c r="C132" s="2006"/>
      <c r="D132" s="1990"/>
      <c r="E132" s="1990"/>
      <c r="F132" s="1990"/>
      <c r="G132" s="1990"/>
      <c r="H132" s="1990"/>
      <c r="I132" s="1990"/>
      <c r="J132" s="1979"/>
      <c r="K132" s="1990"/>
      <c r="L132" s="1990"/>
      <c r="M132" s="1990"/>
      <c r="N132" s="1990"/>
      <c r="O132" s="1990"/>
      <c r="P132" s="1979"/>
      <c r="Q132" s="1990"/>
      <c r="R132" s="1990"/>
      <c r="S132" s="1990"/>
      <c r="T132" s="1990"/>
      <c r="U132" s="1990"/>
      <c r="V132" s="1990"/>
      <c r="W132" s="1990"/>
      <c r="X132" s="1990"/>
      <c r="Y132" s="1449"/>
      <c r="Z132" s="1449"/>
      <c r="AA132" s="1449"/>
      <c r="AB132" s="2030"/>
      <c r="AC132" s="1984"/>
      <c r="AD132" s="1979"/>
      <c r="AE132" s="1981"/>
      <c r="AF132" s="1979"/>
      <c r="AG132" s="1990"/>
      <c r="AH132" s="2450"/>
      <c r="AI132" s="1429"/>
      <c r="AJ132" s="2451"/>
      <c r="AK132" s="1418"/>
      <c r="AO132" s="2393"/>
    </row>
    <row r="133" spans="1:41" ht="15" customHeight="1">
      <c r="A133" s="2425"/>
      <c r="B133" s="2401" t="s">
        <v>163</v>
      </c>
      <c r="C133" s="2006"/>
      <c r="D133" s="1447">
        <f>ROUND(SUM(D123:D131),1)</f>
        <v>3451.4</v>
      </c>
      <c r="E133" s="1447"/>
      <c r="F133" s="1447">
        <f>ROUND(SUM(F123:F131),1)</f>
        <v>5457.6</v>
      </c>
      <c r="G133" s="1447"/>
      <c r="H133" s="1447">
        <f>ROUND(SUM(H123:H131),1)</f>
        <v>2886</v>
      </c>
      <c r="I133" s="1447"/>
      <c r="J133" s="2034">
        <f>ROUND(SUM(J123:J130),1)</f>
        <v>1952.5</v>
      </c>
      <c r="K133" s="1447"/>
      <c r="L133" s="1447">
        <f>ROUND(SUM(L123:L130),1)</f>
        <v>1643.3</v>
      </c>
      <c r="M133" s="1447"/>
      <c r="N133" s="1447">
        <f>ROUND(SUM(N123:N130),1)</f>
        <v>4467</v>
      </c>
      <c r="O133" s="1447"/>
      <c r="P133" s="2034">
        <f>ROUND(SUM(P123:P130),1)</f>
        <v>0</v>
      </c>
      <c r="Q133" s="1447"/>
      <c r="R133" s="1447">
        <f>ROUND(SUM(R123:R130),1)</f>
        <v>0</v>
      </c>
      <c r="S133" s="1447"/>
      <c r="T133" s="1447">
        <f>ROUND(SUM(T123:T130),1)</f>
        <v>0</v>
      </c>
      <c r="U133" s="1447"/>
      <c r="V133" s="1447">
        <f>ROUND(SUM(V123:V130),1)</f>
        <v>0</v>
      </c>
      <c r="W133" s="1447"/>
      <c r="X133" s="1447">
        <f>ROUND(SUM(X123:X130),1)</f>
        <v>0</v>
      </c>
      <c r="Y133" s="1994"/>
      <c r="Z133" s="1447">
        <f>ROUND(SUM(Z123:Z130),1)</f>
        <v>0</v>
      </c>
      <c r="AA133" s="2037"/>
      <c r="AB133" s="2033"/>
      <c r="AC133" s="2034">
        <f>ROUND(SUM(AC123:AC130),1)</f>
        <v>19857.8</v>
      </c>
      <c r="AD133" s="2034"/>
      <c r="AE133" s="3122"/>
      <c r="AF133" s="2034">
        <f>ROUND(SUM(AF123:AF130),1)</f>
        <v>12092.3</v>
      </c>
      <c r="AG133" s="1430"/>
      <c r="AH133" s="2454"/>
      <c r="AI133" s="2036">
        <f>ROUND(SUM(+AC133-AF133),1)</f>
        <v>7765.5</v>
      </c>
      <c r="AJ133" s="1430"/>
      <c r="AK133" s="2480">
        <f>ROUND(SUM(+AI133/AF133),3)</f>
        <v>0.64200000000000002</v>
      </c>
      <c r="AO133" s="2393"/>
    </row>
    <row r="134" spans="1:41" ht="15" customHeight="1">
      <c r="A134" s="2425"/>
      <c r="B134" s="2028"/>
      <c r="C134" s="2006"/>
      <c r="D134" s="1989"/>
      <c r="E134" s="1990"/>
      <c r="F134" s="1989"/>
      <c r="G134" s="1990"/>
      <c r="H134" s="1989"/>
      <c r="I134" s="1990"/>
      <c r="J134" s="2035"/>
      <c r="K134" s="1990"/>
      <c r="L134" s="1989"/>
      <c r="M134" s="1990"/>
      <c r="N134" s="1989"/>
      <c r="O134" s="1990"/>
      <c r="P134" s="2035"/>
      <c r="Q134" s="1990"/>
      <c r="R134" s="1989"/>
      <c r="S134" s="1990"/>
      <c r="T134" s="1989"/>
      <c r="U134" s="1990"/>
      <c r="V134" s="1989"/>
      <c r="W134" s="1990"/>
      <c r="X134" s="1989"/>
      <c r="Y134" s="1449"/>
      <c r="Z134" s="1453"/>
      <c r="AA134" s="1997"/>
      <c r="AB134" s="2030"/>
      <c r="AC134" s="3123"/>
      <c r="AD134" s="1979"/>
      <c r="AE134" s="1981"/>
      <c r="AF134" s="2035"/>
      <c r="AG134" s="1991"/>
      <c r="AH134" s="2450"/>
      <c r="AI134" s="2481"/>
      <c r="AJ134" s="2482"/>
      <c r="AK134" s="1435"/>
      <c r="AO134" s="2393"/>
    </row>
    <row r="135" spans="1:41" ht="15" customHeight="1">
      <c r="A135" s="2425"/>
      <c r="B135" s="2401" t="s">
        <v>164</v>
      </c>
      <c r="C135" s="2006"/>
      <c r="D135" s="1990"/>
      <c r="E135" s="1990"/>
      <c r="F135" s="1990"/>
      <c r="G135" s="1990"/>
      <c r="H135" s="1990"/>
      <c r="I135" s="1990"/>
      <c r="J135" s="1979"/>
      <c r="K135" s="1990"/>
      <c r="L135" s="1990"/>
      <c r="M135" s="1990"/>
      <c r="N135" s="1990"/>
      <c r="O135" s="1990"/>
      <c r="P135" s="1979"/>
      <c r="Q135" s="1990"/>
      <c r="R135" s="1990"/>
      <c r="S135" s="1990"/>
      <c r="T135" s="1990"/>
      <c r="U135" s="1990"/>
      <c r="V135" s="1990"/>
      <c r="W135" s="1990"/>
      <c r="X135" s="1990"/>
      <c r="Y135" s="1449"/>
      <c r="Z135" s="1449"/>
      <c r="AA135" s="1449"/>
      <c r="AB135" s="2030"/>
      <c r="AC135" s="1984"/>
      <c r="AD135" s="1979"/>
      <c r="AE135" s="1981"/>
      <c r="AF135" s="1979"/>
      <c r="AG135" s="1990"/>
      <c r="AH135" s="2450"/>
      <c r="AI135" s="2481"/>
      <c r="AJ135" s="2482"/>
      <c r="AK135" s="1435"/>
      <c r="AL135" s="2391" t="s">
        <v>14</v>
      </c>
      <c r="AO135" s="2393"/>
    </row>
    <row r="136" spans="1:41" ht="15" customHeight="1">
      <c r="A136" s="2425"/>
      <c r="B136" s="2401" t="s">
        <v>165</v>
      </c>
      <c r="C136" s="2006"/>
      <c r="D136" s="1990"/>
      <c r="E136" s="1990"/>
      <c r="F136" s="1990"/>
      <c r="G136" s="1990"/>
      <c r="H136" s="1990"/>
      <c r="I136" s="1990"/>
      <c r="J136" s="1979"/>
      <c r="K136" s="1990"/>
      <c r="L136" s="1990"/>
      <c r="M136" s="1990"/>
      <c r="N136" s="1990"/>
      <c r="O136" s="1990"/>
      <c r="P136" s="1979"/>
      <c r="Q136" s="1990"/>
      <c r="R136" s="1990"/>
      <c r="S136" s="1990"/>
      <c r="T136" s="1990"/>
      <c r="U136" s="1990"/>
      <c r="V136" s="1990"/>
      <c r="W136" s="1990"/>
      <c r="X136" s="1990"/>
      <c r="Y136" s="1449"/>
      <c r="Z136" s="1449"/>
      <c r="AA136" s="1449"/>
      <c r="AB136" s="2030"/>
      <c r="AC136" s="1984"/>
      <c r="AD136" s="1979"/>
      <c r="AE136" s="1981"/>
      <c r="AF136" s="1979"/>
      <c r="AG136" s="1990"/>
      <c r="AH136" s="2450"/>
      <c r="AI136" s="2481"/>
      <c r="AJ136" s="2482"/>
      <c r="AK136" s="1435"/>
      <c r="AO136" s="2393"/>
    </row>
    <row r="137" spans="1:41" ht="15" customHeight="1">
      <c r="A137" s="2425"/>
      <c r="B137" s="2401" t="s">
        <v>166</v>
      </c>
      <c r="C137" s="2006"/>
      <c r="D137" s="1447">
        <f>ROUND(SUM(D119+D133),1)</f>
        <v>3056.8</v>
      </c>
      <c r="E137" s="1447"/>
      <c r="F137" s="1447">
        <f>ROUND(SUM(F119+F133),1)</f>
        <v>2138.9</v>
      </c>
      <c r="G137" s="1447"/>
      <c r="H137" s="1447">
        <f>ROUND(SUM(H119+H133),1)</f>
        <v>1107.9000000000001</v>
      </c>
      <c r="I137" s="1447"/>
      <c r="J137" s="2034">
        <f>ROUND(SUM(J119+J133),1)</f>
        <v>136.69999999999999</v>
      </c>
      <c r="K137" s="1447"/>
      <c r="L137" s="1447">
        <f>ROUND(SUM(L119+L133),1)</f>
        <v>188.2</v>
      </c>
      <c r="M137" s="1447"/>
      <c r="N137" s="1447">
        <f>ROUND(SUM(N119+N133),1)</f>
        <v>4164.3999999999996</v>
      </c>
      <c r="O137" s="1447"/>
      <c r="P137" s="2034">
        <f>ROUND(SUM(P119+P133),1)</f>
        <v>0</v>
      </c>
      <c r="Q137" s="1447"/>
      <c r="R137" s="1447">
        <f>ROUND(SUM(R119+R133),1)</f>
        <v>0</v>
      </c>
      <c r="S137" s="1990"/>
      <c r="T137" s="1447">
        <f>ROUND(SUM(T119+T133),1)</f>
        <v>0</v>
      </c>
      <c r="U137" s="1990"/>
      <c r="V137" s="1447">
        <f>ROUND(SUM(V119+V133),1)</f>
        <v>0</v>
      </c>
      <c r="W137" s="1990"/>
      <c r="X137" s="1447">
        <f>ROUND(SUM(X119+X133),1)</f>
        <v>0</v>
      </c>
      <c r="Y137" s="1449"/>
      <c r="Z137" s="2036">
        <f>ROUND(SUM(Z119+Z133),1)</f>
        <v>0</v>
      </c>
      <c r="AA137" s="1997"/>
      <c r="AB137" s="2030"/>
      <c r="AC137" s="2034">
        <f>ROUND(SUM(AC119+AC133),1)</f>
        <v>10792.9</v>
      </c>
      <c r="AD137" s="2034"/>
      <c r="AE137" s="3122"/>
      <c r="AF137" s="2034">
        <f>ROUND(SUM(AF119+AF133),1)</f>
        <v>6497.6</v>
      </c>
      <c r="AG137" s="1430"/>
      <c r="AH137" s="2454"/>
      <c r="AI137" s="2036">
        <f>ROUND(SUM(+AC137-AF137),1)</f>
        <v>4295.3</v>
      </c>
      <c r="AJ137" s="2483"/>
      <c r="AK137" s="2484">
        <f>ROUND(SUM(AI137/ABS(AF137)),3)</f>
        <v>0.66100000000000003</v>
      </c>
      <c r="AO137" s="2393"/>
    </row>
    <row r="138" spans="1:41" ht="9" customHeight="1">
      <c r="A138" s="2425"/>
      <c r="B138" s="2028"/>
      <c r="C138" s="2006"/>
      <c r="D138" s="1453"/>
      <c r="E138" s="2028"/>
      <c r="F138" s="2423"/>
      <c r="G138" s="2028"/>
      <c r="H138" s="2422"/>
      <c r="I138" s="2028"/>
      <c r="J138" s="2035"/>
      <c r="K138" s="2028"/>
      <c r="L138" s="2422"/>
      <c r="M138" s="2028"/>
      <c r="N138" s="2422"/>
      <c r="O138" s="2028"/>
      <c r="P138" s="3019"/>
      <c r="Q138" s="2028"/>
      <c r="R138" s="2422"/>
      <c r="S138" s="2028"/>
      <c r="T138" s="2422"/>
      <c r="U138" s="2028"/>
      <c r="V138" s="2422"/>
      <c r="W138" s="2028"/>
      <c r="X138" s="2422"/>
      <c r="Y138" s="2028"/>
      <c r="Z138" s="2005"/>
      <c r="AA138" s="2005"/>
      <c r="AB138" s="2030"/>
      <c r="AC138" s="3123"/>
      <c r="AD138" s="1979"/>
      <c r="AE138" s="1981"/>
      <c r="AF138" s="2035"/>
      <c r="AG138" s="1991"/>
      <c r="AH138" s="2450"/>
      <c r="AI138" s="2466"/>
      <c r="AJ138" s="2482"/>
      <c r="AK138" s="2485"/>
      <c r="AO138" s="2393"/>
    </row>
    <row r="139" spans="1:41" ht="15" customHeight="1" thickBot="1">
      <c r="A139" s="2425"/>
      <c r="B139" s="2436" t="s">
        <v>140</v>
      </c>
      <c r="C139" s="2168"/>
      <c r="D139" s="2486">
        <f>ROUND(SUM(D12+D137),1)</f>
        <v>12217.6</v>
      </c>
      <c r="E139" s="2487"/>
      <c r="F139" s="2486">
        <f>ROUND(SUM(F12+F137),1)</f>
        <v>14356.5</v>
      </c>
      <c r="G139" s="2431"/>
      <c r="H139" s="2486">
        <f>ROUND(SUM(H12+H137),1)</f>
        <v>15464.4</v>
      </c>
      <c r="I139" s="2431"/>
      <c r="J139" s="2486">
        <f>ROUND(SUM(J12+J137),1)</f>
        <v>15601.1</v>
      </c>
      <c r="K139" s="2431"/>
      <c r="L139" s="2486">
        <f>ROUND(SUM(L12+L137),1)</f>
        <v>15789.3</v>
      </c>
      <c r="M139" s="2431"/>
      <c r="N139" s="2486">
        <f>ROUND(SUM(N12+N137),1)</f>
        <v>19953.7</v>
      </c>
      <c r="O139" s="2431"/>
      <c r="P139" s="2486">
        <f>ROUND(SUM(P12+P137),1)</f>
        <v>0</v>
      </c>
      <c r="Q139" s="2431"/>
      <c r="R139" s="2486">
        <f>ROUND(SUM(R12+R137),1)</f>
        <v>0</v>
      </c>
      <c r="S139" s="2431"/>
      <c r="T139" s="2486">
        <f>ROUND(SUM(T12+T137),1)</f>
        <v>0</v>
      </c>
      <c r="U139" s="2431"/>
      <c r="V139" s="2486">
        <f>ROUND(SUM(V12+V137),1)</f>
        <v>0</v>
      </c>
      <c r="W139" s="2431"/>
      <c r="X139" s="2486">
        <f>ROUND(SUM(X12+X137),1)</f>
        <v>0</v>
      </c>
      <c r="Y139" s="2431"/>
      <c r="Z139" s="2486">
        <f>ROUND(SUM(Z12+Z137),1)</f>
        <v>0</v>
      </c>
      <c r="AA139" s="2487"/>
      <c r="AB139" s="2488"/>
      <c r="AC139" s="2172">
        <f>ROUND(SUM(AC12+AC137),1)</f>
        <v>19953.7</v>
      </c>
      <c r="AD139" s="2034"/>
      <c r="AE139" s="3122"/>
      <c r="AF139" s="2486">
        <f>ROUND(SUM(AF12+AF137),1)</f>
        <v>15441.8</v>
      </c>
      <c r="AG139" s="2489"/>
      <c r="AH139" s="2432"/>
      <c r="AI139" s="2490">
        <f>ROUND(SUM(+AC139-AF139),1)</f>
        <v>4511.8999999999996</v>
      </c>
      <c r="AJ139" s="2483"/>
      <c r="AK139" s="2491">
        <f>ROUND(SUM(+AI139/AF139),3)</f>
        <v>0.29199999999999998</v>
      </c>
      <c r="AO139" s="2393"/>
    </row>
    <row r="140" spans="1:41" ht="15" customHeight="1" thickTop="1">
      <c r="A140" s="2425"/>
      <c r="B140" s="2028"/>
      <c r="C140" s="2006"/>
      <c r="D140" s="2005"/>
      <c r="E140" s="2492"/>
      <c r="F140" s="2493"/>
      <c r="G140" s="2492"/>
      <c r="H140" s="2005"/>
      <c r="I140" s="2492"/>
      <c r="J140" s="1961"/>
      <c r="K140" s="2492"/>
      <c r="L140" s="2005"/>
      <c r="M140" s="2492"/>
      <c r="N140" s="2005"/>
      <c r="O140" s="2492"/>
      <c r="P140" s="2167"/>
      <c r="Q140" s="2492"/>
      <c r="R140" s="2005"/>
      <c r="S140" s="2492"/>
      <c r="T140" s="2005"/>
      <c r="U140" s="2492"/>
      <c r="V140" s="2005"/>
      <c r="W140" s="2492"/>
      <c r="X140" s="2005"/>
      <c r="Y140" s="2492"/>
      <c r="Z140" s="2005"/>
      <c r="AA140" s="2005"/>
      <c r="AB140" s="2492"/>
      <c r="AC140" s="1961"/>
      <c r="AD140" s="1961"/>
      <c r="AE140" s="1961"/>
      <c r="AF140" s="1961"/>
      <c r="AG140" s="1991"/>
      <c r="AH140" s="2494"/>
      <c r="AI140" s="2481"/>
      <c r="AJ140" s="2482"/>
      <c r="AK140" s="1435"/>
      <c r="AO140" s="2393"/>
    </row>
    <row r="141" spans="1:41" ht="15" customHeight="1">
      <c r="A141" s="2425"/>
      <c r="B141" s="2028" t="s">
        <v>14</v>
      </c>
      <c r="C141" s="2006"/>
      <c r="D141" s="2005"/>
      <c r="E141" s="2028"/>
      <c r="F141" s="2493"/>
      <c r="G141" s="2028"/>
      <c r="H141" s="2005"/>
      <c r="I141" s="2028"/>
      <c r="J141" s="1961"/>
      <c r="K141" s="2028"/>
      <c r="L141" s="2005"/>
      <c r="M141" s="2028"/>
      <c r="N141" s="2005"/>
      <c r="O141" s="2028"/>
      <c r="P141" s="2167"/>
      <c r="Q141" s="2028"/>
      <c r="R141" s="2005"/>
      <c r="S141" s="2028"/>
      <c r="T141" s="2005"/>
      <c r="U141" s="2028"/>
      <c r="V141" s="2005"/>
      <c r="W141" s="2028"/>
      <c r="X141" s="2005"/>
      <c r="Y141" s="2028"/>
      <c r="Z141" s="2005"/>
      <c r="AA141" s="2005"/>
      <c r="AB141" s="2028"/>
      <c r="AC141" s="1961"/>
      <c r="AD141" s="1979"/>
      <c r="AE141" s="1979"/>
      <c r="AF141" s="1961"/>
      <c r="AG141" s="1991"/>
      <c r="AH141" s="2495"/>
      <c r="AI141" s="2481"/>
      <c r="AJ141" s="2482"/>
      <c r="AK141" s="1435"/>
    </row>
    <row r="142" spans="1:41" ht="15" customHeight="1">
      <c r="A142" s="2425"/>
      <c r="B142" s="2028"/>
      <c r="C142" s="2006"/>
      <c r="D142" s="2005"/>
      <c r="E142" s="2028"/>
      <c r="F142" s="2493"/>
      <c r="G142" s="2028"/>
      <c r="H142" s="2005"/>
      <c r="I142" s="2028"/>
      <c r="J142" s="1961"/>
      <c r="K142" s="2028"/>
      <c r="L142" s="2005"/>
      <c r="M142" s="2028"/>
      <c r="N142" s="2005"/>
      <c r="O142" s="2028"/>
      <c r="P142" s="2167"/>
      <c r="Q142" s="2028"/>
      <c r="R142" s="2005"/>
      <c r="S142" s="2028"/>
      <c r="T142" s="2005"/>
      <c r="U142" s="2028"/>
      <c r="V142" s="2005"/>
      <c r="W142" s="2028"/>
      <c r="X142" s="2005"/>
      <c r="Y142" s="2028"/>
      <c r="Z142" s="2005"/>
      <c r="AA142" s="2005"/>
      <c r="AB142" s="2028"/>
      <c r="AC142" s="19"/>
      <c r="AD142" s="1979"/>
      <c r="AE142" s="1979"/>
      <c r="AF142" s="1961"/>
      <c r="AG142" s="1991"/>
      <c r="AH142" s="2495"/>
      <c r="AI142" s="2481"/>
      <c r="AJ142" s="2482"/>
      <c r="AK142" s="1435"/>
    </row>
    <row r="143" spans="1:41" ht="15" customHeight="1">
      <c r="A143" s="2396"/>
      <c r="B143" s="2496"/>
      <c r="C143" s="2497"/>
      <c r="D143" s="2497"/>
      <c r="E143" s="2498"/>
      <c r="F143" s="2498"/>
      <c r="G143" s="2498"/>
      <c r="H143" s="2006"/>
      <c r="I143" s="2006"/>
      <c r="J143" s="1979"/>
      <c r="K143" s="2006"/>
      <c r="L143" s="2006"/>
      <c r="M143" s="2006"/>
      <c r="N143" s="2006"/>
      <c r="O143" s="2006"/>
      <c r="P143" s="2168"/>
      <c r="Q143" s="2006"/>
      <c r="R143" s="2006"/>
      <c r="S143" s="2006"/>
      <c r="T143" s="2006"/>
      <c r="U143" s="2006"/>
      <c r="V143" s="2006"/>
      <c r="W143" s="2006"/>
      <c r="X143" s="2006"/>
      <c r="Y143" s="2006"/>
      <c r="Z143" s="2006"/>
      <c r="AA143" s="2006"/>
      <c r="AB143" s="2006"/>
      <c r="AC143" s="1979"/>
      <c r="AD143" s="1979"/>
      <c r="AE143" s="1979"/>
      <c r="AF143" s="1979"/>
      <c r="AG143" s="1990"/>
      <c r="AH143" s="2499"/>
      <c r="AI143" s="1429"/>
      <c r="AJ143" s="2451"/>
      <c r="AK143" s="1418"/>
    </row>
    <row r="144" spans="1:41" ht="14.15" customHeight="1">
      <c r="A144" s="2396"/>
      <c r="B144" s="2496"/>
      <c r="C144" s="2497"/>
      <c r="D144" s="2497"/>
      <c r="E144" s="2498"/>
      <c r="F144" s="2498"/>
      <c r="G144" s="2498"/>
      <c r="H144" s="2006"/>
      <c r="I144" s="2006"/>
      <c r="J144" s="1979"/>
      <c r="K144" s="2006"/>
      <c r="L144" s="2006"/>
      <c r="M144" s="2006"/>
      <c r="N144" s="2006"/>
      <c r="O144" s="2006"/>
      <c r="P144" s="2168"/>
      <c r="Q144" s="2006"/>
      <c r="R144" s="2006"/>
      <c r="S144" s="2006"/>
      <c r="T144" s="2006"/>
      <c r="U144" s="2006"/>
      <c r="V144" s="2006"/>
      <c r="W144" s="2006"/>
      <c r="X144" s="2006"/>
      <c r="Y144" s="2006"/>
      <c r="Z144" s="2006"/>
      <c r="AA144" s="2006"/>
      <c r="AB144" s="2006"/>
      <c r="AC144" s="1979"/>
      <c r="AD144" s="1979"/>
      <c r="AE144" s="1979"/>
      <c r="AF144" s="1979"/>
      <c r="AG144" s="1990"/>
      <c r="AH144" s="2499"/>
      <c r="AI144" s="1429"/>
      <c r="AJ144" s="2451"/>
      <c r="AK144" s="1418"/>
    </row>
    <row r="145" spans="1:37" ht="15" customHeight="1">
      <c r="A145" s="2396"/>
      <c r="B145" s="2496"/>
      <c r="C145" s="2497"/>
      <c r="D145" s="2497"/>
      <c r="E145" s="2498"/>
      <c r="F145" s="2498"/>
      <c r="G145" s="2498"/>
      <c r="H145" s="2006"/>
      <c r="I145" s="2006"/>
      <c r="J145" s="1979"/>
      <c r="K145" s="2006"/>
      <c r="L145" s="2006"/>
      <c r="M145" s="2006"/>
      <c r="N145" s="2006"/>
      <c r="O145" s="2006"/>
      <c r="P145" s="2168"/>
      <c r="Q145" s="2006"/>
      <c r="R145" s="2006"/>
      <c r="S145" s="2006"/>
      <c r="T145" s="2006"/>
      <c r="U145" s="2006"/>
      <c r="V145" s="2006"/>
      <c r="W145" s="2006"/>
      <c r="X145" s="2006"/>
      <c r="Y145" s="2006"/>
      <c r="Z145" s="2006"/>
      <c r="AA145" s="2006"/>
      <c r="AB145" s="2006"/>
      <c r="AC145" s="1979"/>
      <c r="AD145" s="1979"/>
      <c r="AE145" s="1979"/>
      <c r="AF145" s="1979"/>
      <c r="AG145" s="1990"/>
      <c r="AH145" s="2499"/>
      <c r="AI145" s="1429"/>
      <c r="AJ145" s="2451"/>
      <c r="AK145" s="1418"/>
    </row>
    <row r="146" spans="1:37" ht="15.75" customHeight="1">
      <c r="A146" s="2396"/>
      <c r="B146" s="2496"/>
      <c r="C146" s="2497"/>
      <c r="D146" s="2497"/>
      <c r="E146" s="2498"/>
      <c r="F146" s="2498"/>
      <c r="G146" s="2498"/>
      <c r="H146" s="2006"/>
      <c r="I146" s="2006"/>
      <c r="J146" s="1979"/>
      <c r="K146" s="2006"/>
      <c r="L146" s="2006"/>
      <c r="M146" s="2006"/>
      <c r="N146" s="2006"/>
      <c r="O146" s="2006"/>
      <c r="P146" s="2168"/>
      <c r="Q146" s="2006"/>
      <c r="R146" s="2006"/>
      <c r="S146" s="2006"/>
      <c r="T146" s="2006"/>
      <c r="U146" s="2006"/>
      <c r="V146" s="2006"/>
      <c r="W146" s="2006"/>
      <c r="X146" s="2006"/>
      <c r="Y146" s="2006"/>
      <c r="Z146" s="2006"/>
      <c r="AA146" s="2006"/>
      <c r="AB146" s="2006"/>
      <c r="AC146" s="1979"/>
      <c r="AD146" s="1979"/>
      <c r="AE146" s="1979"/>
      <c r="AF146" s="1979"/>
      <c r="AG146" s="1990"/>
      <c r="AH146" s="2499"/>
      <c r="AI146" s="1429"/>
      <c r="AJ146" s="2451"/>
      <c r="AK146" s="1418"/>
    </row>
    <row r="147" spans="1:37" ht="14.25" customHeight="1">
      <c r="A147" s="2396"/>
      <c r="B147" s="2496"/>
      <c r="C147" s="2497"/>
      <c r="D147" s="2497"/>
      <c r="E147" s="2498"/>
      <c r="F147" s="2498"/>
      <c r="G147" s="2498"/>
      <c r="H147" s="2006"/>
      <c r="I147" s="2006"/>
      <c r="J147" s="1979"/>
      <c r="K147" s="2006"/>
      <c r="L147" s="2006"/>
      <c r="M147" s="2006"/>
      <c r="N147" s="2006"/>
      <c r="O147" s="2006"/>
      <c r="P147" s="2168"/>
      <c r="Q147" s="2006"/>
      <c r="R147" s="2006"/>
      <c r="S147" s="2006"/>
      <c r="T147" s="2006"/>
      <c r="U147" s="2006"/>
      <c r="V147" s="2006"/>
      <c r="W147" s="2006"/>
      <c r="X147" s="2006"/>
      <c r="Y147" s="2006"/>
      <c r="Z147" s="2006"/>
      <c r="AA147" s="2006"/>
      <c r="AB147" s="2006"/>
      <c r="AC147" s="1979"/>
      <c r="AD147" s="1979"/>
      <c r="AE147" s="1979"/>
      <c r="AF147" s="1979"/>
      <c r="AG147" s="1990"/>
      <c r="AH147" s="2499"/>
      <c r="AI147" s="1429"/>
      <c r="AJ147" s="2451"/>
      <c r="AK147" s="1418"/>
    </row>
    <row r="148" spans="1:37" ht="14.25" customHeight="1">
      <c r="A148" s="2396"/>
      <c r="B148" s="2496"/>
      <c r="C148" s="2497"/>
      <c r="D148" s="2497"/>
      <c r="E148" s="2498"/>
      <c r="F148" s="2498"/>
      <c r="G148" s="2498"/>
      <c r="H148" s="2006"/>
      <c r="I148" s="2006"/>
      <c r="J148" s="1979"/>
      <c r="K148" s="2006"/>
      <c r="L148" s="2006"/>
      <c r="M148" s="2006"/>
      <c r="N148" s="2006"/>
      <c r="O148" s="2006"/>
      <c r="P148" s="2168"/>
      <c r="Q148" s="2006"/>
      <c r="R148" s="2006"/>
      <c r="S148" s="2006"/>
      <c r="T148" s="2006"/>
      <c r="U148" s="2006"/>
      <c r="V148" s="2006"/>
      <c r="W148" s="2006"/>
      <c r="X148" s="2006"/>
      <c r="Y148" s="2006"/>
      <c r="Z148" s="2006"/>
      <c r="AA148" s="2006"/>
      <c r="AB148" s="2006"/>
      <c r="AC148" s="1979"/>
      <c r="AD148" s="1979"/>
      <c r="AE148" s="1979"/>
      <c r="AF148" s="1979"/>
      <c r="AG148" s="1990"/>
      <c r="AH148" s="2499"/>
      <c r="AI148" s="1429"/>
      <c r="AJ148" s="2451"/>
      <c r="AK148" s="1418"/>
    </row>
    <row r="149" spans="1:37" ht="14.25" customHeight="1">
      <c r="A149" s="2396"/>
      <c r="B149" s="2496"/>
      <c r="C149" s="2497"/>
      <c r="D149" s="2497"/>
      <c r="E149" s="2498"/>
      <c r="F149" s="2498"/>
      <c r="G149" s="2498"/>
      <c r="H149" s="2006"/>
      <c r="I149" s="2006"/>
      <c r="J149" s="1979"/>
      <c r="K149" s="2006"/>
      <c r="L149" s="2006"/>
      <c r="M149" s="2006"/>
      <c r="N149" s="2006"/>
      <c r="O149" s="2006"/>
      <c r="P149" s="2168"/>
      <c r="Q149" s="2006"/>
      <c r="R149" s="2006"/>
      <c r="S149" s="2006"/>
      <c r="T149" s="2006"/>
      <c r="U149" s="2006"/>
      <c r="V149" s="2006"/>
      <c r="W149" s="2006"/>
      <c r="X149" s="2006"/>
      <c r="Y149" s="2006"/>
      <c r="Z149" s="2006"/>
      <c r="AA149" s="2006"/>
      <c r="AB149" s="2006"/>
      <c r="AC149" s="1979"/>
      <c r="AD149" s="1979"/>
      <c r="AE149" s="1979"/>
      <c r="AF149" s="1979"/>
      <c r="AG149" s="1990"/>
      <c r="AH149" s="2499"/>
      <c r="AI149" s="1429"/>
      <c r="AJ149" s="2451"/>
      <c r="AK149" s="1418"/>
    </row>
    <row r="150" spans="1:37" ht="14.25" customHeight="1">
      <c r="A150" s="2396"/>
      <c r="B150" s="2496"/>
      <c r="C150" s="2497"/>
      <c r="D150" s="2497"/>
      <c r="E150" s="2498"/>
      <c r="F150" s="2498"/>
      <c r="G150" s="2498"/>
      <c r="H150" s="2006"/>
      <c r="I150" s="2006"/>
      <c r="J150" s="1979"/>
      <c r="K150" s="2006"/>
      <c r="L150" s="2006"/>
      <c r="M150" s="2006"/>
      <c r="N150" s="2006"/>
      <c r="O150" s="2006"/>
      <c r="P150" s="2168"/>
      <c r="Q150" s="2006"/>
      <c r="R150" s="2006"/>
      <c r="S150" s="2006"/>
      <c r="T150" s="2006"/>
      <c r="U150" s="2006"/>
      <c r="V150" s="2006"/>
      <c r="W150" s="2006"/>
      <c r="X150" s="2006"/>
      <c r="Y150" s="2006"/>
      <c r="Z150" s="2006"/>
      <c r="AA150" s="2006"/>
      <c r="AB150" s="2006"/>
      <c r="AC150" s="1979"/>
      <c r="AD150" s="1979"/>
      <c r="AE150" s="1979"/>
      <c r="AF150" s="1979"/>
      <c r="AG150" s="1990"/>
      <c r="AH150" s="2499"/>
      <c r="AI150" s="1429"/>
      <c r="AJ150" s="2451"/>
      <c r="AK150" s="1418"/>
    </row>
    <row r="151" spans="1:37" ht="14.25" customHeight="1">
      <c r="A151" s="2396"/>
      <c r="B151" s="2496"/>
      <c r="C151" s="2497"/>
      <c r="D151" s="2497"/>
      <c r="E151" s="2498"/>
      <c r="F151" s="2498"/>
      <c r="G151" s="2498"/>
      <c r="H151" s="2006"/>
      <c r="I151" s="2006"/>
      <c r="J151" s="1979"/>
      <c r="K151" s="2006"/>
      <c r="L151" s="2006"/>
      <c r="M151" s="2006"/>
      <c r="N151" s="2006"/>
      <c r="O151" s="2006"/>
      <c r="P151" s="2168"/>
      <c r="Q151" s="2006"/>
      <c r="R151" s="2006"/>
      <c r="S151" s="2006"/>
      <c r="T151" s="2006"/>
      <c r="U151" s="2006"/>
      <c r="V151" s="2006"/>
      <c r="W151" s="2006"/>
      <c r="X151" s="2006"/>
      <c r="Y151" s="2006"/>
      <c r="Z151" s="2006"/>
      <c r="AA151" s="2006"/>
      <c r="AB151" s="2006"/>
      <c r="AC151" s="1979"/>
      <c r="AD151" s="1979"/>
      <c r="AE151" s="1979"/>
      <c r="AF151" s="1979"/>
      <c r="AG151" s="1990"/>
      <c r="AH151" s="2499"/>
      <c r="AI151" s="1429"/>
      <c r="AJ151" s="2451"/>
      <c r="AK151" s="1418"/>
    </row>
    <row r="152" spans="1:37" ht="14.25" customHeight="1">
      <c r="A152" s="2396"/>
      <c r="B152" s="2496"/>
      <c r="C152" s="2497"/>
      <c r="D152" s="2497"/>
      <c r="E152" s="2498"/>
      <c r="F152" s="2498"/>
      <c r="G152" s="2498"/>
      <c r="H152" s="2006"/>
      <c r="I152" s="2006"/>
      <c r="J152" s="1979"/>
      <c r="K152" s="2006"/>
      <c r="L152" s="2006"/>
      <c r="M152" s="2006"/>
      <c r="N152" s="2006"/>
      <c r="O152" s="2006"/>
      <c r="P152" s="2168"/>
      <c r="Q152" s="2006"/>
      <c r="R152" s="2006"/>
      <c r="S152" s="2006"/>
      <c r="T152" s="2006"/>
      <c r="U152" s="2006"/>
      <c r="V152" s="2006"/>
      <c r="W152" s="2006"/>
      <c r="X152" s="2006"/>
      <c r="Y152" s="2006"/>
      <c r="Z152" s="2006"/>
      <c r="AA152" s="2006"/>
      <c r="AB152" s="2006"/>
      <c r="AC152" s="1979"/>
      <c r="AD152" s="1979"/>
      <c r="AE152" s="1979"/>
      <c r="AF152" s="1979"/>
      <c r="AG152" s="1990"/>
      <c r="AH152" s="2499"/>
      <c r="AI152" s="1429"/>
      <c r="AJ152" s="2451"/>
      <c r="AK152" s="1418"/>
    </row>
    <row r="153" spans="1:37" ht="14.25" customHeight="1">
      <c r="A153" s="2396"/>
      <c r="B153" s="2496"/>
      <c r="C153" s="2497"/>
      <c r="D153" s="2497"/>
      <c r="E153" s="2498"/>
      <c r="F153" s="2498"/>
      <c r="G153" s="2498"/>
      <c r="H153" s="2006"/>
      <c r="I153" s="2006"/>
      <c r="J153" s="1979"/>
      <c r="K153" s="2006"/>
      <c r="L153" s="2006"/>
      <c r="M153" s="2006"/>
      <c r="N153" s="2006"/>
      <c r="O153" s="2006"/>
      <c r="P153" s="2168"/>
      <c r="Q153" s="2006"/>
      <c r="R153" s="2006"/>
      <c r="S153" s="2006"/>
      <c r="T153" s="2006"/>
      <c r="U153" s="2006"/>
      <c r="V153" s="2006"/>
      <c r="W153" s="2006"/>
      <c r="X153" s="2006"/>
      <c r="Y153" s="2006"/>
      <c r="Z153" s="2006"/>
      <c r="AA153" s="2006"/>
      <c r="AB153" s="2006"/>
      <c r="AC153" s="1979"/>
      <c r="AD153" s="1979"/>
      <c r="AE153" s="1979"/>
      <c r="AF153" s="1979"/>
      <c r="AG153" s="1990"/>
      <c r="AH153" s="2499"/>
      <c r="AI153" s="1429"/>
      <c r="AJ153" s="2451"/>
      <c r="AK153" s="1418"/>
    </row>
    <row r="154" spans="1:37" ht="14.25" customHeight="1">
      <c r="A154" s="2396"/>
      <c r="B154" s="2496"/>
      <c r="C154" s="2497"/>
      <c r="D154" s="2497"/>
      <c r="E154" s="2498"/>
      <c r="F154" s="2498"/>
      <c r="G154" s="2498"/>
      <c r="H154" s="2006"/>
      <c r="I154" s="2006"/>
      <c r="J154" s="1979"/>
      <c r="K154" s="2006"/>
      <c r="L154" s="2006"/>
      <c r="M154" s="2006"/>
      <c r="N154" s="2006"/>
      <c r="O154" s="2006"/>
      <c r="P154" s="2168"/>
      <c r="Q154" s="2006"/>
      <c r="R154" s="2006"/>
      <c r="S154" s="2006"/>
      <c r="T154" s="2006"/>
      <c r="U154" s="2006"/>
      <c r="V154" s="2006"/>
      <c r="W154" s="2006"/>
      <c r="X154" s="2006"/>
      <c r="Y154" s="2006"/>
      <c r="Z154" s="2006"/>
      <c r="AA154" s="2006"/>
      <c r="AB154" s="2006"/>
      <c r="AC154" s="2168"/>
      <c r="AD154" s="2168"/>
      <c r="AE154" s="2168"/>
      <c r="AF154" s="2168"/>
      <c r="AG154" s="2006"/>
      <c r="AH154" s="2500"/>
      <c r="AI154" s="1419"/>
      <c r="AJ154" s="2501"/>
      <c r="AK154" s="1418"/>
    </row>
    <row r="155" spans="1:37" ht="14.25" customHeight="1">
      <c r="A155" s="2396"/>
      <c r="B155" s="2496"/>
      <c r="C155" s="2497"/>
      <c r="D155" s="2497"/>
      <c r="E155" s="2498"/>
      <c r="F155" s="2498"/>
      <c r="G155" s="2498"/>
      <c r="H155" s="2006"/>
      <c r="I155" s="2006"/>
      <c r="J155" s="1979"/>
      <c r="K155" s="2006"/>
      <c r="L155" s="2006"/>
      <c r="M155" s="2006"/>
      <c r="N155" s="2006"/>
      <c r="O155" s="2006"/>
      <c r="P155" s="2168"/>
      <c r="Q155" s="2006"/>
      <c r="R155" s="2006"/>
      <c r="S155" s="2006"/>
      <c r="T155" s="2006"/>
      <c r="U155" s="2006"/>
      <c r="V155" s="2006"/>
      <c r="W155" s="2006"/>
      <c r="X155" s="2006"/>
      <c r="Y155" s="2006"/>
      <c r="Z155" s="2006"/>
      <c r="AA155" s="2006"/>
      <c r="AB155" s="2006"/>
      <c r="AC155" s="2168"/>
      <c r="AD155" s="2168"/>
      <c r="AE155" s="2168"/>
      <c r="AF155" s="2168"/>
      <c r="AG155" s="2006"/>
      <c r="AH155" s="2500"/>
      <c r="AI155" s="1419"/>
      <c r="AJ155" s="2501"/>
      <c r="AK155" s="1418"/>
    </row>
    <row r="156" spans="1:37" ht="14.25" customHeight="1">
      <c r="A156" s="2396"/>
      <c r="B156" s="2496"/>
      <c r="C156" s="2497"/>
      <c r="D156" s="2497"/>
      <c r="E156" s="2498"/>
      <c r="F156" s="2498"/>
      <c r="G156" s="2498"/>
      <c r="H156" s="2006"/>
      <c r="I156" s="2006"/>
      <c r="J156" s="1979"/>
      <c r="K156" s="2006"/>
      <c r="L156" s="2006"/>
      <c r="M156" s="2006"/>
      <c r="N156" s="2006"/>
      <c r="O156" s="2006"/>
      <c r="P156" s="2168"/>
      <c r="Q156" s="2006"/>
      <c r="R156" s="2006"/>
      <c r="S156" s="2006"/>
      <c r="T156" s="2006"/>
      <c r="U156" s="2006"/>
      <c r="V156" s="2006"/>
      <c r="W156" s="2006"/>
      <c r="X156" s="2006"/>
      <c r="Y156" s="2006"/>
      <c r="Z156" s="2006"/>
      <c r="AA156" s="2006"/>
      <c r="AB156" s="2006"/>
      <c r="AC156" s="2168"/>
      <c r="AD156" s="2168"/>
      <c r="AE156" s="2168"/>
      <c r="AF156" s="2168"/>
      <c r="AG156" s="2006"/>
      <c r="AH156" s="2500"/>
      <c r="AI156" s="1419"/>
      <c r="AJ156" s="2501"/>
      <c r="AK156" s="1418"/>
    </row>
    <row r="157" spans="1:37" ht="14.25" customHeight="1">
      <c r="A157" s="2396"/>
      <c r="B157" s="2496"/>
      <c r="C157" s="2497"/>
      <c r="D157" s="2497"/>
      <c r="E157" s="2498"/>
      <c r="F157" s="2498"/>
      <c r="G157" s="2498"/>
      <c r="H157" s="2006"/>
      <c r="I157" s="2006"/>
      <c r="J157" s="1979"/>
      <c r="K157" s="2006"/>
      <c r="L157" s="2006"/>
      <c r="M157" s="2006"/>
      <c r="N157" s="2006"/>
      <c r="O157" s="2006"/>
      <c r="P157" s="2168"/>
      <c r="Q157" s="2006"/>
      <c r="R157" s="2006"/>
      <c r="S157" s="2006"/>
      <c r="T157" s="2006"/>
      <c r="U157" s="2006"/>
      <c r="V157" s="2006"/>
      <c r="W157" s="2006"/>
      <c r="X157" s="2006"/>
      <c r="Y157" s="2006"/>
      <c r="Z157" s="2006"/>
      <c r="AA157" s="2006"/>
      <c r="AB157" s="2006"/>
      <c r="AC157" s="2168"/>
      <c r="AD157" s="2168"/>
      <c r="AE157" s="2168"/>
      <c r="AF157" s="2168"/>
      <c r="AG157" s="2006"/>
      <c r="AH157" s="2500"/>
      <c r="AI157" s="1419"/>
      <c r="AJ157" s="2501"/>
      <c r="AK157" s="1418"/>
    </row>
    <row r="158" spans="1:37" ht="14.25" customHeight="1">
      <c r="A158" s="2396"/>
      <c r="B158" s="2496"/>
      <c r="C158" s="2497"/>
      <c r="D158" s="2497"/>
      <c r="E158" s="2498"/>
      <c r="F158" s="2498"/>
      <c r="G158" s="2498"/>
      <c r="H158" s="2006"/>
      <c r="I158" s="2006"/>
      <c r="J158" s="1979"/>
      <c r="K158" s="2006"/>
      <c r="L158" s="2006"/>
      <c r="M158" s="2006"/>
      <c r="N158" s="2006"/>
      <c r="O158" s="2006"/>
      <c r="P158" s="2168"/>
      <c r="Q158" s="2006"/>
      <c r="R158" s="2006"/>
      <c r="S158" s="2006"/>
      <c r="T158" s="2006"/>
      <c r="U158" s="2006"/>
      <c r="V158" s="2006"/>
      <c r="W158" s="2006"/>
      <c r="X158" s="2006"/>
      <c r="Y158" s="2006"/>
      <c r="Z158" s="2006"/>
      <c r="AA158" s="2006"/>
      <c r="AB158" s="2006"/>
      <c r="AC158" s="2168"/>
      <c r="AD158" s="2168"/>
      <c r="AE158" s="2168"/>
      <c r="AF158" s="2168"/>
      <c r="AG158" s="2006"/>
      <c r="AH158" s="2500"/>
      <c r="AI158" s="1419"/>
      <c r="AJ158" s="2501"/>
      <c r="AK158" s="1418"/>
    </row>
    <row r="159" spans="1:37" ht="14.25" customHeight="1">
      <c r="A159" s="2396"/>
      <c r="B159" s="2496"/>
      <c r="C159" s="2497"/>
      <c r="D159" s="2497"/>
      <c r="E159" s="2498"/>
      <c r="F159" s="2498"/>
      <c r="G159" s="2498"/>
      <c r="H159" s="2006"/>
      <c r="I159" s="2006"/>
      <c r="J159" s="1979"/>
      <c r="K159" s="2006"/>
      <c r="L159" s="2006"/>
      <c r="M159" s="2006"/>
      <c r="N159" s="2006"/>
      <c r="O159" s="2006"/>
      <c r="P159" s="2168"/>
      <c r="Q159" s="2006"/>
      <c r="R159" s="2006"/>
      <c r="S159" s="2006"/>
      <c r="T159" s="2006"/>
      <c r="U159" s="2006"/>
      <c r="V159" s="2006"/>
      <c r="W159" s="2006"/>
      <c r="X159" s="2006"/>
      <c r="Y159" s="2006"/>
      <c r="Z159" s="2006"/>
      <c r="AA159" s="2006"/>
      <c r="AB159" s="2006"/>
      <c r="AC159" s="2168"/>
      <c r="AD159" s="2168"/>
      <c r="AE159" s="2168"/>
      <c r="AF159" s="2168"/>
      <c r="AG159" s="2006"/>
      <c r="AH159" s="2500"/>
      <c r="AI159" s="1419"/>
      <c r="AJ159" s="2501"/>
      <c r="AK159" s="1418"/>
    </row>
    <row r="160" spans="1:37" ht="14.25" customHeight="1">
      <c r="A160" s="2396"/>
      <c r="B160" s="2496"/>
      <c r="C160" s="2497"/>
      <c r="D160" s="2497"/>
      <c r="E160" s="2498"/>
      <c r="F160" s="2498"/>
      <c r="G160" s="2498"/>
      <c r="H160" s="2006"/>
      <c r="I160" s="2006"/>
      <c r="J160" s="1979"/>
      <c r="K160" s="2006"/>
      <c r="L160" s="2006"/>
      <c r="M160" s="2006"/>
      <c r="N160" s="2006"/>
      <c r="O160" s="2006"/>
      <c r="P160" s="2168"/>
      <c r="Q160" s="2006"/>
      <c r="R160" s="2006"/>
      <c r="S160" s="2006"/>
      <c r="T160" s="2006"/>
      <c r="U160" s="2006"/>
      <c r="V160" s="2006"/>
      <c r="W160" s="2006"/>
      <c r="X160" s="2006"/>
      <c r="Y160" s="2006"/>
      <c r="Z160" s="2006"/>
      <c r="AA160" s="2006"/>
      <c r="AB160" s="2006"/>
      <c r="AC160" s="2168"/>
      <c r="AD160" s="2168"/>
      <c r="AE160" s="2168"/>
      <c r="AF160" s="2168"/>
      <c r="AG160" s="2006"/>
      <c r="AH160" s="2500"/>
      <c r="AI160" s="1419"/>
      <c r="AJ160" s="2501"/>
      <c r="AK160" s="1418"/>
    </row>
    <row r="161" spans="1:38" ht="14.25" customHeight="1">
      <c r="A161" s="2396"/>
      <c r="B161" s="2496"/>
      <c r="C161" s="2497"/>
      <c r="D161" s="2497"/>
      <c r="E161" s="2498"/>
      <c r="F161" s="2498"/>
      <c r="G161" s="2498"/>
      <c r="H161" s="2006"/>
      <c r="I161" s="2006"/>
      <c r="J161" s="1979"/>
      <c r="K161" s="2006"/>
      <c r="L161" s="2006"/>
      <c r="M161" s="2006"/>
      <c r="N161" s="2006"/>
      <c r="O161" s="2006"/>
      <c r="P161" s="2168"/>
      <c r="Q161" s="2006"/>
      <c r="R161" s="2006"/>
      <c r="S161" s="2006"/>
      <c r="T161" s="2006"/>
      <c r="U161" s="2006"/>
      <c r="V161" s="2006"/>
      <c r="W161" s="2006"/>
      <c r="X161" s="2006"/>
      <c r="Y161" s="2006"/>
      <c r="Z161" s="2006"/>
      <c r="AA161" s="2006"/>
      <c r="AB161" s="2006"/>
      <c r="AC161" s="2168"/>
      <c r="AD161" s="2168"/>
      <c r="AE161" s="2168"/>
      <c r="AF161" s="2168"/>
      <c r="AG161" s="2006"/>
      <c r="AH161" s="2500"/>
      <c r="AI161" s="1419"/>
      <c r="AJ161" s="2501"/>
      <c r="AK161" s="1418"/>
    </row>
    <row r="162" spans="1:38" ht="14.25" customHeight="1">
      <c r="A162" s="2396"/>
      <c r="B162" s="2496"/>
      <c r="C162" s="2497"/>
      <c r="D162" s="2497"/>
      <c r="E162" s="2498"/>
      <c r="F162" s="2498"/>
      <c r="G162" s="2498"/>
      <c r="H162" s="2006"/>
      <c r="I162" s="2006"/>
      <c r="J162" s="1979"/>
      <c r="K162" s="2006"/>
      <c r="L162" s="2006"/>
      <c r="M162" s="2006"/>
      <c r="N162" s="2006"/>
      <c r="O162" s="2006"/>
      <c r="P162" s="2168"/>
      <c r="Q162" s="2006"/>
      <c r="R162" s="2006"/>
      <c r="S162" s="2006"/>
      <c r="T162" s="2006"/>
      <c r="U162" s="2006"/>
      <c r="V162" s="2006"/>
      <c r="W162" s="2006"/>
      <c r="X162" s="2006"/>
      <c r="Y162" s="2006"/>
      <c r="Z162" s="2006"/>
      <c r="AA162" s="2006"/>
      <c r="AB162" s="2006"/>
      <c r="AC162" s="2168"/>
      <c r="AD162" s="2168"/>
      <c r="AE162" s="2168"/>
      <c r="AF162" s="2168"/>
      <c r="AG162" s="2006"/>
      <c r="AH162" s="2500"/>
      <c r="AI162" s="1419"/>
      <c r="AJ162" s="2501"/>
      <c r="AK162" s="1418"/>
    </row>
    <row r="163" spans="1:38" ht="20.149999999999999" customHeight="1">
      <c r="A163" s="2396"/>
      <c r="B163" s="2473"/>
      <c r="C163" s="2006"/>
      <c r="D163" s="2006"/>
      <c r="E163" s="2006"/>
      <c r="F163" s="2006"/>
      <c r="G163" s="2006"/>
      <c r="H163" s="2006"/>
      <c r="I163" s="2006"/>
      <c r="J163" s="1979"/>
      <c r="K163" s="2006"/>
      <c r="L163" s="2006"/>
      <c r="M163" s="2006"/>
      <c r="N163" s="2006"/>
      <c r="O163" s="2006"/>
      <c r="P163" s="2168"/>
      <c r="Q163" s="2006"/>
      <c r="R163" s="2006"/>
      <c r="S163" s="2006"/>
      <c r="T163" s="2006"/>
      <c r="U163" s="2006"/>
      <c r="V163" s="2006"/>
      <c r="W163" s="2006"/>
      <c r="X163" s="2006"/>
      <c r="Y163" s="2006"/>
      <c r="Z163" s="2006"/>
      <c r="AA163" s="2006"/>
      <c r="AB163" s="2006"/>
      <c r="AC163" s="2168"/>
      <c r="AD163" s="2168"/>
      <c r="AE163" s="2168"/>
      <c r="AF163" s="2168"/>
      <c r="AG163" s="2006"/>
      <c r="AH163" s="2500"/>
      <c r="AI163" s="1419"/>
      <c r="AJ163" s="2501"/>
      <c r="AK163" s="1418"/>
    </row>
    <row r="164" spans="1:38" ht="20.149999999999999" customHeight="1">
      <c r="A164" s="2396"/>
      <c r="B164" s="2473"/>
      <c r="C164" s="2006"/>
      <c r="D164" s="2006"/>
      <c r="E164" s="2006"/>
      <c r="F164" s="2006"/>
      <c r="G164" s="2006"/>
      <c r="H164" s="2006"/>
      <c r="I164" s="2006"/>
      <c r="J164" s="1979"/>
      <c r="K164" s="2006"/>
      <c r="L164" s="2006"/>
      <c r="M164" s="2006"/>
      <c r="N164" s="2006"/>
      <c r="O164" s="2006"/>
      <c r="P164" s="2168"/>
      <c r="Q164" s="2006"/>
      <c r="R164" s="2006"/>
      <c r="S164" s="2006"/>
      <c r="T164" s="2006"/>
      <c r="U164" s="2006"/>
      <c r="V164" s="2006"/>
      <c r="W164" s="2006"/>
      <c r="X164" s="2006"/>
      <c r="Y164" s="2006"/>
      <c r="Z164" s="2006"/>
      <c r="AA164" s="2006"/>
      <c r="AB164" s="2006"/>
      <c r="AC164" s="2168"/>
      <c r="AD164" s="2168"/>
      <c r="AE164" s="2168"/>
      <c r="AF164" s="2168"/>
      <c r="AG164" s="2006"/>
      <c r="AH164" s="2500"/>
      <c r="AI164" s="1419"/>
      <c r="AJ164" s="2501"/>
      <c r="AK164" s="1418"/>
      <c r="AL164" s="2006"/>
    </row>
    <row r="165" spans="1:38" ht="20.149999999999999" customHeight="1">
      <c r="A165" s="2396"/>
      <c r="B165" s="2473"/>
      <c r="C165" s="2006"/>
      <c r="D165" s="2006"/>
      <c r="E165" s="2006"/>
      <c r="F165" s="2006"/>
      <c r="G165" s="2006"/>
      <c r="H165" s="2006"/>
      <c r="I165" s="2006"/>
      <c r="J165" s="1979"/>
      <c r="K165" s="2006"/>
      <c r="L165" s="2006"/>
      <c r="M165" s="2006"/>
      <c r="N165" s="2006"/>
      <c r="O165" s="2006"/>
      <c r="P165" s="2168"/>
      <c r="Q165" s="2006"/>
      <c r="R165" s="2006"/>
      <c r="S165" s="2006"/>
      <c r="T165" s="2006"/>
      <c r="U165" s="2006"/>
      <c r="V165" s="2006"/>
      <c r="W165" s="2006"/>
      <c r="X165" s="2006"/>
      <c r="Y165" s="2006"/>
      <c r="Z165" s="2006"/>
      <c r="AA165" s="2006"/>
      <c r="AB165" s="2006"/>
      <c r="AC165" s="2168"/>
      <c r="AD165" s="2168"/>
      <c r="AE165" s="2168"/>
      <c r="AF165" s="2168"/>
      <c r="AG165" s="2006"/>
      <c r="AH165" s="2500"/>
      <c r="AI165" s="1419"/>
      <c r="AJ165" s="2501"/>
      <c r="AK165" s="1418"/>
      <c r="AL165" s="2006"/>
    </row>
    <row r="166" spans="1:38" ht="20.149999999999999" customHeight="1">
      <c r="B166" s="2473"/>
      <c r="C166" s="2006"/>
      <c r="D166" s="2006"/>
      <c r="E166" s="2006"/>
      <c r="F166" s="2006"/>
      <c r="G166" s="2006"/>
      <c r="H166" s="2006"/>
      <c r="I166" s="2006"/>
      <c r="J166" s="1979"/>
      <c r="K166" s="2006"/>
      <c r="L166" s="2006"/>
      <c r="M166" s="2006"/>
      <c r="N166" s="2006"/>
      <c r="O166" s="2006"/>
      <c r="P166" s="2168"/>
      <c r="Q166" s="2006"/>
      <c r="R166" s="2006"/>
      <c r="S166" s="2006"/>
      <c r="T166" s="2006"/>
      <c r="U166" s="2006"/>
      <c r="V166" s="2006"/>
      <c r="W166" s="2006"/>
      <c r="X166" s="2006"/>
      <c r="Y166" s="2006"/>
      <c r="Z166" s="2006"/>
      <c r="AA166" s="2006"/>
      <c r="AB166" s="2006"/>
      <c r="AC166" s="2168"/>
      <c r="AD166" s="2168"/>
      <c r="AE166" s="2168"/>
      <c r="AF166" s="2168"/>
      <c r="AG166" s="2006"/>
      <c r="AH166" s="2006"/>
      <c r="AI166" s="1419"/>
      <c r="AJ166" s="2501"/>
      <c r="AK166" s="1418"/>
      <c r="AL166" s="2006"/>
    </row>
    <row r="167" spans="1:38" ht="20.149999999999999" customHeight="1">
      <c r="B167" s="2006"/>
      <c r="C167" s="2006"/>
      <c r="D167" s="2006"/>
      <c r="E167" s="2006"/>
      <c r="F167" s="2006"/>
      <c r="G167" s="2006"/>
      <c r="H167" s="2006"/>
      <c r="I167" s="2006"/>
      <c r="J167" s="1979"/>
      <c r="K167" s="2006"/>
      <c r="L167" s="2006"/>
      <c r="M167" s="2006"/>
      <c r="N167" s="2006"/>
      <c r="O167" s="2006"/>
      <c r="P167" s="2168"/>
      <c r="Q167" s="2006"/>
      <c r="R167" s="2006"/>
      <c r="S167" s="2006"/>
      <c r="T167" s="2006"/>
      <c r="U167" s="2006"/>
      <c r="V167" s="2006"/>
      <c r="W167" s="2006"/>
      <c r="X167" s="2006"/>
      <c r="Y167" s="2006"/>
      <c r="Z167" s="2006"/>
      <c r="AA167" s="2006"/>
      <c r="AB167" s="2006"/>
      <c r="AC167" s="2168"/>
      <c r="AD167" s="2168"/>
      <c r="AE167" s="2168"/>
      <c r="AF167" s="2168"/>
      <c r="AG167" s="2006"/>
      <c r="AH167" s="2006"/>
      <c r="AI167" s="1419"/>
      <c r="AJ167" s="2501"/>
      <c r="AK167" s="1418"/>
      <c r="AL167" s="2006"/>
    </row>
    <row r="168" spans="1:38" ht="20.149999999999999" customHeight="1">
      <c r="B168" s="2502"/>
      <c r="C168" s="2006"/>
      <c r="D168" s="2006"/>
      <c r="E168" s="2006"/>
      <c r="F168" s="2006"/>
      <c r="G168" s="2006"/>
      <c r="H168" s="2006"/>
      <c r="I168" s="2006"/>
      <c r="J168" s="1979"/>
      <c r="K168" s="2006"/>
      <c r="L168" s="2006"/>
      <c r="M168" s="2006"/>
      <c r="N168" s="2006"/>
      <c r="O168" s="2006"/>
      <c r="P168" s="2168"/>
      <c r="Q168" s="2006"/>
      <c r="R168" s="2006"/>
      <c r="S168" s="2006"/>
      <c r="T168" s="2006"/>
      <c r="U168" s="2006"/>
      <c r="V168" s="2006"/>
      <c r="W168" s="2006"/>
      <c r="X168" s="2006"/>
      <c r="Y168" s="2006"/>
      <c r="Z168" s="2006"/>
      <c r="AA168" s="2006"/>
      <c r="AB168" s="2006"/>
      <c r="AC168" s="2168"/>
      <c r="AD168" s="2168"/>
      <c r="AE168" s="2168"/>
      <c r="AF168" s="2168"/>
      <c r="AG168" s="2006"/>
      <c r="AI168" s="2009"/>
      <c r="AJ168" s="2435"/>
      <c r="AK168" s="1435"/>
      <c r="AL168" s="2006"/>
    </row>
    <row r="169" spans="1:38" ht="20.149999999999999" customHeight="1">
      <c r="B169" s="2006"/>
      <c r="C169" s="2006"/>
      <c r="D169" s="2006"/>
      <c r="E169" s="2006"/>
      <c r="F169" s="2006"/>
      <c r="G169" s="2006"/>
      <c r="H169" s="2006"/>
      <c r="I169" s="2006"/>
      <c r="J169" s="1979"/>
      <c r="K169" s="2006"/>
      <c r="L169" s="2006"/>
      <c r="M169" s="2006"/>
      <c r="N169" s="2006"/>
      <c r="O169" s="2006"/>
      <c r="P169" s="2168"/>
      <c r="Q169" s="2006"/>
      <c r="R169" s="2006"/>
      <c r="S169" s="2006"/>
      <c r="T169" s="2006"/>
      <c r="U169" s="2006"/>
      <c r="V169" s="2006"/>
      <c r="W169" s="2006"/>
      <c r="X169" s="2006"/>
      <c r="Y169" s="2006"/>
      <c r="Z169" s="2006"/>
      <c r="AA169" s="2006"/>
      <c r="AB169" s="2006"/>
      <c r="AC169" s="2168"/>
      <c r="AD169" s="2168"/>
      <c r="AE169" s="2168"/>
      <c r="AF169" s="2168"/>
      <c r="AG169" s="2006"/>
      <c r="AI169" s="2009"/>
      <c r="AJ169" s="2435"/>
      <c r="AK169" s="1435"/>
      <c r="AL169" s="2006"/>
    </row>
    <row r="170" spans="1:38" ht="20.149999999999999" customHeight="1">
      <c r="B170" s="2006"/>
      <c r="C170" s="2006"/>
      <c r="D170" s="2006"/>
      <c r="E170" s="2006"/>
      <c r="F170" s="2006"/>
      <c r="G170" s="2006"/>
      <c r="H170" s="2006"/>
      <c r="I170" s="2006"/>
      <c r="J170" s="1979"/>
      <c r="K170" s="2006"/>
      <c r="L170" s="2006"/>
      <c r="M170" s="2006"/>
      <c r="N170" s="2006"/>
      <c r="O170" s="2006"/>
      <c r="P170" s="2168"/>
      <c r="Q170" s="2006"/>
      <c r="R170" s="2006"/>
      <c r="S170" s="2006"/>
      <c r="T170" s="2006"/>
      <c r="U170" s="2006"/>
      <c r="V170" s="2006"/>
      <c r="W170" s="2006"/>
      <c r="X170" s="2006"/>
      <c r="Y170" s="2006"/>
      <c r="Z170" s="2006"/>
      <c r="AA170" s="2006"/>
      <c r="AB170" s="2006"/>
      <c r="AC170" s="2168"/>
      <c r="AD170" s="2168"/>
      <c r="AE170" s="2168"/>
      <c r="AF170" s="2168"/>
      <c r="AG170" s="2006"/>
      <c r="AI170" s="2009"/>
      <c r="AJ170" s="2435"/>
      <c r="AK170" s="1435"/>
      <c r="AL170" s="2006"/>
    </row>
    <row r="171" spans="1:38" ht="20.149999999999999" customHeight="1">
      <c r="B171" s="2009"/>
      <c r="C171" s="2009"/>
      <c r="D171" s="2009"/>
      <c r="E171" s="2009"/>
      <c r="F171" s="2009"/>
      <c r="G171" s="2009"/>
      <c r="H171" s="2009"/>
      <c r="I171" s="2009"/>
      <c r="J171" s="2397"/>
      <c r="K171" s="2009"/>
      <c r="L171" s="2009"/>
      <c r="M171" s="2009"/>
      <c r="N171" s="2009"/>
      <c r="O171" s="2009"/>
      <c r="P171" s="2175"/>
      <c r="Q171" s="2009"/>
      <c r="R171" s="2009"/>
      <c r="S171" s="2009"/>
      <c r="T171" s="2009"/>
      <c r="U171" s="2009"/>
      <c r="V171" s="2009"/>
      <c r="W171" s="2009"/>
      <c r="X171" s="2009"/>
      <c r="Y171" s="2009"/>
      <c r="Z171" s="2009"/>
      <c r="AA171" s="2009"/>
      <c r="AB171" s="2009"/>
      <c r="AC171" s="2175"/>
      <c r="AD171" s="2175"/>
      <c r="AE171" s="2175"/>
      <c r="AF171" s="2175"/>
      <c r="AG171" s="2009"/>
      <c r="AI171" s="2009"/>
      <c r="AJ171" s="2435"/>
      <c r="AK171" s="1435"/>
      <c r="AL171" s="2006"/>
    </row>
    <row r="172" spans="1:38" ht="20.149999999999999" customHeight="1">
      <c r="B172" s="2009"/>
      <c r="C172" s="2009"/>
      <c r="D172" s="2009"/>
      <c r="E172" s="2009"/>
      <c r="F172" s="2009"/>
      <c r="G172" s="2009"/>
      <c r="H172" s="2009"/>
      <c r="I172" s="2009"/>
      <c r="J172" s="2397"/>
      <c r="K172" s="2009"/>
      <c r="L172" s="2009"/>
      <c r="M172" s="2009"/>
      <c r="N172" s="2009"/>
      <c r="O172" s="2009"/>
      <c r="P172" s="2175"/>
      <c r="Q172" s="2009"/>
      <c r="R172" s="2009"/>
      <c r="S172" s="2009"/>
      <c r="T172" s="2009"/>
      <c r="U172" s="2009"/>
      <c r="V172" s="2009"/>
      <c r="W172" s="2009"/>
      <c r="X172" s="2009"/>
      <c r="Y172" s="2009"/>
      <c r="Z172" s="2009"/>
      <c r="AA172" s="2009"/>
      <c r="AB172" s="2009"/>
      <c r="AC172" s="2175"/>
      <c r="AD172" s="2175"/>
      <c r="AE172" s="2175"/>
      <c r="AF172" s="2175"/>
      <c r="AG172" s="2009"/>
    </row>
    <row r="173" spans="1:38" ht="20.149999999999999" customHeight="1">
      <c r="B173" s="2009"/>
      <c r="C173" s="2009"/>
      <c r="D173" s="2009"/>
      <c r="E173" s="2009"/>
      <c r="F173" s="2009"/>
      <c r="G173" s="2009"/>
      <c r="H173" s="2009"/>
      <c r="I173" s="2009"/>
      <c r="J173" s="2397"/>
      <c r="K173" s="2009"/>
      <c r="L173" s="2009"/>
      <c r="M173" s="2009"/>
      <c r="N173" s="2009"/>
      <c r="O173" s="2009"/>
      <c r="P173" s="2175"/>
      <c r="Q173" s="2009"/>
      <c r="R173" s="2009"/>
      <c r="S173" s="2009"/>
      <c r="T173" s="2009"/>
      <c r="U173" s="2009"/>
      <c r="V173" s="2009"/>
      <c r="W173" s="2009"/>
      <c r="X173" s="2009"/>
      <c r="Y173" s="2009"/>
      <c r="Z173" s="2009"/>
      <c r="AA173" s="2009"/>
      <c r="AB173" s="2009"/>
      <c r="AC173" s="2175"/>
      <c r="AD173" s="2175"/>
      <c r="AE173" s="2175"/>
      <c r="AF173" s="2175"/>
      <c r="AG173" s="2009"/>
    </row>
    <row r="174" spans="1:38" ht="20.149999999999999" customHeight="1">
      <c r="B174" s="2009"/>
      <c r="C174" s="2009"/>
      <c r="D174" s="2009"/>
      <c r="E174" s="2009"/>
      <c r="F174" s="2009"/>
      <c r="G174" s="2009"/>
      <c r="H174" s="2009"/>
      <c r="I174" s="2009"/>
      <c r="J174" s="2397"/>
      <c r="K174" s="2009"/>
      <c r="L174" s="2009"/>
      <c r="M174" s="2009"/>
      <c r="N174" s="2009"/>
      <c r="O174" s="2009"/>
      <c r="P174" s="2175"/>
      <c r="Q174" s="2009"/>
      <c r="R174" s="2009"/>
      <c r="S174" s="2009"/>
      <c r="T174" s="2009"/>
      <c r="U174" s="2009"/>
      <c r="V174" s="2009"/>
      <c r="W174" s="2009"/>
      <c r="X174" s="2009"/>
      <c r="Y174" s="2009"/>
      <c r="Z174" s="2009"/>
      <c r="AA174" s="2009"/>
      <c r="AB174" s="2009"/>
      <c r="AC174" s="2175"/>
      <c r="AD174" s="2175"/>
      <c r="AE174" s="2175"/>
      <c r="AF174" s="2175"/>
      <c r="AG174" s="2009"/>
    </row>
    <row r="175" spans="1:38" ht="20.149999999999999" customHeight="1">
      <c r="B175" s="2009"/>
      <c r="C175" s="2009"/>
      <c r="D175" s="2009"/>
      <c r="E175" s="2009"/>
      <c r="F175" s="2009"/>
      <c r="G175" s="2009"/>
      <c r="H175" s="2009"/>
      <c r="I175" s="2009"/>
      <c r="J175" s="2397"/>
      <c r="K175" s="2009"/>
      <c r="L175" s="2009"/>
      <c r="M175" s="2009"/>
      <c r="N175" s="2009"/>
      <c r="O175" s="2009"/>
      <c r="P175" s="2175"/>
      <c r="Q175" s="2009"/>
      <c r="R175" s="2009"/>
      <c r="S175" s="2009"/>
      <c r="T175" s="2009"/>
      <c r="U175" s="2009"/>
      <c r="V175" s="2009"/>
      <c r="W175" s="2009"/>
      <c r="X175" s="2009"/>
      <c r="Y175" s="2009"/>
      <c r="Z175" s="2009"/>
      <c r="AA175" s="2009"/>
      <c r="AB175" s="2009"/>
      <c r="AC175" s="2175"/>
      <c r="AD175" s="2175"/>
      <c r="AE175" s="2175"/>
      <c r="AF175" s="2175"/>
      <c r="AG175" s="2009"/>
    </row>
    <row r="176" spans="1:38">
      <c r="B176" s="2009"/>
      <c r="C176" s="2009"/>
      <c r="D176" s="2009"/>
      <c r="E176" s="2009"/>
      <c r="F176" s="2009"/>
      <c r="G176" s="2009"/>
      <c r="H176" s="2009"/>
      <c r="I176" s="2009"/>
      <c r="J176" s="2397"/>
      <c r="K176" s="2009"/>
      <c r="L176" s="2009"/>
      <c r="M176" s="2009"/>
      <c r="N176" s="2009"/>
      <c r="O176" s="2009"/>
      <c r="P176" s="2175"/>
      <c r="Q176" s="2009"/>
      <c r="R176" s="2009"/>
      <c r="S176" s="2009"/>
      <c r="T176" s="2009"/>
      <c r="U176" s="2009"/>
      <c r="V176" s="2009"/>
      <c r="W176" s="2009"/>
      <c r="X176" s="2009"/>
      <c r="Y176" s="2009"/>
      <c r="Z176" s="2009"/>
      <c r="AA176" s="2009"/>
      <c r="AB176" s="2009"/>
      <c r="AC176" s="2175"/>
      <c r="AD176" s="2175"/>
      <c r="AE176" s="2175"/>
      <c r="AF176" s="2175"/>
      <c r="AG176" s="2009"/>
    </row>
    <row r="177" spans="2:33">
      <c r="B177" s="2009"/>
      <c r="C177" s="2009"/>
      <c r="D177" s="2009"/>
      <c r="E177" s="2009"/>
      <c r="F177" s="2009"/>
      <c r="G177" s="2009"/>
      <c r="H177" s="2009"/>
      <c r="I177" s="2009"/>
      <c r="J177" s="2397"/>
      <c r="K177" s="2009"/>
      <c r="L177" s="2009"/>
      <c r="M177" s="2009"/>
      <c r="N177" s="2009"/>
      <c r="O177" s="2009"/>
      <c r="P177" s="2175"/>
      <c r="Q177" s="2009"/>
      <c r="R177" s="2009"/>
      <c r="S177" s="2009"/>
      <c r="T177" s="2009"/>
      <c r="U177" s="2009"/>
      <c r="V177" s="2009"/>
      <c r="W177" s="2009"/>
      <c r="X177" s="2009"/>
      <c r="Y177" s="2009"/>
      <c r="Z177" s="2009"/>
      <c r="AA177" s="2009"/>
      <c r="AB177" s="2009"/>
      <c r="AC177" s="2175"/>
      <c r="AD177" s="2175"/>
      <c r="AE177" s="2175"/>
      <c r="AF177" s="2175"/>
      <c r="AG177" s="2009"/>
    </row>
    <row r="178" spans="2:33">
      <c r="B178" s="2009"/>
      <c r="C178" s="2009"/>
      <c r="D178" s="2009"/>
      <c r="E178" s="2009"/>
      <c r="F178" s="2009"/>
      <c r="G178" s="2009"/>
      <c r="H178" s="2009"/>
      <c r="I178" s="2009"/>
      <c r="J178" s="2397"/>
      <c r="K178" s="2009"/>
      <c r="L178" s="2009"/>
      <c r="M178" s="2009"/>
      <c r="N178" s="2009"/>
      <c r="O178" s="2009"/>
      <c r="P178" s="2175"/>
      <c r="Q178" s="2009"/>
      <c r="R178" s="2009"/>
      <c r="S178" s="2009"/>
      <c r="T178" s="2009"/>
      <c r="U178" s="2009"/>
      <c r="V178" s="2009"/>
      <c r="W178" s="2009"/>
      <c r="X178" s="2009"/>
      <c r="Y178" s="2009"/>
      <c r="Z178" s="2009"/>
      <c r="AA178" s="2009"/>
      <c r="AB178" s="2009"/>
      <c r="AC178" s="2175"/>
      <c r="AD178" s="2175"/>
      <c r="AE178" s="2175"/>
      <c r="AF178" s="2175"/>
      <c r="AG178" s="2009"/>
    </row>
    <row r="179" spans="2:33">
      <c r="B179" s="2009"/>
      <c r="C179" s="2009"/>
      <c r="D179" s="2009"/>
      <c r="E179" s="2009"/>
      <c r="F179" s="2009"/>
      <c r="G179" s="2009"/>
      <c r="H179" s="2009"/>
      <c r="I179" s="2009"/>
      <c r="J179" s="2397"/>
      <c r="K179" s="2009"/>
      <c r="L179" s="2009"/>
      <c r="M179" s="2009"/>
      <c r="N179" s="2009"/>
      <c r="O179" s="2009"/>
      <c r="P179" s="2175"/>
      <c r="Q179" s="2009"/>
      <c r="R179" s="2009"/>
      <c r="S179" s="2009"/>
      <c r="T179" s="2009"/>
      <c r="U179" s="2009"/>
      <c r="V179" s="2009"/>
      <c r="W179" s="2009"/>
      <c r="X179" s="2009"/>
      <c r="Y179" s="2009"/>
      <c r="Z179" s="2009"/>
      <c r="AA179" s="2009"/>
      <c r="AB179" s="2009"/>
      <c r="AC179" s="2175"/>
      <c r="AD179" s="2175"/>
      <c r="AE179" s="2175"/>
      <c r="AF179" s="2175"/>
      <c r="AG179" s="2009"/>
    </row>
    <row r="180" spans="2:33">
      <c r="B180" s="2009"/>
      <c r="C180" s="2009"/>
      <c r="D180" s="2009"/>
      <c r="E180" s="2009"/>
      <c r="F180" s="2009"/>
      <c r="G180" s="2009"/>
      <c r="H180" s="2009"/>
      <c r="I180" s="2009"/>
      <c r="J180" s="2397"/>
      <c r="K180" s="2009"/>
      <c r="L180" s="2009"/>
      <c r="M180" s="2009"/>
      <c r="N180" s="2009"/>
      <c r="O180" s="2009"/>
      <c r="P180" s="2175"/>
      <c r="Q180" s="2009"/>
      <c r="R180" s="2009"/>
      <c r="S180" s="2009"/>
      <c r="T180" s="2009"/>
      <c r="U180" s="2009"/>
      <c r="V180" s="2009"/>
      <c r="W180" s="2009"/>
      <c r="X180" s="2009"/>
      <c r="Y180" s="2009"/>
      <c r="Z180" s="2009"/>
      <c r="AA180" s="2009"/>
      <c r="AB180" s="2009"/>
      <c r="AC180" s="2175"/>
      <c r="AD180" s="2175"/>
      <c r="AE180" s="2175"/>
      <c r="AF180" s="2175"/>
      <c r="AG180" s="2009"/>
    </row>
    <row r="181" spans="2:33">
      <c r="B181" s="2009"/>
      <c r="C181" s="2009"/>
      <c r="D181" s="2009"/>
      <c r="E181" s="2009"/>
      <c r="F181" s="2009"/>
      <c r="G181" s="2009"/>
      <c r="H181" s="2009"/>
      <c r="I181" s="2009"/>
      <c r="J181" s="2397"/>
      <c r="K181" s="2009"/>
      <c r="L181" s="2009"/>
      <c r="M181" s="2009"/>
      <c r="N181" s="2009"/>
      <c r="O181" s="2009"/>
      <c r="P181" s="2175"/>
      <c r="Q181" s="2009"/>
      <c r="R181" s="2009"/>
      <c r="S181" s="2009"/>
      <c r="T181" s="2009"/>
      <c r="U181" s="2009"/>
      <c r="V181" s="2009"/>
      <c r="W181" s="2009"/>
      <c r="X181" s="2009"/>
      <c r="Y181" s="2009"/>
      <c r="Z181" s="2009"/>
      <c r="AA181" s="2009"/>
      <c r="AB181" s="2009"/>
      <c r="AC181" s="2175"/>
      <c r="AD181" s="2175"/>
      <c r="AE181" s="2175"/>
      <c r="AF181" s="2175"/>
      <c r="AG181" s="2009"/>
    </row>
    <row r="182" spans="2:33">
      <c r="B182" s="2009"/>
      <c r="C182" s="2009"/>
      <c r="D182" s="2009"/>
      <c r="E182" s="2009"/>
      <c r="F182" s="2009"/>
      <c r="G182" s="2009"/>
      <c r="H182" s="2009"/>
      <c r="I182" s="2009"/>
      <c r="J182" s="2397"/>
      <c r="K182" s="2009"/>
      <c r="L182" s="2009"/>
      <c r="M182" s="2009"/>
      <c r="N182" s="2009"/>
      <c r="O182" s="2009"/>
      <c r="P182" s="2175"/>
      <c r="Q182" s="2009"/>
      <c r="R182" s="2009"/>
      <c r="S182" s="2009"/>
      <c r="T182" s="2009"/>
      <c r="U182" s="2009"/>
      <c r="V182" s="2009"/>
      <c r="W182" s="2009"/>
      <c r="X182" s="2009"/>
      <c r="Y182" s="2009"/>
      <c r="Z182" s="2009"/>
      <c r="AA182" s="2009"/>
      <c r="AB182" s="2009"/>
      <c r="AC182" s="2175"/>
      <c r="AD182" s="2175"/>
      <c r="AE182" s="2175"/>
      <c r="AF182" s="2175"/>
      <c r="AG182" s="2009"/>
    </row>
    <row r="183" spans="2:33">
      <c r="B183" s="2009"/>
      <c r="C183" s="2009"/>
      <c r="D183" s="2009"/>
      <c r="E183" s="2009"/>
      <c r="F183" s="2009"/>
      <c r="G183" s="2009"/>
      <c r="H183" s="2009"/>
      <c r="I183" s="2009"/>
      <c r="J183" s="2397"/>
      <c r="K183" s="2009"/>
      <c r="L183" s="2009"/>
      <c r="M183" s="2009"/>
      <c r="N183" s="2009"/>
      <c r="O183" s="2009"/>
      <c r="P183" s="2175"/>
      <c r="Q183" s="2009"/>
      <c r="R183" s="2009"/>
      <c r="S183" s="2009"/>
      <c r="T183" s="2009"/>
      <c r="U183" s="2009"/>
      <c r="V183" s="2009"/>
      <c r="W183" s="2009"/>
      <c r="X183" s="2009"/>
      <c r="Y183" s="2009"/>
      <c r="Z183" s="2009"/>
      <c r="AA183" s="2009"/>
      <c r="AB183" s="2009"/>
      <c r="AC183" s="2175"/>
      <c r="AD183" s="2175"/>
      <c r="AE183" s="2175"/>
      <c r="AF183" s="2175"/>
      <c r="AG183" s="2009"/>
    </row>
    <row r="184" spans="2:33">
      <c r="B184" s="2009"/>
      <c r="C184" s="2009"/>
      <c r="D184" s="2009"/>
      <c r="E184" s="2009"/>
      <c r="F184" s="2009"/>
      <c r="G184" s="2009"/>
      <c r="H184" s="2009"/>
      <c r="I184" s="2009"/>
      <c r="J184" s="2397"/>
      <c r="K184" s="2009"/>
      <c r="L184" s="2009"/>
      <c r="M184" s="2009"/>
      <c r="N184" s="2009"/>
      <c r="O184" s="2009"/>
      <c r="P184" s="2175"/>
      <c r="Q184" s="2009"/>
      <c r="R184" s="2009"/>
      <c r="S184" s="2009"/>
      <c r="T184" s="2009"/>
      <c r="U184" s="2009"/>
      <c r="V184" s="2009"/>
      <c r="W184" s="2009"/>
      <c r="X184" s="2009"/>
      <c r="Y184" s="2009"/>
      <c r="Z184" s="2009"/>
      <c r="AA184" s="2009"/>
      <c r="AB184" s="2009"/>
      <c r="AC184" s="2175"/>
      <c r="AD184" s="2175"/>
      <c r="AE184" s="2175"/>
      <c r="AF184" s="2175"/>
      <c r="AG184" s="2009"/>
    </row>
    <row r="185" spans="2:33">
      <c r="B185" s="2009"/>
      <c r="C185" s="2009"/>
      <c r="D185" s="2009"/>
      <c r="E185" s="2009"/>
      <c r="F185" s="2009"/>
      <c r="G185" s="2009"/>
      <c r="H185" s="2009"/>
      <c r="I185" s="2009"/>
      <c r="J185" s="2397"/>
      <c r="K185" s="2009"/>
      <c r="L185" s="2009"/>
      <c r="M185" s="2009"/>
      <c r="N185" s="2009"/>
      <c r="O185" s="2009"/>
      <c r="P185" s="2175"/>
      <c r="Q185" s="2009"/>
      <c r="R185" s="2009"/>
      <c r="S185" s="2009"/>
      <c r="T185" s="2009"/>
      <c r="U185" s="2009"/>
      <c r="V185" s="2009"/>
      <c r="W185" s="2009"/>
      <c r="X185" s="2009"/>
      <c r="Y185" s="2009"/>
      <c r="Z185" s="2009"/>
      <c r="AA185" s="2009"/>
      <c r="AB185" s="2009"/>
      <c r="AC185" s="2175"/>
      <c r="AD185" s="2175"/>
      <c r="AE185" s="2175"/>
      <c r="AF185" s="2175"/>
      <c r="AG185" s="2009"/>
    </row>
    <row r="186" spans="2:33">
      <c r="B186" s="2009"/>
      <c r="C186" s="2009"/>
      <c r="D186" s="2009"/>
      <c r="E186" s="2009"/>
      <c r="F186" s="2009"/>
      <c r="G186" s="2009"/>
      <c r="H186" s="2009"/>
      <c r="I186" s="2009"/>
      <c r="J186" s="2397"/>
      <c r="K186" s="2009"/>
      <c r="L186" s="2009"/>
      <c r="M186" s="2009"/>
      <c r="N186" s="2009"/>
      <c r="O186" s="2009"/>
      <c r="P186" s="2175"/>
      <c r="Q186" s="2009"/>
      <c r="R186" s="2009"/>
      <c r="S186" s="2009"/>
      <c r="T186" s="2009"/>
      <c r="U186" s="2009"/>
      <c r="V186" s="2009"/>
      <c r="W186" s="2009"/>
      <c r="X186" s="2009"/>
      <c r="Y186" s="2009"/>
      <c r="Z186" s="2009"/>
      <c r="AA186" s="2009"/>
      <c r="AB186" s="2009"/>
      <c r="AC186" s="2175"/>
      <c r="AD186" s="2175"/>
      <c r="AE186" s="2175"/>
      <c r="AF186" s="2175"/>
      <c r="AG186" s="2009"/>
    </row>
    <row r="187" spans="2:33">
      <c r="B187" s="2009"/>
      <c r="C187" s="2009"/>
      <c r="D187" s="2009"/>
      <c r="E187" s="2009"/>
      <c r="F187" s="2009"/>
      <c r="G187" s="2009"/>
      <c r="H187" s="2009"/>
      <c r="I187" s="2009"/>
      <c r="J187" s="2397"/>
      <c r="K187" s="2009"/>
      <c r="L187" s="2009"/>
      <c r="M187" s="2009"/>
      <c r="N187" s="2009"/>
      <c r="O187" s="2009"/>
      <c r="P187" s="2175"/>
      <c r="Q187" s="2009"/>
      <c r="R187" s="2009"/>
      <c r="S187" s="2009"/>
      <c r="T187" s="2009"/>
      <c r="U187" s="2009"/>
      <c r="V187" s="2009"/>
      <c r="W187" s="2009"/>
      <c r="X187" s="2009"/>
      <c r="Y187" s="2009"/>
      <c r="Z187" s="2009"/>
      <c r="AA187" s="2009"/>
      <c r="AB187" s="2009"/>
      <c r="AC187" s="2175"/>
      <c r="AD187" s="2175"/>
      <c r="AE187" s="2175"/>
      <c r="AF187" s="2175"/>
      <c r="AG187" s="2009"/>
    </row>
    <row r="188" spans="2:33">
      <c r="B188" s="2009"/>
      <c r="C188" s="2009"/>
      <c r="D188" s="2009"/>
      <c r="E188" s="2009"/>
      <c r="F188" s="2009"/>
      <c r="G188" s="2009"/>
      <c r="H188" s="2009"/>
      <c r="I188" s="2009"/>
      <c r="J188" s="2397"/>
      <c r="K188" s="2009"/>
      <c r="L188" s="2009"/>
      <c r="M188" s="2009"/>
      <c r="N188" s="2009"/>
      <c r="O188" s="2009"/>
      <c r="P188" s="2175"/>
      <c r="Q188" s="2009"/>
      <c r="R188" s="2009"/>
      <c r="S188" s="2009"/>
      <c r="T188" s="2009"/>
      <c r="U188" s="2009"/>
      <c r="V188" s="2009"/>
      <c r="W188" s="2009"/>
      <c r="X188" s="2009"/>
      <c r="Y188" s="2009"/>
      <c r="Z188" s="2009"/>
      <c r="AA188" s="2009"/>
      <c r="AB188" s="2009"/>
      <c r="AC188" s="2175"/>
      <c r="AD188" s="2175"/>
      <c r="AE188" s="2175"/>
      <c r="AF188" s="2175"/>
      <c r="AG188" s="2009"/>
    </row>
    <row r="189" spans="2:33">
      <c r="B189" s="2009"/>
      <c r="C189" s="2009"/>
      <c r="D189" s="2009"/>
      <c r="E189" s="2009"/>
      <c r="F189" s="2009"/>
      <c r="G189" s="2009"/>
      <c r="H189" s="2009"/>
      <c r="I189" s="2009"/>
      <c r="J189" s="2397"/>
      <c r="K189" s="2009"/>
      <c r="L189" s="2009"/>
      <c r="M189" s="2009"/>
      <c r="N189" s="2009"/>
      <c r="O189" s="2009"/>
      <c r="P189" s="2175"/>
      <c r="Q189" s="2009"/>
      <c r="R189" s="2009"/>
      <c r="S189" s="2009"/>
      <c r="T189" s="2009"/>
      <c r="U189" s="2009"/>
      <c r="V189" s="2009"/>
      <c r="W189" s="2009"/>
      <c r="X189" s="2009"/>
      <c r="Y189" s="2009"/>
      <c r="Z189" s="2009"/>
      <c r="AA189" s="2009"/>
      <c r="AB189" s="2009"/>
      <c r="AC189" s="2175"/>
      <c r="AD189" s="2175"/>
      <c r="AE189" s="2175"/>
      <c r="AF189" s="2175"/>
      <c r="AG189" s="2009"/>
    </row>
    <row r="190" spans="2:33">
      <c r="B190" s="2009"/>
      <c r="C190" s="2009"/>
      <c r="D190" s="2009"/>
      <c r="E190" s="2009"/>
      <c r="F190" s="2009"/>
      <c r="G190" s="2009"/>
      <c r="H190" s="2009"/>
      <c r="I190" s="2009"/>
      <c r="J190" s="2397"/>
      <c r="K190" s="2009"/>
      <c r="L190" s="2009"/>
      <c r="M190" s="2009"/>
      <c r="N190" s="2009"/>
      <c r="O190" s="2009"/>
      <c r="P190" s="2175"/>
      <c r="Q190" s="2009"/>
      <c r="R190" s="2009"/>
      <c r="S190" s="2009"/>
      <c r="T190" s="2009"/>
      <c r="U190" s="2009"/>
      <c r="V190" s="2009"/>
      <c r="W190" s="2009"/>
      <c r="X190" s="2009"/>
      <c r="Y190" s="2009"/>
      <c r="Z190" s="2009"/>
      <c r="AA190" s="2009"/>
      <c r="AB190" s="2009"/>
      <c r="AC190" s="2175"/>
      <c r="AD190" s="2175"/>
      <c r="AE190" s="2175"/>
      <c r="AF190" s="2175"/>
      <c r="AG190" s="2009"/>
    </row>
    <row r="191" spans="2:33">
      <c r="B191" s="2009"/>
      <c r="C191" s="2009"/>
      <c r="D191" s="2009"/>
      <c r="E191" s="2009"/>
      <c r="F191" s="2009"/>
      <c r="G191" s="2009"/>
      <c r="H191" s="2009"/>
      <c r="I191" s="2009"/>
      <c r="J191" s="2397"/>
      <c r="K191" s="2009"/>
      <c r="L191" s="2009"/>
      <c r="M191" s="2009"/>
      <c r="N191" s="2009"/>
      <c r="O191" s="2009"/>
      <c r="P191" s="2175"/>
      <c r="Q191" s="2009"/>
      <c r="R191" s="2009"/>
      <c r="S191" s="2009"/>
      <c r="T191" s="2009"/>
      <c r="U191" s="2009"/>
      <c r="V191" s="2009"/>
      <c r="W191" s="2009"/>
      <c r="X191" s="2009"/>
      <c r="Y191" s="2009"/>
      <c r="Z191" s="2009"/>
      <c r="AA191" s="2009"/>
      <c r="AB191" s="2009"/>
      <c r="AC191" s="2175"/>
      <c r="AD191" s="2175"/>
      <c r="AE191" s="2175"/>
      <c r="AF191" s="2175"/>
      <c r="AG191" s="2009"/>
    </row>
    <row r="192" spans="2:33">
      <c r="B192" s="2009"/>
      <c r="C192" s="2009"/>
      <c r="D192" s="2009"/>
      <c r="E192" s="2009"/>
      <c r="F192" s="2009"/>
      <c r="G192" s="2009"/>
      <c r="H192" s="2009"/>
      <c r="I192" s="2009"/>
      <c r="J192" s="2397"/>
      <c r="K192" s="2009"/>
      <c r="L192" s="2009"/>
      <c r="M192" s="2009"/>
      <c r="N192" s="2009"/>
      <c r="O192" s="2009"/>
      <c r="P192" s="2175"/>
      <c r="Q192" s="2009"/>
      <c r="R192" s="2009"/>
      <c r="S192" s="2009"/>
      <c r="T192" s="2009"/>
      <c r="U192" s="2009"/>
      <c r="V192" s="2009"/>
      <c r="W192" s="2009"/>
      <c r="X192" s="2009"/>
      <c r="Y192" s="2009"/>
      <c r="Z192" s="2009"/>
      <c r="AA192" s="2009"/>
      <c r="AB192" s="2009"/>
      <c r="AC192" s="2175"/>
      <c r="AD192" s="2175"/>
      <c r="AE192" s="2175"/>
      <c r="AF192" s="2175"/>
      <c r="AG192" s="2009"/>
    </row>
    <row r="193" spans="2:33">
      <c r="B193" s="2009"/>
      <c r="C193" s="2009"/>
      <c r="D193" s="2009"/>
      <c r="E193" s="2009"/>
      <c r="F193" s="2009"/>
      <c r="G193" s="2009"/>
      <c r="H193" s="2009"/>
      <c r="I193" s="2009"/>
      <c r="J193" s="2397"/>
      <c r="K193" s="2009"/>
      <c r="L193" s="2009"/>
      <c r="M193" s="2009"/>
      <c r="N193" s="2009"/>
      <c r="O193" s="2009"/>
      <c r="P193" s="2175"/>
      <c r="Q193" s="2009"/>
      <c r="R193" s="2009"/>
      <c r="S193" s="2009"/>
      <c r="T193" s="2009"/>
      <c r="U193" s="2009"/>
      <c r="V193" s="2009"/>
      <c r="W193" s="2009"/>
      <c r="X193" s="2009"/>
      <c r="Y193" s="2009"/>
      <c r="Z193" s="2009"/>
      <c r="AA193" s="2009"/>
      <c r="AB193" s="2009"/>
      <c r="AC193" s="2175"/>
      <c r="AD193" s="2175"/>
      <c r="AE193" s="2175"/>
      <c r="AF193" s="2175"/>
      <c r="AG193" s="2009"/>
    </row>
    <row r="194" spans="2:33">
      <c r="B194" s="2009"/>
      <c r="C194" s="2009"/>
      <c r="D194" s="2009"/>
      <c r="E194" s="2009"/>
      <c r="F194" s="2009"/>
      <c r="G194" s="2009"/>
      <c r="H194" s="2009"/>
      <c r="I194" s="2009"/>
      <c r="J194" s="2397"/>
      <c r="K194" s="2009"/>
      <c r="L194" s="2009"/>
      <c r="M194" s="2009"/>
      <c r="N194" s="2009"/>
      <c r="O194" s="2009"/>
      <c r="P194" s="2175"/>
      <c r="Q194" s="2009"/>
      <c r="R194" s="2009"/>
      <c r="S194" s="2009"/>
      <c r="T194" s="2009"/>
      <c r="U194" s="2009"/>
      <c r="V194" s="2009"/>
      <c r="W194" s="2009"/>
      <c r="X194" s="2009"/>
      <c r="Y194" s="2009"/>
      <c r="Z194" s="2009"/>
      <c r="AA194" s="2009"/>
      <c r="AB194" s="2009"/>
      <c r="AC194" s="2175"/>
      <c r="AD194" s="2175"/>
      <c r="AE194" s="2175"/>
      <c r="AF194" s="2175"/>
      <c r="AG194" s="2009"/>
    </row>
    <row r="195" spans="2:33">
      <c r="B195" s="2009"/>
      <c r="C195" s="2009"/>
      <c r="D195" s="2009"/>
      <c r="E195" s="2009"/>
      <c r="F195" s="2009"/>
      <c r="G195" s="2009"/>
      <c r="H195" s="2009"/>
      <c r="I195" s="2009"/>
      <c r="J195" s="2397"/>
      <c r="K195" s="2009"/>
      <c r="L195" s="2009"/>
      <c r="M195" s="2009"/>
      <c r="N195" s="2009"/>
      <c r="O195" s="2009"/>
      <c r="P195" s="2175"/>
      <c r="Q195" s="2009"/>
      <c r="R195" s="2009"/>
      <c r="S195" s="2009"/>
      <c r="T195" s="2009"/>
      <c r="U195" s="2009"/>
      <c r="V195" s="2009"/>
      <c r="W195" s="2009"/>
      <c r="X195" s="2009"/>
      <c r="Y195" s="2009"/>
      <c r="Z195" s="2009"/>
      <c r="AA195" s="2009"/>
      <c r="AB195" s="2009"/>
      <c r="AC195" s="2175"/>
      <c r="AD195" s="2175"/>
      <c r="AE195" s="2175"/>
      <c r="AF195" s="2175"/>
      <c r="AG195" s="2009"/>
    </row>
    <row r="196" spans="2:33">
      <c r="B196" s="2009"/>
      <c r="C196" s="2009"/>
      <c r="D196" s="2009"/>
      <c r="E196" s="2009"/>
      <c r="F196" s="2009"/>
      <c r="G196" s="2009"/>
      <c r="H196" s="2009"/>
      <c r="I196" s="2009"/>
      <c r="J196" s="2397"/>
      <c r="K196" s="2009"/>
      <c r="L196" s="2009"/>
      <c r="M196" s="2009"/>
      <c r="N196" s="2009"/>
      <c r="O196" s="2009"/>
      <c r="P196" s="2175"/>
      <c r="Q196" s="2009"/>
      <c r="R196" s="2009"/>
      <c r="S196" s="2009"/>
      <c r="T196" s="2009"/>
      <c r="U196" s="2009"/>
      <c r="V196" s="2009"/>
      <c r="W196" s="2009"/>
      <c r="X196" s="2009"/>
      <c r="Y196" s="2009"/>
      <c r="Z196" s="2009"/>
      <c r="AA196" s="2009"/>
      <c r="AB196" s="2009"/>
      <c r="AC196" s="2175"/>
      <c r="AD196" s="2175"/>
      <c r="AE196" s="2175"/>
      <c r="AF196" s="2175"/>
      <c r="AG196" s="2009"/>
    </row>
    <row r="197" spans="2:33">
      <c r="B197" s="2009"/>
      <c r="C197" s="2009"/>
      <c r="D197" s="2009"/>
      <c r="E197" s="2009"/>
      <c r="F197" s="2009"/>
      <c r="G197" s="2009"/>
      <c r="H197" s="2009"/>
      <c r="I197" s="2009"/>
      <c r="J197" s="2397"/>
      <c r="K197" s="2009"/>
      <c r="L197" s="2009"/>
      <c r="M197" s="2009"/>
      <c r="N197" s="2009"/>
      <c r="O197" s="2009"/>
      <c r="P197" s="2175"/>
      <c r="Q197" s="2009"/>
      <c r="R197" s="2009"/>
      <c r="S197" s="2009"/>
      <c r="T197" s="2009"/>
      <c r="U197" s="2009"/>
      <c r="V197" s="2009"/>
      <c r="W197" s="2009"/>
      <c r="X197" s="2009"/>
      <c r="Y197" s="2009"/>
      <c r="Z197" s="2009"/>
      <c r="AA197" s="2009"/>
      <c r="AB197" s="2009"/>
      <c r="AC197" s="2175"/>
      <c r="AD197" s="2175"/>
      <c r="AE197" s="2175"/>
      <c r="AF197" s="2175"/>
      <c r="AG197" s="2009"/>
    </row>
    <row r="198" spans="2:33">
      <c r="B198" s="2009"/>
      <c r="C198" s="2009"/>
      <c r="D198" s="2009"/>
      <c r="E198" s="2009"/>
      <c r="F198" s="2009"/>
      <c r="G198" s="2009"/>
      <c r="H198" s="2009"/>
      <c r="I198" s="2009"/>
      <c r="J198" s="2397"/>
      <c r="K198" s="2009"/>
      <c r="L198" s="2009"/>
      <c r="M198" s="2009"/>
      <c r="N198" s="2009"/>
      <c r="O198" s="2009"/>
      <c r="P198" s="2175"/>
      <c r="Q198" s="2009"/>
      <c r="R198" s="2009"/>
      <c r="S198" s="2009"/>
      <c r="T198" s="2009"/>
      <c r="U198" s="2009"/>
      <c r="V198" s="2009"/>
      <c r="W198" s="2009"/>
      <c r="X198" s="2009"/>
      <c r="Y198" s="2009"/>
      <c r="Z198" s="2009"/>
      <c r="AA198" s="2009"/>
      <c r="AB198" s="2009"/>
      <c r="AC198" s="2175"/>
      <c r="AD198" s="2175"/>
      <c r="AE198" s="2175"/>
      <c r="AF198" s="2175"/>
      <c r="AG198" s="2009"/>
    </row>
    <row r="199" spans="2:33">
      <c r="B199" s="2009"/>
      <c r="C199" s="2009"/>
      <c r="D199" s="2009"/>
      <c r="E199" s="2009"/>
      <c r="F199" s="2009"/>
      <c r="G199" s="2009"/>
      <c r="H199" s="2009"/>
      <c r="I199" s="2009"/>
      <c r="J199" s="2397"/>
      <c r="K199" s="2009"/>
      <c r="L199" s="2009"/>
      <c r="M199" s="2009"/>
      <c r="N199" s="2009"/>
      <c r="O199" s="2009"/>
      <c r="P199" s="2175"/>
      <c r="Q199" s="2009"/>
      <c r="R199" s="2009"/>
      <c r="S199" s="2009"/>
      <c r="T199" s="2009"/>
      <c r="U199" s="2009"/>
      <c r="V199" s="2009"/>
      <c r="W199" s="2009"/>
      <c r="X199" s="2009"/>
      <c r="Y199" s="2009"/>
      <c r="Z199" s="2009"/>
      <c r="AA199" s="2009"/>
      <c r="AB199" s="2009"/>
      <c r="AC199" s="2175"/>
      <c r="AD199" s="2175"/>
      <c r="AE199" s="2175"/>
      <c r="AF199" s="2175"/>
      <c r="AG199" s="2009"/>
    </row>
    <row r="200" spans="2:33">
      <c r="B200" s="2009"/>
      <c r="C200" s="2009"/>
      <c r="D200" s="2009"/>
      <c r="E200" s="2009"/>
      <c r="F200" s="2009"/>
      <c r="G200" s="2009"/>
      <c r="H200" s="2009"/>
      <c r="I200" s="2009"/>
      <c r="J200" s="2397"/>
      <c r="K200" s="2009"/>
      <c r="L200" s="2009"/>
      <c r="M200" s="2009"/>
      <c r="N200" s="2009"/>
      <c r="O200" s="2009"/>
      <c r="P200" s="2175"/>
      <c r="Q200" s="2009"/>
      <c r="R200" s="2009"/>
      <c r="S200" s="2009"/>
      <c r="T200" s="2009"/>
      <c r="U200" s="2009"/>
      <c r="V200" s="2009"/>
      <c r="W200" s="2009"/>
      <c r="X200" s="2009"/>
      <c r="Y200" s="2009"/>
      <c r="Z200" s="2009"/>
      <c r="AA200" s="2009"/>
      <c r="AB200" s="2009"/>
      <c r="AC200" s="2175"/>
      <c r="AD200" s="2175"/>
      <c r="AE200" s="2175"/>
      <c r="AF200" s="2175"/>
      <c r="AG200" s="2009"/>
    </row>
    <row r="201" spans="2:33">
      <c r="B201" s="2009"/>
      <c r="C201" s="2009"/>
      <c r="D201" s="2009"/>
      <c r="E201" s="2009"/>
      <c r="F201" s="2009"/>
      <c r="G201" s="2009"/>
      <c r="H201" s="2009"/>
      <c r="I201" s="2009"/>
      <c r="J201" s="2397"/>
      <c r="K201" s="2009"/>
      <c r="L201" s="2009"/>
      <c r="M201" s="2009"/>
      <c r="N201" s="2009"/>
      <c r="O201" s="2009"/>
      <c r="P201" s="2175"/>
      <c r="Q201" s="2009"/>
      <c r="R201" s="2009"/>
      <c r="S201" s="2009"/>
      <c r="T201" s="2009"/>
      <c r="U201" s="2009"/>
      <c r="V201" s="2009"/>
      <c r="W201" s="2009"/>
      <c r="X201" s="2009"/>
      <c r="Y201" s="2009"/>
      <c r="Z201" s="2009"/>
      <c r="AA201" s="2009"/>
      <c r="AB201" s="2009"/>
      <c r="AC201" s="2175"/>
      <c r="AD201" s="2175"/>
      <c r="AE201" s="2175"/>
      <c r="AF201" s="2175"/>
      <c r="AG201" s="2009"/>
    </row>
    <row r="202" spans="2:33">
      <c r="B202" s="2009"/>
      <c r="C202" s="2009"/>
      <c r="D202" s="2009"/>
      <c r="E202" s="2009"/>
      <c r="F202" s="2009"/>
      <c r="G202" s="2009"/>
      <c r="H202" s="2009"/>
      <c r="I202" s="2009"/>
      <c r="J202" s="2397"/>
      <c r="K202" s="2009"/>
      <c r="L202" s="2009"/>
      <c r="M202" s="2009"/>
      <c r="N202" s="2009"/>
      <c r="O202" s="2009"/>
      <c r="P202" s="2175"/>
      <c r="Q202" s="2009"/>
      <c r="R202" s="2009"/>
      <c r="S202" s="2009"/>
      <c r="T202" s="2009"/>
      <c r="U202" s="2009"/>
      <c r="V202" s="2009"/>
      <c r="W202" s="2009"/>
      <c r="X202" s="2009"/>
      <c r="Y202" s="2009"/>
      <c r="Z202" s="2009"/>
      <c r="AA202" s="2009"/>
      <c r="AB202" s="2009"/>
      <c r="AC202" s="2175"/>
      <c r="AD202" s="2175"/>
      <c r="AE202" s="2175"/>
      <c r="AF202" s="2175"/>
      <c r="AG202" s="2009"/>
    </row>
    <row r="203" spans="2:33">
      <c r="B203" s="2009"/>
      <c r="C203" s="2009"/>
      <c r="D203" s="2009"/>
      <c r="E203" s="2009"/>
      <c r="F203" s="2009"/>
      <c r="G203" s="2009"/>
      <c r="H203" s="2009"/>
      <c r="I203" s="2009"/>
      <c r="J203" s="2397"/>
      <c r="K203" s="2009"/>
      <c r="L203" s="2009"/>
      <c r="M203" s="2009"/>
      <c r="N203" s="2009"/>
      <c r="O203" s="2009"/>
      <c r="P203" s="2175"/>
      <c r="Q203" s="2009"/>
      <c r="R203" s="2009"/>
      <c r="S203" s="2009"/>
      <c r="T203" s="2009"/>
      <c r="U203" s="2009"/>
      <c r="V203" s="2009"/>
      <c r="W203" s="2009"/>
      <c r="X203" s="2009"/>
      <c r="Y203" s="2009"/>
      <c r="Z203" s="2009"/>
      <c r="AA203" s="2009"/>
      <c r="AB203" s="2009"/>
      <c r="AC203" s="2175"/>
      <c r="AD203" s="2175"/>
      <c r="AE203" s="2175"/>
      <c r="AF203" s="2175"/>
      <c r="AG203" s="2009"/>
    </row>
    <row r="204" spans="2:33">
      <c r="B204" s="2009"/>
      <c r="C204" s="2009"/>
      <c r="D204" s="2009"/>
      <c r="E204" s="2009"/>
      <c r="F204" s="2009"/>
      <c r="G204" s="2009"/>
      <c r="H204" s="2009"/>
      <c r="I204" s="2009"/>
      <c r="J204" s="2397"/>
      <c r="K204" s="2009"/>
      <c r="L204" s="2009"/>
      <c r="M204" s="2009"/>
      <c r="N204" s="2009"/>
      <c r="O204" s="2009"/>
      <c r="P204" s="2175"/>
      <c r="Q204" s="2009"/>
      <c r="R204" s="2009"/>
      <c r="S204" s="2009"/>
      <c r="T204" s="2009"/>
      <c r="U204" s="2009"/>
      <c r="V204" s="2009"/>
      <c r="W204" s="2009"/>
      <c r="X204" s="2009"/>
      <c r="Y204" s="2009"/>
      <c r="Z204" s="2009"/>
      <c r="AA204" s="2009"/>
      <c r="AB204" s="2009"/>
      <c r="AC204" s="2175"/>
      <c r="AD204" s="2175"/>
      <c r="AE204" s="2175"/>
      <c r="AF204" s="2175"/>
      <c r="AG204" s="2009"/>
    </row>
    <row r="205" spans="2:33">
      <c r="B205" s="2009"/>
      <c r="C205" s="2009"/>
      <c r="D205" s="2009"/>
      <c r="E205" s="2009"/>
      <c r="F205" s="2009"/>
      <c r="G205" s="2009"/>
      <c r="H205" s="2009"/>
      <c r="I205" s="2009"/>
      <c r="J205" s="2397"/>
      <c r="K205" s="2009"/>
      <c r="L205" s="2009"/>
      <c r="M205" s="2009"/>
      <c r="N205" s="2009"/>
      <c r="O205" s="2009"/>
      <c r="P205" s="2175"/>
      <c r="Q205" s="2009"/>
      <c r="R205" s="2009"/>
      <c r="S205" s="2009"/>
      <c r="T205" s="2009"/>
      <c r="U205" s="2009"/>
      <c r="V205" s="2009"/>
      <c r="W205" s="2009"/>
      <c r="X205" s="2009"/>
      <c r="Y205" s="2009"/>
      <c r="Z205" s="2009"/>
      <c r="AA205" s="2009"/>
      <c r="AB205" s="2009"/>
      <c r="AC205" s="2175"/>
      <c r="AD205" s="2175"/>
      <c r="AE205" s="2175"/>
      <c r="AF205" s="2175"/>
      <c r="AG205" s="2009"/>
    </row>
    <row r="206" spans="2:33">
      <c r="B206" s="2009"/>
      <c r="C206" s="2009"/>
      <c r="D206" s="2009"/>
      <c r="E206" s="2009"/>
      <c r="F206" s="2009"/>
      <c r="G206" s="2009"/>
      <c r="H206" s="2009"/>
      <c r="I206" s="2009"/>
      <c r="J206" s="2397"/>
      <c r="K206" s="2009"/>
      <c r="L206" s="2009"/>
      <c r="M206" s="2009"/>
      <c r="N206" s="2009"/>
      <c r="O206" s="2009"/>
      <c r="P206" s="2175"/>
      <c r="Q206" s="2009"/>
      <c r="R206" s="2009"/>
      <c r="S206" s="2009"/>
      <c r="T206" s="2009"/>
      <c r="U206" s="2009"/>
      <c r="V206" s="2009"/>
      <c r="W206" s="2009"/>
      <c r="X206" s="2009"/>
      <c r="Y206" s="2009"/>
      <c r="Z206" s="2009"/>
      <c r="AA206" s="2009"/>
      <c r="AB206" s="2009"/>
      <c r="AC206" s="2175"/>
      <c r="AD206" s="2175"/>
      <c r="AE206" s="2175"/>
      <c r="AF206" s="2175"/>
      <c r="AG206" s="2009"/>
    </row>
    <row r="207" spans="2:33">
      <c r="B207" s="2009"/>
      <c r="C207" s="2009"/>
      <c r="D207" s="2009"/>
      <c r="E207" s="2009"/>
      <c r="F207" s="2009"/>
      <c r="G207" s="2009"/>
      <c r="H207" s="2009"/>
      <c r="I207" s="2009"/>
      <c r="J207" s="2397"/>
      <c r="K207" s="2009"/>
      <c r="L207" s="2009"/>
      <c r="M207" s="2009"/>
      <c r="N207" s="2009"/>
      <c r="O207" s="2009"/>
      <c r="P207" s="2175"/>
      <c r="Q207" s="2009"/>
      <c r="R207" s="2009"/>
      <c r="S207" s="2009"/>
      <c r="T207" s="2009"/>
      <c r="U207" s="2009"/>
      <c r="V207" s="2009"/>
      <c r="W207" s="2009"/>
      <c r="X207" s="2009"/>
      <c r="Y207" s="2009"/>
      <c r="Z207" s="2009"/>
      <c r="AA207" s="2009"/>
      <c r="AB207" s="2009"/>
      <c r="AC207" s="2175"/>
      <c r="AD207" s="2175"/>
      <c r="AE207" s="2175"/>
      <c r="AF207" s="2175"/>
      <c r="AG207" s="2009"/>
    </row>
    <row r="208" spans="2:33">
      <c r="B208" s="2009"/>
      <c r="C208" s="2009"/>
      <c r="D208" s="2009"/>
      <c r="E208" s="2009"/>
      <c r="F208" s="2009"/>
      <c r="G208" s="2009"/>
      <c r="H208" s="2009"/>
      <c r="I208" s="2009"/>
      <c r="J208" s="2397"/>
      <c r="K208" s="2009"/>
      <c r="L208" s="2009"/>
      <c r="M208" s="2009"/>
      <c r="N208" s="2009"/>
      <c r="O208" s="2009"/>
      <c r="P208" s="2175"/>
      <c r="Q208" s="2009"/>
      <c r="R208" s="2009"/>
      <c r="S208" s="2009"/>
      <c r="T208" s="2009"/>
      <c r="U208" s="2009"/>
      <c r="V208" s="2009"/>
      <c r="W208" s="2009"/>
      <c r="X208" s="2009"/>
      <c r="Y208" s="2009"/>
      <c r="Z208" s="2009"/>
      <c r="AA208" s="2009"/>
      <c r="AB208" s="2009"/>
      <c r="AC208" s="2175"/>
      <c r="AD208" s="2175"/>
      <c r="AE208" s="2175"/>
      <c r="AF208" s="2175"/>
      <c r="AG208" s="2009"/>
    </row>
    <row r="209" spans="2:33">
      <c r="B209" s="2009"/>
      <c r="C209" s="2009"/>
      <c r="D209" s="2009"/>
      <c r="E209" s="2009"/>
      <c r="F209" s="2009"/>
      <c r="G209" s="2009"/>
      <c r="H209" s="2009"/>
      <c r="I209" s="2009"/>
      <c r="J209" s="2397"/>
      <c r="K209" s="2009"/>
      <c r="L209" s="2009"/>
      <c r="M209" s="2009"/>
      <c r="N209" s="2009"/>
      <c r="O209" s="2009"/>
      <c r="P209" s="2175"/>
      <c r="Q209" s="2009"/>
      <c r="R209" s="2009"/>
      <c r="S209" s="2009"/>
      <c r="T209" s="2009"/>
      <c r="U209" s="2009"/>
      <c r="V209" s="2009"/>
      <c r="W209" s="2009"/>
      <c r="X209" s="2009"/>
      <c r="Y209" s="2009"/>
      <c r="Z209" s="2009"/>
      <c r="AA209" s="2009"/>
      <c r="AB209" s="2009"/>
      <c r="AC209" s="2175"/>
      <c r="AD209" s="2175"/>
      <c r="AE209" s="2175"/>
      <c r="AF209" s="2175"/>
      <c r="AG209" s="2009"/>
    </row>
    <row r="210" spans="2:33">
      <c r="B210" s="2009"/>
      <c r="C210" s="2009"/>
      <c r="D210" s="2009"/>
      <c r="E210" s="2009"/>
      <c r="F210" s="2009"/>
      <c r="G210" s="2009"/>
      <c r="H210" s="2009"/>
      <c r="I210" s="2009"/>
      <c r="J210" s="2397"/>
      <c r="K210" s="2009"/>
      <c r="L210" s="2009"/>
      <c r="M210" s="2009"/>
      <c r="N210" s="2009"/>
      <c r="O210" s="2009"/>
      <c r="P210" s="2175"/>
      <c r="Q210" s="2009"/>
      <c r="R210" s="2009"/>
      <c r="S210" s="2009"/>
      <c r="T210" s="2009"/>
      <c r="U210" s="2009"/>
      <c r="V210" s="2009"/>
      <c r="W210" s="2009"/>
      <c r="X210" s="2009"/>
      <c r="Y210" s="2009"/>
      <c r="Z210" s="2009"/>
      <c r="AA210" s="2009"/>
      <c r="AB210" s="2009"/>
      <c r="AC210" s="2175"/>
      <c r="AD210" s="2175"/>
      <c r="AE210" s="2175"/>
      <c r="AF210" s="2175"/>
      <c r="AG210" s="2009"/>
    </row>
    <row r="211" spans="2:33">
      <c r="B211" s="2009"/>
      <c r="C211" s="2009"/>
      <c r="D211" s="2009"/>
      <c r="E211" s="2009"/>
      <c r="F211" s="2009"/>
      <c r="G211" s="2009"/>
      <c r="H211" s="2009"/>
      <c r="I211" s="2009"/>
      <c r="J211" s="2397"/>
      <c r="K211" s="2009"/>
      <c r="L211" s="2009"/>
      <c r="M211" s="2009"/>
      <c r="N211" s="2009"/>
      <c r="O211" s="2009"/>
      <c r="P211" s="2175"/>
      <c r="Q211" s="2009"/>
      <c r="R211" s="2009"/>
      <c r="S211" s="2009"/>
      <c r="T211" s="2009"/>
      <c r="U211" s="2009"/>
      <c r="V211" s="2009"/>
      <c r="W211" s="2009"/>
      <c r="X211" s="2009"/>
      <c r="Y211" s="2009"/>
      <c r="Z211" s="2009"/>
      <c r="AA211" s="2009"/>
      <c r="AB211" s="2009"/>
      <c r="AC211" s="2175"/>
      <c r="AD211" s="2175"/>
      <c r="AE211" s="2175"/>
      <c r="AF211" s="2175"/>
      <c r="AG211" s="2009"/>
    </row>
    <row r="212" spans="2:33">
      <c r="B212" s="2009"/>
      <c r="C212" s="2009"/>
      <c r="D212" s="2009"/>
      <c r="E212" s="2009"/>
      <c r="F212" s="2009"/>
      <c r="G212" s="2009"/>
      <c r="H212" s="2009"/>
      <c r="I212" s="2009"/>
      <c r="J212" s="2397"/>
      <c r="K212" s="2009"/>
      <c r="L212" s="2009"/>
      <c r="M212" s="2009"/>
      <c r="N212" s="2009"/>
      <c r="O212" s="2009"/>
      <c r="P212" s="2175"/>
      <c r="Q212" s="2009"/>
      <c r="R212" s="2009"/>
      <c r="S212" s="2009"/>
      <c r="T212" s="2009"/>
      <c r="U212" s="2009"/>
      <c r="V212" s="2009"/>
      <c r="W212" s="2009"/>
      <c r="X212" s="2009"/>
      <c r="Y212" s="2009"/>
      <c r="Z212" s="2009"/>
      <c r="AA212" s="2009"/>
      <c r="AB212" s="2009"/>
      <c r="AC212" s="2175"/>
      <c r="AD212" s="2175"/>
      <c r="AE212" s="2175"/>
      <c r="AF212" s="2175"/>
      <c r="AG212" s="2009"/>
    </row>
    <row r="213" spans="2:33">
      <c r="B213" s="2009"/>
      <c r="C213" s="2009"/>
      <c r="D213" s="2009"/>
      <c r="E213" s="2009"/>
      <c r="F213" s="2009"/>
      <c r="G213" s="2009"/>
      <c r="H213" s="2009"/>
      <c r="I213" s="2009"/>
      <c r="J213" s="2397"/>
      <c r="K213" s="2009"/>
      <c r="L213" s="2009"/>
      <c r="M213" s="2009"/>
      <c r="N213" s="2009"/>
      <c r="O213" s="2009"/>
      <c r="P213" s="2175"/>
      <c r="Q213" s="2009"/>
      <c r="R213" s="2009"/>
      <c r="S213" s="2009"/>
      <c r="T213" s="2009"/>
      <c r="U213" s="2009"/>
      <c r="V213" s="2009"/>
      <c r="W213" s="2009"/>
      <c r="X213" s="2009"/>
      <c r="Y213" s="2009"/>
      <c r="Z213" s="2009"/>
      <c r="AA213" s="2009"/>
      <c r="AB213" s="2009"/>
      <c r="AC213" s="2175"/>
      <c r="AD213" s="2175"/>
      <c r="AE213" s="2175"/>
      <c r="AF213" s="2175"/>
      <c r="AG213" s="2009"/>
    </row>
  </sheetData>
  <mergeCells count="1">
    <mergeCell ref="AB8:AK8"/>
  </mergeCells>
  <pageMargins left="0.25" right="0.25" top="0.5" bottom="0.25" header="0.3" footer="0.3"/>
  <pageSetup scale="38" firstPageNumber="20" fitToHeight="2" orientation="landscape" useFirstPageNumber="1" r:id="rId1"/>
  <headerFooter scaleWithDoc="0" alignWithMargins="0">
    <oddFooter>&amp;C&amp;8&amp;P</oddFooter>
  </headerFooter>
  <rowBreaks count="1" manualBreakCount="1">
    <brk id="88" min="1" max="36" man="1"/>
  </rowBreaks>
  <ignoredErrors>
    <ignoredError sqref="AK129:AK130 AK117:AK118 AK120:AK127 AK17:AK21 AK89:AK90 AK102:AK107 AK67:AK69 AK81 AK92:AK93 AK52:AK56 AK58:AK60 AK32:AK33 AK36:AK41 AK64:AK65 AK110:AK115 AK24:AK30 AK95:AK100 AK43:AK48 AK62" unlockedFormula="1"/>
    <ignoredError sqref="AI20 AK49 D22 AK86:AK87 N22 AK101 AK61 AK22" formula="1"/>
    <ignoredError sqref="AK75 AK70 AK85 AK72:AK73 AK88"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AW174"/>
  <sheetViews>
    <sheetView showGridLines="0" zoomScale="80" zoomScaleNormal="74" workbookViewId="0"/>
  </sheetViews>
  <sheetFormatPr defaultColWidth="8.84375" defaultRowHeight="15.5"/>
  <cols>
    <col min="1" max="1" width="1.84375" style="2006" customWidth="1"/>
    <col min="2" max="2" width="45.4609375" style="2006" customWidth="1"/>
    <col min="3" max="3" width="1.84375" style="2006" customWidth="1"/>
    <col min="4" max="4" width="12.4609375" style="2006" bestFit="1" customWidth="1"/>
    <col min="5" max="5" width="1.84375" style="2503" customWidth="1"/>
    <col min="6" max="6" width="12.07421875" style="2006" bestFit="1" customWidth="1"/>
    <col min="7" max="7" width="1.84375" style="2503" customWidth="1"/>
    <col min="8" max="8" width="15" style="2006" customWidth="1"/>
    <col min="9" max="9" width="1.84375" style="2503" customWidth="1"/>
    <col min="10" max="10" width="16.07421875" style="2006" customWidth="1"/>
    <col min="11" max="11" width="1.84375" style="2503" customWidth="1"/>
    <col min="12" max="12" width="13.4609375" style="2006" customWidth="1"/>
    <col min="13" max="13" width="1.84375" style="2503" customWidth="1"/>
    <col min="14" max="14" width="14.07421875" style="2006" customWidth="1"/>
    <col min="15" max="15" width="1.84375" style="2503" customWidth="1"/>
    <col min="16" max="16" width="14.07421875" style="2006" customWidth="1"/>
    <col min="17" max="17" width="1.84375" style="2503" customWidth="1"/>
    <col min="18" max="18" width="14.07421875" style="2006" customWidth="1"/>
    <col min="19" max="19" width="1.84375" style="2503" customWidth="1"/>
    <col min="20" max="20" width="14.07421875" style="2168" customWidth="1"/>
    <col min="21" max="21" width="1.84375" style="2503" customWidth="1"/>
    <col min="22" max="22" width="14.07421875" style="2006" customWidth="1"/>
    <col min="23" max="23" width="1.84375" style="2503" customWidth="1"/>
    <col min="24" max="24" width="14.07421875" style="2006" customWidth="1"/>
    <col min="25" max="25" width="1.84375" style="2503" customWidth="1"/>
    <col min="26" max="26" width="14.07421875" style="2006" customWidth="1"/>
    <col min="27" max="27" width="1.84375" style="2006" customWidth="1"/>
    <col min="28" max="28" width="14.07421875" style="2006" bestFit="1" customWidth="1"/>
    <col min="29" max="29" width="1.84375" style="2006" customWidth="1"/>
    <col min="30" max="30" width="12.53515625" style="2168" bestFit="1" customWidth="1"/>
    <col min="31" max="31" width="1.4609375" style="2168" customWidth="1"/>
    <col min="32" max="32" width="1.07421875" style="2168" customWidth="1"/>
    <col min="33" max="33" width="12.53515625" style="2168" bestFit="1" customWidth="1"/>
    <col min="34" max="34" width="0.84375" style="2168" customWidth="1"/>
    <col min="35" max="35" width="0.84375" style="2006" customWidth="1"/>
    <col min="36" max="36" width="12.84375" style="2006" customWidth="1"/>
    <col min="37" max="37" width="0.84375" style="2006" customWidth="1"/>
    <col min="38" max="38" width="11.84375" style="1419" bestFit="1" customWidth="1"/>
    <col min="39" max="16384" width="8.84375" style="2006"/>
  </cols>
  <sheetData>
    <row r="1" spans="1:43">
      <c r="B1" s="2215" t="s">
        <v>882</v>
      </c>
    </row>
    <row r="2" spans="1:43">
      <c r="A2" s="2500"/>
      <c r="N2" s="2401"/>
    </row>
    <row r="3" spans="1:43" s="2168" customFormat="1" ht="18">
      <c r="A3" s="3071"/>
      <c r="B3" s="3072" t="s">
        <v>0</v>
      </c>
      <c r="E3" s="2515"/>
      <c r="G3" s="2515"/>
      <c r="I3" s="2515"/>
      <c r="K3" s="2515"/>
      <c r="M3" s="2515"/>
      <c r="N3" s="2526"/>
      <c r="O3" s="2515"/>
      <c r="Q3" s="2515"/>
      <c r="S3" s="2515"/>
      <c r="U3" s="2515"/>
      <c r="W3" s="2515"/>
      <c r="Y3" s="2515"/>
      <c r="AE3" s="3073"/>
      <c r="AF3" s="3073"/>
      <c r="AG3" s="3073"/>
      <c r="AH3" s="3073"/>
      <c r="AI3" s="3073"/>
      <c r="AJ3" s="3073"/>
      <c r="AK3" s="3073"/>
      <c r="AL3" s="3074" t="s">
        <v>167</v>
      </c>
    </row>
    <row r="4" spans="1:43" s="2168" customFormat="1" ht="18">
      <c r="A4" s="3071"/>
      <c r="B4" s="3072" t="s">
        <v>1082</v>
      </c>
      <c r="E4" s="2515"/>
      <c r="G4" s="2515"/>
      <c r="I4" s="2515"/>
      <c r="K4" s="2515"/>
      <c r="L4" s="2526"/>
      <c r="M4" s="2515"/>
      <c r="O4" s="2515"/>
      <c r="Q4" s="2515"/>
      <c r="S4" s="2515"/>
      <c r="U4" s="2515"/>
      <c r="W4" s="2515"/>
      <c r="Y4" s="2515"/>
      <c r="AL4" s="3075"/>
    </row>
    <row r="5" spans="1:43" s="2168" customFormat="1" ht="18">
      <c r="A5" s="3071"/>
      <c r="B5" s="1460" t="s">
        <v>147</v>
      </c>
      <c r="E5" s="2515"/>
      <c r="G5" s="2515"/>
      <c r="I5" s="2515"/>
      <c r="K5" s="2515"/>
      <c r="L5" s="2439"/>
      <c r="M5" s="2515"/>
      <c r="O5" s="2515"/>
      <c r="Q5" s="2515"/>
      <c r="S5" s="2515"/>
      <c r="U5" s="2515"/>
      <c r="W5" s="2515"/>
      <c r="X5" s="2174"/>
      <c r="Y5" s="2515"/>
      <c r="AL5" s="3075"/>
    </row>
    <row r="6" spans="1:43" s="2168" customFormat="1" ht="20">
      <c r="A6" s="3071"/>
      <c r="B6" s="1460" t="str">
        <f>'Cashflow Governmental'!A6</f>
        <v xml:space="preserve">FISCAL YEAR 2021-2022   </v>
      </c>
      <c r="E6" s="2515"/>
      <c r="G6" s="2515"/>
      <c r="I6" s="2515"/>
      <c r="K6" s="2515"/>
      <c r="L6" s="2439"/>
      <c r="M6" s="2515"/>
      <c r="O6" s="2515"/>
      <c r="Q6" s="2515"/>
      <c r="S6" s="2515"/>
      <c r="T6" s="3075" t="s">
        <v>14</v>
      </c>
      <c r="U6" s="2515"/>
      <c r="W6" s="2515"/>
      <c r="Y6" s="2515"/>
      <c r="AL6" s="3076"/>
    </row>
    <row r="7" spans="1:43" s="2168" customFormat="1" ht="18">
      <c r="A7" s="3071"/>
      <c r="B7" s="3072" t="s">
        <v>1279</v>
      </c>
      <c r="E7" s="2515"/>
      <c r="G7" s="2515"/>
      <c r="I7" s="2515"/>
      <c r="K7" s="2515"/>
      <c r="M7" s="2515"/>
      <c r="O7" s="2515"/>
      <c r="Q7" s="2515"/>
      <c r="S7" s="2515"/>
      <c r="U7" s="2515"/>
      <c r="W7" s="2515"/>
      <c r="Y7" s="2515"/>
      <c r="AI7" s="2439"/>
      <c r="AJ7" s="2439"/>
      <c r="AK7" s="2439"/>
      <c r="AL7" s="2478"/>
    </row>
    <row r="8" spans="1:43">
      <c r="A8" s="2500"/>
      <c r="L8" s="2028"/>
      <c r="N8" s="2028"/>
      <c r="AC8" s="2028"/>
      <c r="AD8" s="2439"/>
      <c r="AE8" s="2439"/>
      <c r="AF8" s="2439"/>
      <c r="AG8" s="2439"/>
      <c r="AH8" s="2439"/>
      <c r="AI8" s="2028"/>
      <c r="AJ8" s="2028"/>
      <c r="AK8" s="2028"/>
      <c r="AL8" s="2443"/>
    </row>
    <row r="9" spans="1:43" s="2009" customFormat="1" ht="19.5" customHeight="1">
      <c r="A9" s="2396"/>
      <c r="D9" s="2009" t="s">
        <v>14</v>
      </c>
      <c r="E9" s="798" t="s">
        <v>14</v>
      </c>
      <c r="G9" s="2503"/>
      <c r="I9" s="2503"/>
      <c r="K9" s="2503"/>
      <c r="L9" s="2504"/>
      <c r="M9" s="2503"/>
      <c r="N9" s="2504"/>
      <c r="O9" s="2503"/>
      <c r="Q9" s="2503"/>
      <c r="S9" s="2503"/>
      <c r="T9" s="2175"/>
      <c r="U9" s="2503"/>
      <c r="W9" s="2503"/>
      <c r="Y9" s="2503"/>
      <c r="AB9" s="2415" t="s">
        <v>1175</v>
      </c>
      <c r="AC9" s="3967" t="s">
        <v>1563</v>
      </c>
      <c r="AD9" s="3967"/>
      <c r="AE9" s="3967"/>
      <c r="AF9" s="3967"/>
      <c r="AG9" s="3967"/>
      <c r="AH9" s="3967"/>
      <c r="AI9" s="3967"/>
      <c r="AJ9" s="3967"/>
      <c r="AK9" s="3967"/>
      <c r="AL9" s="3967"/>
    </row>
    <row r="10" spans="1:43">
      <c r="A10" s="2500"/>
      <c r="D10" s="2505" t="str">
        <f>'Cashflow Governmental'!C13</f>
        <v>2021</v>
      </c>
      <c r="F10" s="2401"/>
      <c r="H10" s="2401"/>
      <c r="J10" s="2401"/>
      <c r="L10" s="2401"/>
      <c r="N10" s="2401"/>
      <c r="P10" s="2401"/>
      <c r="R10" s="2401"/>
      <c r="T10" s="2526"/>
      <c r="V10" s="2505">
        <f>'Cashflow Governmental'!U13</f>
        <v>2022</v>
      </c>
      <c r="X10" s="2401"/>
      <c r="Z10" s="2401"/>
      <c r="AA10" s="2401"/>
      <c r="AB10" s="2415" t="s">
        <v>1176</v>
      </c>
      <c r="AC10" s="2401"/>
      <c r="AD10" s="2411"/>
      <c r="AE10" s="2411"/>
      <c r="AF10" s="2411"/>
      <c r="AG10" s="2411"/>
      <c r="AH10" s="2411"/>
      <c r="AI10" s="2402"/>
      <c r="AJ10" s="2413" t="s">
        <v>7</v>
      </c>
      <c r="AK10" s="2409"/>
      <c r="AL10" s="2414" t="s">
        <v>8</v>
      </c>
      <c r="AM10" s="2402"/>
      <c r="AN10" s="2402"/>
      <c r="AO10" s="2402"/>
      <c r="AP10" s="2402"/>
      <c r="AQ10" s="2402"/>
    </row>
    <row r="11" spans="1:43">
      <c r="A11" s="2500"/>
      <c r="D11" s="2415" t="s">
        <v>123</v>
      </c>
      <c r="F11" s="2415" t="s">
        <v>124</v>
      </c>
      <c r="H11" s="2415" t="s">
        <v>125</v>
      </c>
      <c r="J11" s="2415" t="s">
        <v>126</v>
      </c>
      <c r="L11" s="2506" t="s">
        <v>127</v>
      </c>
      <c r="N11" s="2415" t="s">
        <v>142</v>
      </c>
      <c r="P11" s="2415" t="s">
        <v>143</v>
      </c>
      <c r="R11" s="2415" t="s">
        <v>130</v>
      </c>
      <c r="T11" s="3348" t="s">
        <v>131</v>
      </c>
      <c r="V11" s="2415" t="s">
        <v>132</v>
      </c>
      <c r="X11" s="2415" t="s">
        <v>133</v>
      </c>
      <c r="Z11" s="2415" t="s">
        <v>184</v>
      </c>
      <c r="AA11" s="2415"/>
      <c r="AB11" s="2506" t="s">
        <v>1177</v>
      </c>
      <c r="AC11" s="2401"/>
      <c r="AD11" s="2559">
        <f>'Cashflow Governmental'!AB14</f>
        <v>2021</v>
      </c>
      <c r="AE11" s="2526" t="s">
        <v>14</v>
      </c>
      <c r="AF11" s="2529"/>
      <c r="AG11" s="2559">
        <f>'Cashflow Governmental'!AE14</f>
        <v>2020</v>
      </c>
      <c r="AH11" s="3436"/>
      <c r="AI11" s="2402"/>
      <c r="AJ11" s="2420" t="s">
        <v>11</v>
      </c>
      <c r="AK11" s="2402"/>
      <c r="AL11" s="2420" t="s">
        <v>12</v>
      </c>
      <c r="AM11" s="2402"/>
      <c r="AN11" s="2402"/>
      <c r="AO11" s="2402"/>
      <c r="AP11" s="2402"/>
      <c r="AQ11" s="2402"/>
    </row>
    <row r="12" spans="1:43" ht="5.25" customHeight="1">
      <c r="A12" s="2500"/>
      <c r="D12" s="2422"/>
      <c r="F12" s="2422"/>
      <c r="H12" s="2422"/>
      <c r="J12" s="2422"/>
      <c r="L12" s="2422"/>
      <c r="N12" s="2507"/>
      <c r="P12" s="2422"/>
      <c r="R12" s="2422"/>
      <c r="T12" s="3019"/>
      <c r="V12" s="2422"/>
      <c r="X12" s="2422"/>
      <c r="Z12" s="2422"/>
      <c r="AA12" s="2005"/>
      <c r="AD12" s="3019"/>
      <c r="AG12" s="3019"/>
      <c r="AH12" s="2167"/>
      <c r="AI12" s="2508"/>
    </row>
    <row r="13" spans="1:43" ht="15" customHeight="1">
      <c r="A13" s="2028"/>
      <c r="B13" s="2509" t="s">
        <v>1136</v>
      </c>
      <c r="C13" s="2028"/>
      <c r="D13" s="2013">
        <f>'Exhibit G State'!D13+'Exhibit G Federal'!D13</f>
        <v>10669.3</v>
      </c>
      <c r="F13" s="2429">
        <f>D122</f>
        <v>13629.9</v>
      </c>
      <c r="H13" s="2429">
        <f>F122</f>
        <v>26502.7</v>
      </c>
      <c r="J13" s="2429">
        <f>H122</f>
        <v>27116</v>
      </c>
      <c r="L13" s="2429">
        <f>J122</f>
        <v>27281</v>
      </c>
      <c r="N13" s="2429">
        <f>L122</f>
        <v>26700</v>
      </c>
      <c r="P13" s="1984"/>
      <c r="R13" s="2429"/>
      <c r="T13" s="2013"/>
      <c r="V13" s="2429"/>
      <c r="X13" s="2429"/>
      <c r="Z13" s="2429"/>
      <c r="AA13" s="2429"/>
      <c r="AB13" s="2429">
        <v>0</v>
      </c>
      <c r="AC13" s="2510"/>
      <c r="AD13" s="2013">
        <f>D13</f>
        <v>10669.3</v>
      </c>
      <c r="AE13" s="2013"/>
      <c r="AF13" s="3414"/>
      <c r="AG13" s="2427">
        <f>'Exhibit G State'!AG13+'Exhibit G Federal'!AG13</f>
        <v>6312.1</v>
      </c>
      <c r="AH13" s="3437"/>
      <c r="AI13" s="2003"/>
      <c r="AJ13" s="2511">
        <f>AD13-AG13</f>
        <v>4357.1999999999989</v>
      </c>
      <c r="AK13" s="2512"/>
      <c r="AL13" s="2464">
        <f>(AD13-AG13)/AG13</f>
        <v>0.69029324630471611</v>
      </c>
      <c r="AM13" s="2008"/>
      <c r="AN13" s="2008"/>
      <c r="AO13" s="2008"/>
      <c r="AP13" s="2008"/>
      <c r="AQ13" s="2008"/>
    </row>
    <row r="14" spans="1:43" ht="15" customHeight="1">
      <c r="A14" s="2028"/>
      <c r="B14" s="2028"/>
      <c r="C14" s="2028"/>
      <c r="AC14" s="2513"/>
      <c r="AF14" s="3415"/>
      <c r="AH14" s="3438"/>
      <c r="AI14" s="2005"/>
      <c r="AL14" s="1418"/>
    </row>
    <row r="15" spans="1:43" ht="15" customHeight="1">
      <c r="A15" s="2028"/>
      <c r="B15" s="2401" t="s">
        <v>13</v>
      </c>
      <c r="C15" s="2028"/>
      <c r="D15" s="1990"/>
      <c r="F15" s="1990"/>
      <c r="H15" s="1990"/>
      <c r="J15" s="1990"/>
      <c r="L15" s="1990"/>
      <c r="N15" s="1990"/>
      <c r="P15" s="1990"/>
      <c r="R15" s="1990"/>
      <c r="T15" s="1979"/>
      <c r="V15" s="1990"/>
      <c r="X15" s="1990"/>
      <c r="Z15" s="1990"/>
      <c r="AA15" s="1990"/>
      <c r="AB15" s="1990"/>
      <c r="AC15" s="2021"/>
      <c r="AD15" s="1979"/>
      <c r="AE15" s="1979"/>
      <c r="AF15" s="2023"/>
      <c r="AG15" s="1979"/>
      <c r="AH15" s="3439"/>
      <c r="AI15" s="1991"/>
      <c r="AJ15" s="1990"/>
      <c r="AL15" s="1418"/>
    </row>
    <row r="16" spans="1:43" ht="15" customHeight="1">
      <c r="A16" s="2028"/>
      <c r="B16" s="2436" t="s">
        <v>994</v>
      </c>
      <c r="C16" s="2028"/>
      <c r="D16" s="1990"/>
      <c r="F16" s="1990"/>
      <c r="H16" s="1990"/>
      <c r="J16" s="1990"/>
      <c r="L16" s="1990"/>
      <c r="N16" s="1990"/>
      <c r="P16" s="1990"/>
      <c r="R16" s="1990"/>
      <c r="T16" s="1979"/>
      <c r="V16" s="1990"/>
      <c r="X16" s="1990"/>
      <c r="Z16" s="1990"/>
      <c r="AA16" s="1990"/>
      <c r="AB16" s="1990"/>
      <c r="AC16" s="2021"/>
      <c r="AD16" s="1979"/>
      <c r="AE16" s="1979"/>
      <c r="AF16" s="2023"/>
      <c r="AG16" s="1979"/>
      <c r="AH16" s="3439"/>
      <c r="AI16" s="1991"/>
      <c r="AJ16" s="1990"/>
      <c r="AL16" s="1418"/>
    </row>
    <row r="17" spans="1:38" s="2402" customFormat="1" ht="15" customHeight="1">
      <c r="A17" s="2401"/>
      <c r="B17" s="2514" t="s">
        <v>997</v>
      </c>
      <c r="C17" s="2401"/>
      <c r="D17" s="1984">
        <f>'Exhibit G State'!D17</f>
        <v>0</v>
      </c>
      <c r="E17" s="1429"/>
      <c r="F17" s="1984">
        <f>'Exhibit G State'!F17</f>
        <v>0</v>
      </c>
      <c r="G17" s="1429"/>
      <c r="H17" s="1984">
        <f>'Exhibit G State'!H17</f>
        <v>0</v>
      </c>
      <c r="I17" s="2503"/>
      <c r="J17" s="1984">
        <f>'Exhibit G State'!J17</f>
        <v>0</v>
      </c>
      <c r="K17" s="2515"/>
      <c r="L17" s="1984">
        <f>'Exhibit G State'!L17</f>
        <v>0</v>
      </c>
      <c r="M17" s="2515"/>
      <c r="N17" s="1984">
        <f>'Exhibit G State'!N17</f>
        <v>0</v>
      </c>
      <c r="O17" s="2515"/>
      <c r="P17" s="1984"/>
      <c r="Q17" s="2515"/>
      <c r="R17" s="1984"/>
      <c r="S17" s="2515"/>
      <c r="T17" s="1984"/>
      <c r="U17" s="2515"/>
      <c r="V17" s="1984"/>
      <c r="W17" s="2515"/>
      <c r="X17" s="1984"/>
      <c r="Y17" s="2515"/>
      <c r="Z17" s="1984"/>
      <c r="AA17" s="1984"/>
      <c r="AB17" s="1429">
        <v>0</v>
      </c>
      <c r="AC17" s="2510"/>
      <c r="AD17" s="1984">
        <f>ROUND(SUM(D17:Z17),1)</f>
        <v>0</v>
      </c>
      <c r="AE17" s="1984"/>
      <c r="AF17" s="1985"/>
      <c r="AG17" s="2016">
        <f>'Exhibit G State'!AG17</f>
        <v>0.1</v>
      </c>
      <c r="AH17" s="3440"/>
      <c r="AI17" s="2451"/>
      <c r="AJ17" s="1429">
        <f>ROUND(SUM(+AD17-AG17),1)</f>
        <v>-0.1</v>
      </c>
      <c r="AK17" s="2516"/>
      <c r="AL17" s="1424">
        <f>ROUND(IF(AG17=0,0,AJ17/ABS(AG17)),3)</f>
        <v>-1</v>
      </c>
    </row>
    <row r="18" spans="1:38" s="2402" customFormat="1" ht="6" customHeight="1">
      <c r="A18" s="2401"/>
      <c r="B18" s="2514"/>
      <c r="C18" s="2401"/>
      <c r="D18" s="2517"/>
      <c r="E18" s="2503"/>
      <c r="F18" s="2517"/>
      <c r="G18" s="2503"/>
      <c r="H18" s="2517"/>
      <c r="I18" s="2503"/>
      <c r="J18" s="2517"/>
      <c r="K18" s="2515"/>
      <c r="L18" s="2517"/>
      <c r="M18" s="2515"/>
      <c r="N18" s="2517"/>
      <c r="O18" s="2515"/>
      <c r="P18" s="2517"/>
      <c r="Q18" s="2515"/>
      <c r="R18" s="2517"/>
      <c r="S18" s="2515"/>
      <c r="T18" s="2517"/>
      <c r="U18" s="2515"/>
      <c r="V18" s="2517"/>
      <c r="W18" s="2515"/>
      <c r="X18" s="2517"/>
      <c r="Y18" s="2515"/>
      <c r="Z18" s="2517"/>
      <c r="AA18" s="2517"/>
      <c r="AB18" s="2429"/>
      <c r="AC18" s="2510"/>
      <c r="AD18" s="2010"/>
      <c r="AE18" s="2010"/>
      <c r="AF18" s="3416"/>
      <c r="AG18" s="2012"/>
      <c r="AH18" s="3441"/>
      <c r="AI18" s="2519"/>
      <c r="AJ18" s="2518"/>
      <c r="AK18" s="2516"/>
      <c r="AL18" s="1424"/>
    </row>
    <row r="19" spans="1:38" ht="15" customHeight="1">
      <c r="A19" s="2028"/>
      <c r="B19" s="2514" t="s">
        <v>1056</v>
      </c>
      <c r="C19" s="2028"/>
      <c r="D19" s="1979"/>
      <c r="F19" s="1979"/>
      <c r="H19" s="1979"/>
      <c r="J19" s="1979"/>
      <c r="K19" s="2515"/>
      <c r="L19" s="1979"/>
      <c r="M19" s="2515"/>
      <c r="N19" s="1979"/>
      <c r="O19" s="2515"/>
      <c r="P19" s="1984"/>
      <c r="Q19" s="2515"/>
      <c r="R19" s="1984"/>
      <c r="S19" s="2515"/>
      <c r="T19" s="1984"/>
      <c r="U19" s="2515"/>
      <c r="V19" s="1979"/>
      <c r="W19" s="2515"/>
      <c r="X19" s="1979"/>
      <c r="Y19" s="2515"/>
      <c r="Z19" s="1979"/>
      <c r="AA19" s="1979"/>
      <c r="AB19" s="1990"/>
      <c r="AC19" s="2021"/>
      <c r="AD19" s="2034"/>
      <c r="AE19" s="2034"/>
      <c r="AF19" s="2527"/>
      <c r="AG19" s="2034"/>
      <c r="AH19" s="3442"/>
      <c r="AI19" s="1430"/>
      <c r="AJ19" s="1447"/>
      <c r="AK19" s="2402"/>
      <c r="AL19" s="2464"/>
    </row>
    <row r="20" spans="1:38" ht="15" customHeight="1">
      <c r="A20" s="2028"/>
      <c r="B20" s="2520" t="s">
        <v>1009</v>
      </c>
      <c r="C20" s="2028"/>
      <c r="D20" s="1984">
        <f>'Exhibit G State'!D20</f>
        <v>109.2</v>
      </c>
      <c r="E20" s="1429"/>
      <c r="F20" s="1984">
        <f>'Exhibit G State'!F20</f>
        <v>80.499999999999986</v>
      </c>
      <c r="G20" s="1429"/>
      <c r="H20" s="1984">
        <f>'Exhibit G State'!H20</f>
        <v>101.60000000000004</v>
      </c>
      <c r="J20" s="1984">
        <f>'Exhibit G State'!J20</f>
        <v>86.899999999999963</v>
      </c>
      <c r="K20" s="2515"/>
      <c r="L20" s="1984">
        <f>'Exhibit G State'!L20</f>
        <v>83.300000000000026</v>
      </c>
      <c r="M20" s="2515"/>
      <c r="N20" s="1984">
        <f>'Exhibit G State'!N20</f>
        <v>108.99999999999999</v>
      </c>
      <c r="O20" s="2515"/>
      <c r="P20" s="1984"/>
      <c r="Q20" s="2515"/>
      <c r="R20" s="1984"/>
      <c r="S20" s="2515"/>
      <c r="T20" s="1984"/>
      <c r="U20" s="2515"/>
      <c r="V20" s="1984"/>
      <c r="W20" s="2515"/>
      <c r="X20" s="1984"/>
      <c r="Y20" s="2515"/>
      <c r="Z20" s="1984"/>
      <c r="AA20" s="1984"/>
      <c r="AB20" s="1990">
        <v>0</v>
      </c>
      <c r="AC20" s="2021"/>
      <c r="AD20" s="1979">
        <f>ROUND(SUM(D20:Z20),1)</f>
        <v>570.5</v>
      </c>
      <c r="AE20" s="1979"/>
      <c r="AF20" s="2023"/>
      <c r="AG20" s="2016">
        <f>'Exhibit G State'!AG20</f>
        <v>426.7</v>
      </c>
      <c r="AH20" s="3439"/>
      <c r="AI20" s="1991"/>
      <c r="AJ20" s="1429">
        <f t="shared" ref="AJ20:AJ26" si="0">ROUND(SUM(+AD20-AG20),1)</f>
        <v>143.80000000000001</v>
      </c>
      <c r="AK20" s="2516"/>
      <c r="AL20" s="1424">
        <f t="shared" ref="AL20:AL25" si="1">ROUND(IF(AG20=0,0,AJ20/ABS(AG20)),3)</f>
        <v>0.33700000000000002</v>
      </c>
    </row>
    <row r="21" spans="1:38" ht="15" customHeight="1">
      <c r="A21" s="2028"/>
      <c r="B21" s="2520" t="s">
        <v>1010</v>
      </c>
      <c r="C21" s="2028"/>
      <c r="D21" s="1984">
        <f>'Exhibit G State'!D21</f>
        <v>-0.2</v>
      </c>
      <c r="E21" s="1429"/>
      <c r="F21" s="1984">
        <f>'Exhibit G State'!F21</f>
        <v>0</v>
      </c>
      <c r="G21" s="1429"/>
      <c r="H21" s="1984">
        <f>'Exhibit G State'!H21</f>
        <v>5.1000000000000005</v>
      </c>
      <c r="J21" s="1984">
        <f>'Exhibit G State'!J21</f>
        <v>0</v>
      </c>
      <c r="K21" s="2515"/>
      <c r="L21" s="1984">
        <f>'Exhibit G State'!L21</f>
        <v>0</v>
      </c>
      <c r="M21" s="2515"/>
      <c r="N21" s="1984">
        <f>'Exhibit G State'!N21</f>
        <v>7.6999999999999984</v>
      </c>
      <c r="O21" s="2515"/>
      <c r="P21" s="1984"/>
      <c r="Q21" s="2515"/>
      <c r="R21" s="1984"/>
      <c r="S21" s="2515"/>
      <c r="T21" s="1984"/>
      <c r="U21" s="2515"/>
      <c r="V21" s="1984"/>
      <c r="W21" s="2515"/>
      <c r="X21" s="1984"/>
      <c r="Y21" s="2515"/>
      <c r="Z21" s="1984"/>
      <c r="AA21" s="1984"/>
      <c r="AB21" s="1990">
        <v>0</v>
      </c>
      <c r="AC21" s="2021"/>
      <c r="AD21" s="1979">
        <f>ROUND(SUM(D21:Z21),1)</f>
        <v>12.6</v>
      </c>
      <c r="AE21" s="1979"/>
      <c r="AF21" s="2023"/>
      <c r="AG21" s="2016">
        <f>'Exhibit G State'!AG21</f>
        <v>4.9000000000000004</v>
      </c>
      <c r="AH21" s="3439"/>
      <c r="AI21" s="1991"/>
      <c r="AJ21" s="1429">
        <f t="shared" si="0"/>
        <v>7.7</v>
      </c>
      <c r="AK21" s="2516"/>
      <c r="AL21" s="1424">
        <f t="shared" si="1"/>
        <v>1.571</v>
      </c>
    </row>
    <row r="22" spans="1:38" ht="15" customHeight="1">
      <c r="A22" s="2028"/>
      <c r="B22" s="2520" t="s">
        <v>1011</v>
      </c>
      <c r="C22" s="2028"/>
      <c r="D22" s="1984">
        <f>'Exhibit G State'!D22</f>
        <v>69.7</v>
      </c>
      <c r="E22" s="1429"/>
      <c r="F22" s="1984">
        <f>'Exhibit G State'!F22</f>
        <v>51.8</v>
      </c>
      <c r="G22" s="1429"/>
      <c r="H22" s="1984">
        <f>'Exhibit G State'!H22</f>
        <v>64.900000000000006</v>
      </c>
      <c r="J22" s="1984">
        <f>'Exhibit G State'!J22</f>
        <v>59.8</v>
      </c>
      <c r="K22" s="2515"/>
      <c r="L22" s="1984">
        <f>'Exhibit G State'!L22</f>
        <v>62.3</v>
      </c>
      <c r="M22" s="2515"/>
      <c r="N22" s="1984">
        <f>'Exhibit G State'!N22</f>
        <v>56.100000000000023</v>
      </c>
      <c r="O22" s="2515"/>
      <c r="P22" s="1984"/>
      <c r="Q22" s="2515"/>
      <c r="R22" s="1984"/>
      <c r="S22" s="2515"/>
      <c r="T22" s="1984"/>
      <c r="U22" s="2515"/>
      <c r="V22" s="1984"/>
      <c r="W22" s="2515"/>
      <c r="X22" s="1984"/>
      <c r="Y22" s="2515"/>
      <c r="Z22" s="1984"/>
      <c r="AA22" s="1984"/>
      <c r="AB22" s="1990">
        <v>0</v>
      </c>
      <c r="AC22" s="2021"/>
      <c r="AD22" s="1979">
        <f t="shared" ref="AD22:AD26" si="2">ROUND(SUM(D22:Z22),1)</f>
        <v>364.6</v>
      </c>
      <c r="AE22" s="1979"/>
      <c r="AF22" s="2023"/>
      <c r="AG22" s="2016">
        <f>'Exhibit G State'!AG22</f>
        <v>380.5</v>
      </c>
      <c r="AH22" s="3439"/>
      <c r="AI22" s="1991"/>
      <c r="AJ22" s="1429">
        <f t="shared" si="0"/>
        <v>-15.9</v>
      </c>
      <c r="AK22" s="2516"/>
      <c r="AL22" s="1424">
        <f t="shared" si="1"/>
        <v>-4.2000000000000003E-2</v>
      </c>
    </row>
    <row r="23" spans="1:38" ht="15" customHeight="1">
      <c r="A23" s="2028"/>
      <c r="B23" s="2215" t="s">
        <v>1153</v>
      </c>
      <c r="C23" s="2028"/>
      <c r="D23" s="1984">
        <f>'Exhibit G State'!D23</f>
        <v>1.5</v>
      </c>
      <c r="E23" s="1429"/>
      <c r="F23" s="1984">
        <f>'Exhibit G State'!F23</f>
        <v>1.1000000000000001</v>
      </c>
      <c r="G23" s="1429"/>
      <c r="H23" s="1984">
        <f>'Exhibit G State'!H23</f>
        <v>1.1000000000000001</v>
      </c>
      <c r="J23" s="1984">
        <f>'Exhibit G State'!J23</f>
        <v>0.90000000000000036</v>
      </c>
      <c r="K23" s="2515"/>
      <c r="L23" s="1984">
        <f>'Exhibit G State'!L23</f>
        <v>1.0999999999999996</v>
      </c>
      <c r="M23" s="2515"/>
      <c r="N23" s="1984">
        <f>'Exhibit G State'!N23</f>
        <v>0.99999999999999956</v>
      </c>
      <c r="O23" s="2515"/>
      <c r="P23" s="1984"/>
      <c r="Q23" s="2515"/>
      <c r="R23" s="1984"/>
      <c r="S23" s="2515"/>
      <c r="T23" s="1984"/>
      <c r="U23" s="2515"/>
      <c r="V23" s="1984"/>
      <c r="W23" s="2515"/>
      <c r="X23" s="1984"/>
      <c r="Y23" s="2515"/>
      <c r="Z23" s="1984"/>
      <c r="AA23" s="1984"/>
      <c r="AB23" s="1990">
        <v>0</v>
      </c>
      <c r="AC23" s="2021"/>
      <c r="AD23" s="1979">
        <f t="shared" si="2"/>
        <v>6.7</v>
      </c>
      <c r="AE23" s="1979"/>
      <c r="AF23" s="2023"/>
      <c r="AG23" s="2016">
        <f>'Exhibit G State'!AG23</f>
        <v>3.9</v>
      </c>
      <c r="AH23" s="3439"/>
      <c r="AI23" s="1991"/>
      <c r="AJ23" s="1429">
        <f>ROUND(SUM(+AD23-AG23),1)</f>
        <v>2.8</v>
      </c>
      <c r="AK23" s="2516"/>
      <c r="AL23" s="1424">
        <f>ROUND(IF(AG23=0,1,AJ23/ABS(AG23)),3)</f>
        <v>0.71799999999999997</v>
      </c>
    </row>
    <row r="24" spans="1:38" ht="15" customHeight="1">
      <c r="A24" s="2028"/>
      <c r="B24" s="2520" t="s">
        <v>1012</v>
      </c>
      <c r="C24" s="2028"/>
      <c r="D24" s="1984">
        <f>'Exhibit G State'!D24</f>
        <v>7.2</v>
      </c>
      <c r="E24" s="1429"/>
      <c r="F24" s="1984">
        <f>'Exhibit G State'!F24</f>
        <v>8.6000000000000014</v>
      </c>
      <c r="G24" s="1429"/>
      <c r="H24" s="1984">
        <f>'Exhibit G State'!H24</f>
        <v>9.8999999999999986</v>
      </c>
      <c r="J24" s="1984">
        <f>'Exhibit G State'!J24</f>
        <v>9.5000000000000036</v>
      </c>
      <c r="K24" s="2515"/>
      <c r="L24" s="1984">
        <f>'Exhibit G State'!L24</f>
        <v>9.6999999999999922</v>
      </c>
      <c r="M24" s="2515"/>
      <c r="N24" s="1984">
        <f>'Exhibit G State'!N24</f>
        <v>10.200000000000003</v>
      </c>
      <c r="O24" s="2515"/>
      <c r="P24" s="1984"/>
      <c r="Q24" s="2515"/>
      <c r="R24" s="1984"/>
      <c r="S24" s="2515"/>
      <c r="T24" s="1984"/>
      <c r="U24" s="2515"/>
      <c r="V24" s="1984"/>
      <c r="W24" s="2515"/>
      <c r="X24" s="1984"/>
      <c r="Y24" s="2515"/>
      <c r="Z24" s="1984"/>
      <c r="AA24" s="1984"/>
      <c r="AB24" s="1990">
        <v>0</v>
      </c>
      <c r="AC24" s="2021"/>
      <c r="AD24" s="1979">
        <f t="shared" si="2"/>
        <v>55.1</v>
      </c>
      <c r="AE24" s="1979"/>
      <c r="AF24" s="2023"/>
      <c r="AG24" s="2016">
        <f>'Exhibit G State'!AG24</f>
        <v>44.3</v>
      </c>
      <c r="AH24" s="3439"/>
      <c r="AI24" s="1991"/>
      <c r="AJ24" s="1429">
        <f t="shared" si="0"/>
        <v>10.8</v>
      </c>
      <c r="AK24" s="2516"/>
      <c r="AL24" s="1424">
        <f t="shared" si="1"/>
        <v>0.24399999999999999</v>
      </c>
    </row>
    <row r="25" spans="1:38" ht="15" customHeight="1">
      <c r="A25" s="2028"/>
      <c r="B25" s="2520" t="s">
        <v>1013</v>
      </c>
      <c r="C25" s="2028"/>
      <c r="D25" s="1984">
        <f>'Exhibit G State'!D25</f>
        <v>0</v>
      </c>
      <c r="E25" s="1429"/>
      <c r="F25" s="1984">
        <f>'Exhibit G State'!F25</f>
        <v>0</v>
      </c>
      <c r="G25" s="1429"/>
      <c r="H25" s="1984">
        <f>'Exhibit G State'!H25</f>
        <v>0</v>
      </c>
      <c r="J25" s="1984">
        <f>'Exhibit G State'!J25</f>
        <v>0</v>
      </c>
      <c r="K25" s="2515"/>
      <c r="L25" s="1984">
        <f>'Exhibit G State'!L25</f>
        <v>0</v>
      </c>
      <c r="M25" s="2515"/>
      <c r="N25" s="1984">
        <f>'Exhibit G State'!N25</f>
        <v>0</v>
      </c>
      <c r="O25" s="2515"/>
      <c r="P25" s="1984"/>
      <c r="Q25" s="2515"/>
      <c r="R25" s="1984"/>
      <c r="S25" s="2515"/>
      <c r="T25" s="1984"/>
      <c r="U25" s="2515"/>
      <c r="V25" s="1984"/>
      <c r="W25" s="2515"/>
      <c r="X25" s="1984"/>
      <c r="Y25" s="2515"/>
      <c r="Z25" s="1984"/>
      <c r="AA25" s="1984"/>
      <c r="AB25" s="1990">
        <v>0</v>
      </c>
      <c r="AC25" s="2021"/>
      <c r="AD25" s="1979">
        <f t="shared" si="2"/>
        <v>0</v>
      </c>
      <c r="AE25" s="1979"/>
      <c r="AF25" s="2023"/>
      <c r="AG25" s="2016">
        <f>'Exhibit G State'!AG25</f>
        <v>0</v>
      </c>
      <c r="AH25" s="3439"/>
      <c r="AI25" s="1991"/>
      <c r="AJ25" s="1429">
        <f t="shared" si="0"/>
        <v>0</v>
      </c>
      <c r="AK25" s="2516"/>
      <c r="AL25" s="1424">
        <f t="shared" si="1"/>
        <v>0</v>
      </c>
    </row>
    <row r="26" spans="1:38" ht="15" customHeight="1">
      <c r="A26" s="2028"/>
      <c r="B26" s="2520" t="s">
        <v>1014</v>
      </c>
      <c r="C26" s="2028"/>
      <c r="D26" s="1984">
        <f>'Exhibit G State'!D26</f>
        <v>0.1</v>
      </c>
      <c r="E26" s="1429"/>
      <c r="F26" s="1984">
        <f>'Exhibit G State'!F26</f>
        <v>0</v>
      </c>
      <c r="G26" s="1429"/>
      <c r="H26" s="1984">
        <f>'Exhibit G State'!H26</f>
        <v>0</v>
      </c>
      <c r="J26" s="1984">
        <f>'Exhibit G State'!J26</f>
        <v>0.1</v>
      </c>
      <c r="K26" s="2515"/>
      <c r="L26" s="1984">
        <f>'Exhibit G State'!L26</f>
        <v>0</v>
      </c>
      <c r="M26" s="2515"/>
      <c r="N26" s="1984">
        <f>'Exhibit G State'!N26</f>
        <v>9.9999999999999978E-2</v>
      </c>
      <c r="O26" s="2515"/>
      <c r="P26" s="1984"/>
      <c r="Q26" s="2515"/>
      <c r="R26" s="1984"/>
      <c r="S26" s="2515"/>
      <c r="T26" s="1984"/>
      <c r="U26" s="2515"/>
      <c r="V26" s="1984"/>
      <c r="W26" s="2515"/>
      <c r="X26" s="1984"/>
      <c r="Y26" s="2515"/>
      <c r="Z26" s="1984"/>
      <c r="AA26" s="1984"/>
      <c r="AB26" s="1990">
        <v>0</v>
      </c>
      <c r="AC26" s="2021"/>
      <c r="AD26" s="1979">
        <f t="shared" si="2"/>
        <v>0.3</v>
      </c>
      <c r="AE26" s="1979"/>
      <c r="AF26" s="2023"/>
      <c r="AG26" s="2016">
        <f>'Exhibit G State'!AG26</f>
        <v>0.2</v>
      </c>
      <c r="AH26" s="3439"/>
      <c r="AI26" s="1991"/>
      <c r="AJ26" s="1429">
        <f t="shared" si="0"/>
        <v>0.1</v>
      </c>
      <c r="AK26" s="2516"/>
      <c r="AL26" s="1465">
        <f>ROUND(IF(AG26=0,1,AJ26/ABS(AG26)),3)</f>
        <v>0.5</v>
      </c>
    </row>
    <row r="27" spans="1:38" ht="15" customHeight="1">
      <c r="A27" s="2028"/>
      <c r="B27" s="2215" t="s">
        <v>1350</v>
      </c>
      <c r="C27" s="2028"/>
      <c r="D27" s="1984">
        <f>'Exhibit G State'!D27</f>
        <v>0.2</v>
      </c>
      <c r="E27" s="1429"/>
      <c r="F27" s="1984">
        <f>'Exhibit G State'!F27</f>
        <v>0</v>
      </c>
      <c r="G27" s="1429"/>
      <c r="H27" s="1984">
        <f>'Exhibit G State'!H27</f>
        <v>6.6</v>
      </c>
      <c r="J27" s="1984">
        <f>'Exhibit G State'!J27</f>
        <v>0.20000000000000018</v>
      </c>
      <c r="K27" s="2515"/>
      <c r="L27" s="1984">
        <f>'Exhibit G State'!L27</f>
        <v>0</v>
      </c>
      <c r="M27" s="2515"/>
      <c r="N27" s="1984">
        <f>'Exhibit G State'!N27</f>
        <v>7.8000000000000016</v>
      </c>
      <c r="O27" s="2515"/>
      <c r="P27" s="1984"/>
      <c r="Q27" s="2515"/>
      <c r="R27" s="1984"/>
      <c r="S27" s="2515"/>
      <c r="T27" s="1984"/>
      <c r="U27" s="2515"/>
      <c r="V27" s="1984"/>
      <c r="W27" s="2515"/>
      <c r="X27" s="1984"/>
      <c r="Y27" s="2515"/>
      <c r="Z27" s="1984"/>
      <c r="AA27" s="1984"/>
      <c r="AB27" s="1990">
        <v>0</v>
      </c>
      <c r="AC27" s="2021"/>
      <c r="AD27" s="1979">
        <f t="shared" ref="AD27" si="3">ROUND(SUM(D27:Z27),1)</f>
        <v>14.8</v>
      </c>
      <c r="AE27" s="1979"/>
      <c r="AF27" s="2023"/>
      <c r="AG27" s="2016">
        <f>'Exhibit G State'!AG27</f>
        <v>18.7</v>
      </c>
      <c r="AH27" s="3439"/>
      <c r="AI27" s="1991"/>
      <c r="AJ27" s="1429">
        <f t="shared" ref="AJ27" si="4">ROUND(SUM(+AD27-AG27),1)</f>
        <v>-3.9</v>
      </c>
      <c r="AK27" s="2516"/>
      <c r="AL27" s="1465">
        <f>ROUND(IF(AG27=0,1,AJ27/ABS(AG27)),3)</f>
        <v>-0.20899999999999999</v>
      </c>
    </row>
    <row r="28" spans="1:38" s="2402" customFormat="1" ht="15" customHeight="1">
      <c r="A28" s="2401"/>
      <c r="B28" s="2521" t="s">
        <v>1124</v>
      </c>
      <c r="C28" s="2401"/>
      <c r="D28" s="2017">
        <f>ROUND(SUM(D20:D27),1)</f>
        <v>187.7</v>
      </c>
      <c r="E28" s="2503"/>
      <c r="F28" s="2017">
        <f>ROUND(SUM(F20:F27),1)</f>
        <v>142</v>
      </c>
      <c r="G28" s="2503"/>
      <c r="H28" s="2448">
        <f>ROUND(SUM(H20:H27),1)</f>
        <v>189.2</v>
      </c>
      <c r="I28" s="2503"/>
      <c r="J28" s="2448">
        <f>ROUND(SUM(J20:J27),1)</f>
        <v>157.4</v>
      </c>
      <c r="K28" s="2503"/>
      <c r="L28" s="2017">
        <f>ROUND(SUM(L20:L27),1)</f>
        <v>156.4</v>
      </c>
      <c r="M28" s="2503"/>
      <c r="N28" s="2017">
        <f>ROUND(SUM(N20:N27),1)</f>
        <v>191.9</v>
      </c>
      <c r="O28" s="2503"/>
      <c r="P28" s="2017">
        <f>ROUND(SUM(P20:P27),1)</f>
        <v>0</v>
      </c>
      <c r="Q28" s="2503"/>
      <c r="R28" s="2017">
        <f>ROUND(SUM(R20:R27),1)</f>
        <v>0</v>
      </c>
      <c r="S28" s="2503"/>
      <c r="T28" s="2001">
        <f>ROUND(SUM(T20:T27),1)</f>
        <v>0</v>
      </c>
      <c r="U28" s="2503"/>
      <c r="V28" s="2017">
        <f>ROUND(SUM(V20:V27),1)</f>
        <v>0</v>
      </c>
      <c r="W28" s="2503"/>
      <c r="X28" s="2017">
        <f>ROUND(SUM(X20:X27),1)</f>
        <v>0</v>
      </c>
      <c r="Y28" s="2503"/>
      <c r="Z28" s="2017">
        <f>ROUND(SUM(Z20:Z27),1)</f>
        <v>0</v>
      </c>
      <c r="AA28" s="1430"/>
      <c r="AB28" s="2017">
        <f>ROUND(SUM(AB20:AB27),1)</f>
        <v>0</v>
      </c>
      <c r="AC28" s="2024"/>
      <c r="AD28" s="2001">
        <f>ROUND(SUM(AD20:AD27),1)</f>
        <v>1024.5999999999999</v>
      </c>
      <c r="AE28" s="2034"/>
      <c r="AF28" s="2527"/>
      <c r="AG28" s="2001">
        <f>ROUND(SUM(AG20:AG27),1)</f>
        <v>879.2</v>
      </c>
      <c r="AH28" s="3442"/>
      <c r="AI28" s="1430"/>
      <c r="AJ28" s="2017">
        <f>ROUND(SUM(AJ20:AJ27),1)</f>
        <v>145.4</v>
      </c>
      <c r="AL28" s="2522">
        <f>ROUND(SUM(+AJ28/AG28),3)</f>
        <v>0.16500000000000001</v>
      </c>
    </row>
    <row r="29" spans="1:38" ht="15" customHeight="1">
      <c r="A29" s="2028"/>
      <c r="B29" s="2514" t="s">
        <v>1057</v>
      </c>
      <c r="C29" s="2028"/>
      <c r="D29" s="1990"/>
      <c r="F29" s="1990"/>
      <c r="H29" s="1429"/>
      <c r="J29" s="1429"/>
      <c r="L29" s="1990"/>
      <c r="N29" s="1990"/>
      <c r="P29" s="1990"/>
      <c r="R29" s="1990"/>
      <c r="T29" s="1979"/>
      <c r="V29" s="1990"/>
      <c r="X29" s="1990"/>
      <c r="Z29" s="1990"/>
      <c r="AA29" s="1990"/>
      <c r="AB29" s="1990"/>
      <c r="AC29" s="2021"/>
      <c r="AD29" s="1979"/>
      <c r="AE29" s="1979"/>
      <c r="AF29" s="2023"/>
      <c r="AG29" s="1979"/>
      <c r="AH29" s="3439"/>
      <c r="AI29" s="1991"/>
      <c r="AJ29" s="1429"/>
      <c r="AL29" s="1418"/>
    </row>
    <row r="30" spans="1:38" s="2168" customFormat="1" ht="15" customHeight="1">
      <c r="A30" s="2439"/>
      <c r="B30" s="2520" t="s">
        <v>1016</v>
      </c>
      <c r="C30" s="2439"/>
      <c r="D30" s="1979">
        <f>'Exhibit G State'!D30</f>
        <v>154.6</v>
      </c>
      <c r="E30" s="1429"/>
      <c r="F30" s="1979">
        <f>'Exhibit G State'!F30</f>
        <v>39.800000000000011</v>
      </c>
      <c r="G30" s="1429"/>
      <c r="H30" s="1979">
        <f>'Exhibit G State'!H30</f>
        <v>264.3</v>
      </c>
      <c r="I30" s="2503"/>
      <c r="J30" s="1984">
        <f>'Exhibit G State'!J30</f>
        <v>60.399999999999977</v>
      </c>
      <c r="K30" s="2515"/>
      <c r="L30" s="1984">
        <f>'Exhibit G State'!L30</f>
        <v>8.6000000000000227</v>
      </c>
      <c r="M30" s="2515"/>
      <c r="N30" s="1984">
        <f>'Exhibit G State'!N30</f>
        <v>260.7</v>
      </c>
      <c r="O30" s="2515"/>
      <c r="P30" s="1979"/>
      <c r="Q30" s="2515"/>
      <c r="R30" s="1979"/>
      <c r="S30" s="2515"/>
      <c r="T30" s="1979"/>
      <c r="U30" s="2515"/>
      <c r="V30" s="1979"/>
      <c r="W30" s="2515"/>
      <c r="X30" s="1979"/>
      <c r="Y30" s="2515"/>
      <c r="Z30" s="1979"/>
      <c r="AA30" s="1979"/>
      <c r="AB30" s="1979">
        <v>0</v>
      </c>
      <c r="AC30" s="2023"/>
      <c r="AD30" s="1979">
        <f>ROUND(SUM(D30:Z30),1)</f>
        <v>788.4</v>
      </c>
      <c r="AE30" s="1979"/>
      <c r="AF30" s="2023"/>
      <c r="AG30" s="1979">
        <f>'Exhibit G State'!AG30</f>
        <v>455.3</v>
      </c>
      <c r="AH30" s="3439"/>
      <c r="AI30" s="1961"/>
      <c r="AJ30" s="1984">
        <f>ROUND(SUM(+AD30-AG30),1)</f>
        <v>333.1</v>
      </c>
      <c r="AK30" s="2523"/>
      <c r="AL30" s="1708">
        <f>ROUND(IF(AG30=0,0,AJ30/ABS(AG30)),3)</f>
        <v>0.73199999999999998</v>
      </c>
    </row>
    <row r="31" spans="1:38" s="2168" customFormat="1" ht="15" customHeight="1">
      <c r="A31" s="2439"/>
      <c r="B31" s="2520" t="s">
        <v>1017</v>
      </c>
      <c r="C31" s="2439"/>
      <c r="D31" s="1979">
        <f>'Exhibit G State'!D31</f>
        <v>19.3</v>
      </c>
      <c r="E31" s="1429"/>
      <c r="F31" s="1979">
        <f>'Exhibit G State'!F31</f>
        <v>0.5</v>
      </c>
      <c r="G31" s="1429"/>
      <c r="H31" s="1979">
        <f>'Exhibit G State'!H31</f>
        <v>18.099999999999998</v>
      </c>
      <c r="I31" s="2503"/>
      <c r="J31" s="1984">
        <f>'Exhibit G State'!J31</f>
        <v>-7.6999999999999993</v>
      </c>
      <c r="K31" s="2515"/>
      <c r="L31" s="1984">
        <f>'Exhibit G State'!L31</f>
        <v>-9.9999999999997868E-2</v>
      </c>
      <c r="M31" s="2515"/>
      <c r="N31" s="1984">
        <f>'Exhibit G State'!N31</f>
        <v>18.899999999999999</v>
      </c>
      <c r="O31" s="2515"/>
      <c r="P31" s="1979"/>
      <c r="Q31" s="2515"/>
      <c r="R31" s="1979"/>
      <c r="S31" s="2515"/>
      <c r="T31" s="1979"/>
      <c r="U31" s="2515"/>
      <c r="V31" s="1979"/>
      <c r="W31" s="2515"/>
      <c r="X31" s="1979"/>
      <c r="Y31" s="2515"/>
      <c r="Z31" s="1979"/>
      <c r="AA31" s="1979"/>
      <c r="AB31" s="1979">
        <v>0</v>
      </c>
      <c r="AC31" s="2023"/>
      <c r="AD31" s="1979">
        <f>ROUND(SUM(D31:Z31),1)</f>
        <v>49</v>
      </c>
      <c r="AE31" s="1979"/>
      <c r="AF31" s="2023"/>
      <c r="AG31" s="1979">
        <f>'Exhibit G State'!AG31</f>
        <v>55.8</v>
      </c>
      <c r="AH31" s="3439"/>
      <c r="AI31" s="1961"/>
      <c r="AJ31" s="1984">
        <f>ROUND(SUM(+AD31-AG31),1)</f>
        <v>-6.8</v>
      </c>
      <c r="AK31" s="2523"/>
      <c r="AL31" s="1708">
        <f>ROUND(IF(AG31=0,0,AJ31/ABS(AG31)),3)</f>
        <v>-0.122</v>
      </c>
    </row>
    <row r="32" spans="1:38" s="2168" customFormat="1" ht="15" customHeight="1">
      <c r="A32" s="2439"/>
      <c r="B32" s="2520" t="s">
        <v>1018</v>
      </c>
      <c r="C32" s="2439"/>
      <c r="D32" s="1979">
        <f>'Exhibit G State'!D32</f>
        <v>-8.8000000000000007</v>
      </c>
      <c r="E32" s="1429"/>
      <c r="F32" s="1979">
        <f>'Exhibit G State'!F32</f>
        <v>2.5000000000000009</v>
      </c>
      <c r="G32" s="1429"/>
      <c r="H32" s="1979">
        <f>'Exhibit G State'!H32</f>
        <v>44.8</v>
      </c>
      <c r="I32" s="2503"/>
      <c r="J32" s="1984">
        <f>'Exhibit G State'!J32</f>
        <v>2.5</v>
      </c>
      <c r="K32" s="2515"/>
      <c r="L32" s="1984">
        <f>'Exhibit G State'!L32</f>
        <v>4.8000000000000114</v>
      </c>
      <c r="M32" s="2515"/>
      <c r="N32" s="1984">
        <f>'Exhibit G State'!N32</f>
        <v>50.099999999999994</v>
      </c>
      <c r="O32" s="2515"/>
      <c r="P32" s="1979"/>
      <c r="Q32" s="2515"/>
      <c r="R32" s="1979"/>
      <c r="S32" s="2515"/>
      <c r="T32" s="1979"/>
      <c r="U32" s="2515"/>
      <c r="V32" s="1979"/>
      <c r="W32" s="2515"/>
      <c r="X32" s="1979"/>
      <c r="Y32" s="2515"/>
      <c r="Z32" s="1979"/>
      <c r="AA32" s="1979"/>
      <c r="AB32" s="1979">
        <v>0</v>
      </c>
      <c r="AC32" s="2023"/>
      <c r="AD32" s="1979">
        <f>ROUND(SUM(D32:Z32),1)</f>
        <v>95.9</v>
      </c>
      <c r="AE32" s="1979"/>
      <c r="AF32" s="2023"/>
      <c r="AG32" s="1979">
        <f>'Exhibit G State'!AG32</f>
        <v>93.5</v>
      </c>
      <c r="AH32" s="3439"/>
      <c r="AI32" s="1961"/>
      <c r="AJ32" s="1984">
        <f>ROUND(SUM(+AD32-AG32),1)</f>
        <v>2.4</v>
      </c>
      <c r="AK32" s="2523"/>
      <c r="AL32" s="1713">
        <f>ROUND(IF(AG32=0,0,AJ32/ABS(AG32)),3)</f>
        <v>2.5999999999999999E-2</v>
      </c>
    </row>
    <row r="33" spans="1:38" s="2168" customFormat="1" ht="15" customHeight="1">
      <c r="A33" s="2439"/>
      <c r="B33" s="2520" t="s">
        <v>1019</v>
      </c>
      <c r="C33" s="2439"/>
      <c r="D33" s="1979">
        <f>'Exhibit G State'!D33</f>
        <v>3.1</v>
      </c>
      <c r="E33" s="1429"/>
      <c r="F33" s="1979">
        <f>'Exhibit G State'!F33</f>
        <v>-3</v>
      </c>
      <c r="G33" s="1429"/>
      <c r="H33" s="1979">
        <f>'Exhibit G State'!H33</f>
        <v>3.6999999999999997</v>
      </c>
      <c r="I33" s="2503"/>
      <c r="J33" s="1984">
        <f>'Exhibit G State'!J33</f>
        <v>0</v>
      </c>
      <c r="K33" s="2515"/>
      <c r="L33" s="1984">
        <f>'Exhibit G State'!L33</f>
        <v>0</v>
      </c>
      <c r="M33" s="2515"/>
      <c r="N33" s="1984">
        <f>'Exhibit G State'!N33</f>
        <v>-4.5999999999999996</v>
      </c>
      <c r="O33" s="2515"/>
      <c r="P33" s="1979"/>
      <c r="Q33" s="2515"/>
      <c r="R33" s="1979"/>
      <c r="S33" s="2515"/>
      <c r="T33" s="1979"/>
      <c r="U33" s="2515"/>
      <c r="V33" s="1979"/>
      <c r="W33" s="2515"/>
      <c r="X33" s="1979"/>
      <c r="Y33" s="2515"/>
      <c r="Z33" s="1979"/>
      <c r="AA33" s="1979"/>
      <c r="AB33" s="1979">
        <v>0</v>
      </c>
      <c r="AC33" s="2023"/>
      <c r="AD33" s="1979">
        <f>ROUND(SUM(D33:Z33),1)</f>
        <v>-0.8</v>
      </c>
      <c r="AE33" s="1979"/>
      <c r="AF33" s="2023"/>
      <c r="AG33" s="1979">
        <f>'Exhibit G State'!AG33</f>
        <v>17.8</v>
      </c>
      <c r="AH33" s="3439"/>
      <c r="AI33" s="1961"/>
      <c r="AJ33" s="1984">
        <f>ROUND(SUM(+AD33-AG33),1)</f>
        <v>-18.600000000000001</v>
      </c>
      <c r="AK33" s="2523"/>
      <c r="AL33" s="1713">
        <f>ROUND(IF(AG33=0,0,AJ33/ABS(AG33)),3)</f>
        <v>-1.0449999999999999</v>
      </c>
    </row>
    <row r="34" spans="1:38" s="2168" customFormat="1" ht="15" customHeight="1">
      <c r="A34" s="2439"/>
      <c r="B34" s="2520" t="s">
        <v>1020</v>
      </c>
      <c r="C34" s="2439"/>
      <c r="D34" s="1979">
        <f>'Exhibit G State'!D34</f>
        <v>30.7</v>
      </c>
      <c r="E34" s="1429"/>
      <c r="F34" s="1979">
        <f>'Exhibit G State'!F34</f>
        <v>39.799999999999997</v>
      </c>
      <c r="G34" s="1429"/>
      <c r="H34" s="1979">
        <f>'Exhibit G State'!H34</f>
        <v>40.599999999999994</v>
      </c>
      <c r="I34" s="2503"/>
      <c r="J34" s="1984">
        <f>'Exhibit G State'!J34</f>
        <v>43.700000000000017</v>
      </c>
      <c r="K34" s="2515"/>
      <c r="L34" s="1984">
        <f>'Exhibit G State'!L34</f>
        <v>42.2</v>
      </c>
      <c r="M34" s="2515"/>
      <c r="N34" s="1984">
        <f>'Exhibit G State'!N34</f>
        <v>33.799999999999997</v>
      </c>
      <c r="O34" s="2515"/>
      <c r="P34" s="1979"/>
      <c r="Q34" s="2515"/>
      <c r="R34" s="1979"/>
      <c r="S34" s="2515"/>
      <c r="T34" s="1979"/>
      <c r="U34" s="2515"/>
      <c r="V34" s="1979"/>
      <c r="W34" s="2515"/>
      <c r="X34" s="1979"/>
      <c r="Y34" s="2515"/>
      <c r="Z34" s="1979"/>
      <c r="AA34" s="1979"/>
      <c r="AB34" s="1979">
        <v>0</v>
      </c>
      <c r="AC34" s="2023"/>
      <c r="AD34" s="1979">
        <f>ROUND(SUM(D34:Z34),1)</f>
        <v>230.8</v>
      </c>
      <c r="AE34" s="1979"/>
      <c r="AF34" s="2023"/>
      <c r="AG34" s="1979">
        <f>'Exhibit G State'!AG34</f>
        <v>206.3</v>
      </c>
      <c r="AH34" s="3439"/>
      <c r="AI34" s="1961"/>
      <c r="AJ34" s="1984">
        <f>ROUND(SUM(+AD34-AG34),1)</f>
        <v>24.5</v>
      </c>
      <c r="AK34" s="2523"/>
      <c r="AL34" s="1708">
        <f>ROUND(IF(AG34=0,0,AJ34/ABS(AG34)),3)</f>
        <v>0.11899999999999999</v>
      </c>
    </row>
    <row r="35" spans="1:38" s="2402" customFormat="1" ht="15" customHeight="1">
      <c r="A35" s="2401"/>
      <c r="B35" s="2521" t="s">
        <v>1125</v>
      </c>
      <c r="C35" s="2401"/>
      <c r="D35" s="2017">
        <f t="shared" ref="D35:F35" si="5">ROUND(SUM(D30:D34),1)</f>
        <v>198.9</v>
      </c>
      <c r="E35" s="2503"/>
      <c r="F35" s="2017">
        <f t="shared" si="5"/>
        <v>79.599999999999994</v>
      </c>
      <c r="G35" s="2503"/>
      <c r="H35" s="2448">
        <f>ROUND(SUM(H30:H34),1)</f>
        <v>371.5</v>
      </c>
      <c r="I35" s="2503"/>
      <c r="J35" s="2448">
        <f>ROUND(SUM(J30:J34),1)</f>
        <v>98.9</v>
      </c>
      <c r="K35" s="2503"/>
      <c r="L35" s="2017">
        <f t="shared" ref="L35:V35" si="6">ROUND(SUM(L30:L34),1)</f>
        <v>55.5</v>
      </c>
      <c r="M35" s="2503"/>
      <c r="N35" s="2017">
        <f t="shared" ref="N35" si="7">ROUND(SUM(N30:N34),1)</f>
        <v>358.9</v>
      </c>
      <c r="O35" s="2503"/>
      <c r="P35" s="2017">
        <f t="shared" ref="P35" si="8">ROUND(SUM(P30:P34),1)</f>
        <v>0</v>
      </c>
      <c r="Q35" s="2503"/>
      <c r="R35" s="2017">
        <f t="shared" ref="R35" si="9">ROUND(SUM(R30:R34),1)</f>
        <v>0</v>
      </c>
      <c r="S35" s="2503"/>
      <c r="T35" s="2001">
        <f t="shared" si="6"/>
        <v>0</v>
      </c>
      <c r="U35" s="2503"/>
      <c r="V35" s="2017">
        <f t="shared" si="6"/>
        <v>0</v>
      </c>
      <c r="W35" s="2503"/>
      <c r="X35" s="2017">
        <f t="shared" ref="X35:Z35" si="10">ROUND(SUM(X30:X34),1)</f>
        <v>0</v>
      </c>
      <c r="Y35" s="2503"/>
      <c r="Z35" s="2017">
        <f t="shared" si="10"/>
        <v>0</v>
      </c>
      <c r="AA35" s="1430"/>
      <c r="AB35" s="2017">
        <f>SUM(AB30:AB34)</f>
        <v>0</v>
      </c>
      <c r="AC35" s="2024"/>
      <c r="AD35" s="2001">
        <f>ROUND(SUM(AD30:AD34),1)</f>
        <v>1163.3</v>
      </c>
      <c r="AE35" s="2034"/>
      <c r="AF35" s="2527"/>
      <c r="AG35" s="2001">
        <f>ROUND(SUM(AG30:AG34),1)</f>
        <v>828.7</v>
      </c>
      <c r="AH35" s="3442"/>
      <c r="AI35" s="1430"/>
      <c r="AJ35" s="2017">
        <f>ROUND(SUM(AJ30:AJ34),1)</f>
        <v>334.6</v>
      </c>
      <c r="AL35" s="1420">
        <f>ROUND(SUM(+AJ35/AG35),3)</f>
        <v>0.40400000000000003</v>
      </c>
    </row>
    <row r="36" spans="1:38" ht="15" customHeight="1">
      <c r="A36" s="2028"/>
      <c r="B36" s="2524"/>
      <c r="C36" s="2028"/>
      <c r="D36" s="1991"/>
      <c r="F36" s="1991"/>
      <c r="H36" s="2451"/>
      <c r="J36" s="2451"/>
      <c r="L36" s="1991"/>
      <c r="N36" s="1991"/>
      <c r="P36" s="1991"/>
      <c r="R36" s="1991"/>
      <c r="T36" s="1961"/>
      <c r="V36" s="1991"/>
      <c r="X36" s="1991"/>
      <c r="Z36" s="1991"/>
      <c r="AA36" s="1991"/>
      <c r="AB36" s="1990"/>
      <c r="AC36" s="2021"/>
      <c r="AD36" s="1961"/>
      <c r="AE36" s="1979"/>
      <c r="AF36" s="2023"/>
      <c r="AG36" s="1961"/>
      <c r="AH36" s="3439"/>
      <c r="AI36" s="1991"/>
      <c r="AJ36" s="2451"/>
      <c r="AK36" s="2005"/>
      <c r="AL36" s="1433"/>
    </row>
    <row r="37" spans="1:38" ht="15" customHeight="1">
      <c r="A37" s="2028"/>
      <c r="B37" s="2521" t="s">
        <v>1126</v>
      </c>
      <c r="C37" s="2028"/>
      <c r="D37" s="2036">
        <f>ROUND(SUM(D17+D28+D35),1)</f>
        <v>386.6</v>
      </c>
      <c r="F37" s="2036">
        <f>ROUND(SUM(F17+F28+F35),1)</f>
        <v>221.6</v>
      </c>
      <c r="H37" s="2036">
        <f>ROUND(SUM(H17+H28+H35),1)</f>
        <v>560.70000000000005</v>
      </c>
      <c r="J37" s="2036">
        <f>ROUND(SUM(J17+J28+J35),1)</f>
        <v>256.3</v>
      </c>
      <c r="L37" s="2036">
        <f>ROUND(SUM(L17+L28+L35),1)</f>
        <v>211.9</v>
      </c>
      <c r="N37" s="2036">
        <f>ROUND(SUM(N17+N28+N35),1)</f>
        <v>550.79999999999995</v>
      </c>
      <c r="P37" s="2036">
        <f>ROUND(SUM(P17+P28+P35),1)</f>
        <v>0</v>
      </c>
      <c r="R37" s="2036">
        <f>ROUND(SUM(R17+R28+R35),1)</f>
        <v>0</v>
      </c>
      <c r="T37" s="2036">
        <f>ROUND(SUM(T17+T28+T35),1)</f>
        <v>0</v>
      </c>
      <c r="V37" s="2036">
        <f>ROUND(SUM(V17+V28+V35),1)</f>
        <v>0</v>
      </c>
      <c r="X37" s="2036">
        <f>ROUND(SUM(X17+X28+X35),1)</f>
        <v>0</v>
      </c>
      <c r="Z37" s="2036">
        <f>ROUND(SUM(Z17+Z28+Z35),1)</f>
        <v>0</v>
      </c>
      <c r="AA37" s="1430"/>
      <c r="AB37" s="2036">
        <f>ROUND(SUM(AB17+AB28+AB35),1)</f>
        <v>0</v>
      </c>
      <c r="AC37" s="2021"/>
      <c r="AD37" s="2038">
        <f>ROUND(SUM(AD17+AD28+AD35),1)</f>
        <v>2187.9</v>
      </c>
      <c r="AE37" s="1979"/>
      <c r="AF37" s="2023"/>
      <c r="AG37" s="2038">
        <f>ROUND(SUM(AG17+AG28+AG35),1)</f>
        <v>1708</v>
      </c>
      <c r="AH37" s="3439"/>
      <c r="AI37" s="1991"/>
      <c r="AJ37" s="2036">
        <f>ROUND(SUM(AJ17+AJ28+AJ35),1)</f>
        <v>479.9</v>
      </c>
      <c r="AL37" s="1421">
        <f>ROUND(SUM(+AJ37/AG37),3)</f>
        <v>0.28100000000000003</v>
      </c>
    </row>
    <row r="38" spans="1:38" ht="15" customHeight="1">
      <c r="A38" s="2028"/>
      <c r="B38" s="2028"/>
      <c r="C38" s="2028"/>
      <c r="D38" s="2523"/>
      <c r="F38" s="2523"/>
      <c r="H38" s="2525"/>
      <c r="J38" s="2525"/>
      <c r="L38" s="2525"/>
      <c r="N38" s="2525"/>
      <c r="P38" s="2525"/>
      <c r="R38" s="2525"/>
      <c r="T38" s="1978"/>
      <c r="V38" s="1999"/>
      <c r="X38" s="1999"/>
      <c r="Z38" s="1999"/>
      <c r="AA38" s="2523"/>
      <c r="AB38" s="1990"/>
      <c r="AC38" s="2021"/>
      <c r="AD38" s="1979"/>
      <c r="AE38" s="1979"/>
      <c r="AF38" s="2023"/>
      <c r="AG38" s="2104"/>
      <c r="AH38" s="3443"/>
      <c r="AI38" s="1991"/>
      <c r="AJ38" s="1429"/>
      <c r="AK38" s="2516"/>
      <c r="AL38" s="1418"/>
    </row>
    <row r="39" spans="1:38" ht="15" customHeight="1">
      <c r="A39" s="2028"/>
      <c r="B39" s="2436" t="s">
        <v>930</v>
      </c>
      <c r="C39" s="2028"/>
      <c r="D39" s="2523"/>
      <c r="F39" s="2523"/>
      <c r="H39" s="2525"/>
      <c r="J39" s="2525"/>
      <c r="L39" s="2525"/>
      <c r="N39" s="2525"/>
      <c r="P39" s="2525"/>
      <c r="R39" s="2525"/>
      <c r="T39" s="1978"/>
      <c r="V39" s="1999"/>
      <c r="X39" s="1999"/>
      <c r="Z39" s="1999"/>
      <c r="AA39" s="2523"/>
      <c r="AB39" s="1990"/>
      <c r="AC39" s="2021"/>
      <c r="AD39" s="1979"/>
      <c r="AE39" s="1979"/>
      <c r="AF39" s="2023"/>
      <c r="AG39" s="2104"/>
      <c r="AH39" s="3443"/>
      <c r="AI39" s="1991"/>
      <c r="AJ39" s="1429"/>
      <c r="AK39" s="2516"/>
      <c r="AL39" s="1418"/>
    </row>
    <row r="40" spans="1:38" ht="15" customHeight="1">
      <c r="A40" s="2028"/>
      <c r="B40" s="2459" t="s">
        <v>1049</v>
      </c>
      <c r="C40" s="2028"/>
      <c r="D40" s="2523"/>
      <c r="F40" s="2523"/>
      <c r="H40" s="2525"/>
      <c r="J40" s="2525"/>
      <c r="L40" s="2525"/>
      <c r="N40" s="2525"/>
      <c r="P40" s="2525"/>
      <c r="R40" s="2525"/>
      <c r="T40" s="1978"/>
      <c r="V40" s="1999"/>
      <c r="X40" s="1999"/>
      <c r="Z40" s="1999"/>
      <c r="AA40" s="2523"/>
      <c r="AB40" s="1990"/>
      <c r="AC40" s="2021"/>
      <c r="AD40" s="1979"/>
      <c r="AE40" s="1979"/>
      <c r="AF40" s="2023"/>
      <c r="AG40" s="2104"/>
      <c r="AH40" s="3443"/>
      <c r="AI40" s="1991"/>
      <c r="AJ40" s="1429"/>
      <c r="AK40" s="2516"/>
      <c r="AL40" s="1418"/>
    </row>
    <row r="41" spans="1:38" s="2168" customFormat="1" ht="15" customHeight="1">
      <c r="A41" s="2439"/>
      <c r="B41" s="2459" t="s">
        <v>963</v>
      </c>
      <c r="C41" s="2439"/>
      <c r="D41" s="2016">
        <f>'Exhibit G State'!D41+'Exhibit G Federal'!D19</f>
        <v>0.9</v>
      </c>
      <c r="E41" s="2525"/>
      <c r="F41" s="2016">
        <f>'Exhibit G State'!F41+'Exhibit G Federal'!F19</f>
        <v>0.99999999999999989</v>
      </c>
      <c r="G41" s="2525"/>
      <c r="H41" s="2016">
        <f>'Exhibit G State'!H41+'Exhibit G Federal'!H19</f>
        <v>0.80000000000000038</v>
      </c>
      <c r="I41" s="2503"/>
      <c r="J41" s="1984">
        <f>'Exhibit G State'!J41+'Exhibit G Federal'!J19</f>
        <v>0.8999999999999998</v>
      </c>
      <c r="K41" s="2515"/>
      <c r="L41" s="1984">
        <f>'Exhibit G State'!L41+'Exhibit G Federal'!L19</f>
        <v>0.9</v>
      </c>
      <c r="M41" s="2515"/>
      <c r="N41" s="1984">
        <f>'Exhibit G State'!N41+'Exhibit G Federal'!N19</f>
        <v>1.1999999999999997</v>
      </c>
      <c r="O41" s="2515"/>
      <c r="P41" s="2016"/>
      <c r="Q41" s="2515"/>
      <c r="R41" s="2016"/>
      <c r="S41" s="2515"/>
      <c r="T41" s="2016"/>
      <c r="U41" s="2515"/>
      <c r="V41" s="2016"/>
      <c r="W41" s="2515"/>
      <c r="X41" s="1984"/>
      <c r="Y41" s="2515"/>
      <c r="Z41" s="2016"/>
      <c r="AA41" s="2016"/>
      <c r="AB41" s="1979">
        <v>0</v>
      </c>
      <c r="AC41" s="2023"/>
      <c r="AD41" s="1979">
        <f t="shared" ref="AD41:AD82" si="11">ROUND(SUM(D41:Z41),1)</f>
        <v>5.7</v>
      </c>
      <c r="AE41" s="1979"/>
      <c r="AF41" s="2023"/>
      <c r="AG41" s="2016">
        <f>'Exhibit G State'!AG41+'Exhibit G Federal'!AG19</f>
        <v>5.6</v>
      </c>
      <c r="AH41" s="3443"/>
      <c r="AI41" s="1961"/>
      <c r="AJ41" s="1984">
        <f>ROUND(SUM(+AD41-AG41),1)</f>
        <v>0.1</v>
      </c>
      <c r="AK41" s="2523"/>
      <c r="AL41" s="1708">
        <f>ROUND(IF(AG41=0,0,AJ41/ABS(AG41)),3)</f>
        <v>1.7999999999999999E-2</v>
      </c>
    </row>
    <row r="42" spans="1:38" s="2168" customFormat="1" ht="15" customHeight="1">
      <c r="A42" s="2439"/>
      <c r="B42" s="2459" t="s">
        <v>1050</v>
      </c>
      <c r="C42" s="2439"/>
      <c r="D42" s="2016"/>
      <c r="E42" s="2503"/>
      <c r="F42" s="2016"/>
      <c r="G42" s="2503"/>
      <c r="H42" s="2016"/>
      <c r="I42" s="2503"/>
      <c r="J42" s="1984"/>
      <c r="K42" s="2515"/>
      <c r="L42" s="1984"/>
      <c r="M42" s="2515"/>
      <c r="N42" s="1984"/>
      <c r="O42" s="2515"/>
      <c r="P42" s="2016"/>
      <c r="Q42" s="2515"/>
      <c r="R42" s="2016"/>
      <c r="S42" s="2515"/>
      <c r="T42" s="2016"/>
      <c r="U42" s="2515"/>
      <c r="V42" s="2016"/>
      <c r="W42" s="2515"/>
      <c r="X42" s="1984"/>
      <c r="Y42" s="2515"/>
      <c r="Z42" s="2016"/>
      <c r="AA42" s="2016"/>
      <c r="AB42" s="1979"/>
      <c r="AC42" s="2023"/>
      <c r="AD42" s="1979"/>
      <c r="AE42" s="1979"/>
      <c r="AF42" s="2023"/>
      <c r="AG42" s="2016"/>
      <c r="AH42" s="3443"/>
      <c r="AI42" s="1961"/>
      <c r="AJ42" s="1984"/>
      <c r="AK42" s="2523"/>
      <c r="AL42" s="1802"/>
    </row>
    <row r="43" spans="1:38" s="2168" customFormat="1" ht="15" customHeight="1">
      <c r="A43" s="2439"/>
      <c r="B43" s="2459" t="s">
        <v>965</v>
      </c>
      <c r="C43" s="2439"/>
      <c r="D43" s="2016">
        <f>'Exhibit G State'!D43+'Exhibit G Federal'!D21</f>
        <v>69.2</v>
      </c>
      <c r="E43" s="2016"/>
      <c r="F43" s="2016">
        <f>'Exhibit G State'!F43+'Exhibit G Federal'!F21</f>
        <v>40.699999999999996</v>
      </c>
      <c r="G43" s="2016"/>
      <c r="H43" s="2016">
        <f>'Exhibit G State'!H43+'Exhibit G Federal'!H21</f>
        <v>61.4</v>
      </c>
      <c r="I43" s="2503"/>
      <c r="J43" s="1984">
        <f>'Exhibit G State'!J43+'Exhibit G Federal'!J21</f>
        <v>95.499999999999986</v>
      </c>
      <c r="K43" s="2515"/>
      <c r="L43" s="1984">
        <f>'Exhibit G State'!L43+'Exhibit G Federal'!L21</f>
        <v>31.100000000000023</v>
      </c>
      <c r="M43" s="2515"/>
      <c r="N43" s="1984">
        <f>'Exhibit G State'!N43+'Exhibit G Federal'!N21</f>
        <v>29.799999999999997</v>
      </c>
      <c r="O43" s="2515"/>
      <c r="P43" s="2016"/>
      <c r="Q43" s="2515"/>
      <c r="R43" s="2016"/>
      <c r="S43" s="2515"/>
      <c r="T43" s="2016"/>
      <c r="U43" s="2515"/>
      <c r="V43" s="2016"/>
      <c r="W43" s="2515"/>
      <c r="X43" s="1984"/>
      <c r="Y43" s="2515"/>
      <c r="Z43" s="2016"/>
      <c r="AA43" s="2016"/>
      <c r="AB43" s="1979">
        <v>0</v>
      </c>
      <c r="AC43" s="2023"/>
      <c r="AD43" s="1979">
        <f>ROUND(SUM(D43:Z43),1)</f>
        <v>327.7</v>
      </c>
      <c r="AE43" s="1979"/>
      <c r="AF43" s="2023"/>
      <c r="AG43" s="2016">
        <f>'Exhibit G State'!AG43+'Exhibit G Federal'!AG21</f>
        <v>369.8</v>
      </c>
      <c r="AH43" s="3443"/>
      <c r="AI43" s="1961"/>
      <c r="AJ43" s="1984">
        <f>ROUND(SUM(+AD43-AG43),1)</f>
        <v>-42.1</v>
      </c>
      <c r="AK43" s="2523"/>
      <c r="AL43" s="1708">
        <f>ROUND(IF(AG43=0,0,AJ43/ABS(AG43)),3)</f>
        <v>-0.114</v>
      </c>
    </row>
    <row r="44" spans="1:38" s="2168" customFormat="1" ht="15" customHeight="1">
      <c r="A44" s="2439"/>
      <c r="B44" s="2459" t="s">
        <v>966</v>
      </c>
      <c r="C44" s="2439"/>
      <c r="D44" s="2016">
        <f>'Exhibit G State'!D44+'Exhibit G Federal'!D22</f>
        <v>482.7</v>
      </c>
      <c r="E44" s="2016"/>
      <c r="F44" s="2016">
        <f>'Exhibit G State'!F44+'Exhibit G Federal'!F22</f>
        <v>530.09999999999991</v>
      </c>
      <c r="G44" s="2016"/>
      <c r="H44" s="2016">
        <f>'Exhibit G State'!H44+'Exhibit G Federal'!H22</f>
        <v>540.70000000000005</v>
      </c>
      <c r="I44" s="2503"/>
      <c r="J44" s="1984">
        <f>'Exhibit G State'!J44+'Exhibit G Federal'!J22</f>
        <v>526.30000000000018</v>
      </c>
      <c r="K44" s="2515"/>
      <c r="L44" s="1984">
        <f>'Exhibit G State'!L44+'Exhibit G Federal'!L22</f>
        <v>529.99999999999977</v>
      </c>
      <c r="M44" s="2515"/>
      <c r="N44" s="1984">
        <f>'Exhibit G State'!N44+'Exhibit G Federal'!N22</f>
        <v>527.70000000000027</v>
      </c>
      <c r="O44" s="2515"/>
      <c r="P44" s="2016"/>
      <c r="Q44" s="2515"/>
      <c r="R44" s="2016"/>
      <c r="S44" s="2515"/>
      <c r="T44" s="2016"/>
      <c r="U44" s="2515"/>
      <c r="V44" s="2016"/>
      <c r="W44" s="2515"/>
      <c r="X44" s="1984"/>
      <c r="Y44" s="2515"/>
      <c r="Z44" s="2016"/>
      <c r="AA44" s="2016"/>
      <c r="AB44" s="1979">
        <v>0</v>
      </c>
      <c r="AC44" s="2023"/>
      <c r="AD44" s="1984">
        <f t="shared" si="11"/>
        <v>3137.5</v>
      </c>
      <c r="AE44" s="1979"/>
      <c r="AF44" s="2023"/>
      <c r="AG44" s="2016">
        <f>'Exhibit G State'!AG44+'Exhibit G Federal'!AG22</f>
        <v>2958</v>
      </c>
      <c r="AH44" s="3443"/>
      <c r="AI44" s="1961"/>
      <c r="AJ44" s="1984">
        <f>ROUND(SUM(+AD44-AG44),1)</f>
        <v>179.5</v>
      </c>
      <c r="AK44" s="2523"/>
      <c r="AL44" s="1708">
        <f>ROUND(IF(AG44=0,0,AJ44/ABS(AG44)),3)</f>
        <v>6.0999999999999999E-2</v>
      </c>
    </row>
    <row r="45" spans="1:38" s="2168" customFormat="1" ht="15" customHeight="1">
      <c r="A45" s="2439"/>
      <c r="B45" s="2459" t="s">
        <v>967</v>
      </c>
      <c r="C45" s="2439"/>
      <c r="D45" s="2016">
        <f>'Exhibit G State'!D45+'Exhibit G Federal'!D23</f>
        <v>1.5</v>
      </c>
      <c r="E45" s="2016"/>
      <c r="F45" s="2016">
        <f>'Exhibit G State'!F45+'Exhibit G Federal'!F23</f>
        <v>0</v>
      </c>
      <c r="G45" s="2016"/>
      <c r="H45" s="2016">
        <f>'Exhibit G State'!H45+'Exhibit G Federal'!H23</f>
        <v>0.70000000000000018</v>
      </c>
      <c r="I45" s="2503"/>
      <c r="J45" s="1984">
        <f>'Exhibit G State'!J45+'Exhibit G Federal'!J23</f>
        <v>0</v>
      </c>
      <c r="K45" s="2515"/>
      <c r="L45" s="1984">
        <f>'Exhibit G State'!L45+'Exhibit G Federal'!L23</f>
        <v>9.9999999999999645E-2</v>
      </c>
      <c r="M45" s="2515"/>
      <c r="N45" s="1984">
        <f>'Exhibit G State'!N45+'Exhibit G Federal'!N23</f>
        <v>44.4</v>
      </c>
      <c r="O45" s="2515"/>
      <c r="P45" s="2016"/>
      <c r="Q45" s="2515"/>
      <c r="R45" s="2016"/>
      <c r="S45" s="2515"/>
      <c r="T45" s="2016"/>
      <c r="U45" s="2515"/>
      <c r="V45" s="2016"/>
      <c r="W45" s="2515"/>
      <c r="X45" s="1984"/>
      <c r="Y45" s="2515"/>
      <c r="Z45" s="2016"/>
      <c r="AA45" s="2016"/>
      <c r="AB45" s="1979">
        <v>0</v>
      </c>
      <c r="AC45" s="2023"/>
      <c r="AD45" s="1979">
        <f t="shared" si="11"/>
        <v>46.7</v>
      </c>
      <c r="AE45" s="1979"/>
      <c r="AF45" s="2023"/>
      <c r="AG45" s="2016">
        <f>'Exhibit G State'!AG45+'Exhibit G Federal'!AG23</f>
        <v>50.7</v>
      </c>
      <c r="AH45" s="3443"/>
      <c r="AI45" s="1961"/>
      <c r="AJ45" s="1984">
        <f>ROUND(SUM(+AD45-AG45),1)</f>
        <v>-4</v>
      </c>
      <c r="AK45" s="2523"/>
      <c r="AL45" s="1713">
        <f>ROUND(IF(AG45=0,0,AJ45/ABS(AG45)),3)</f>
        <v>-7.9000000000000001E-2</v>
      </c>
    </row>
    <row r="46" spans="1:38" s="2168" customFormat="1" ht="15" customHeight="1">
      <c r="A46" s="2439"/>
      <c r="B46" s="2459" t="s">
        <v>968</v>
      </c>
      <c r="C46" s="2439"/>
      <c r="D46" s="2016">
        <f>'Exhibit G State'!D46+'Exhibit G Federal'!D24</f>
        <v>0</v>
      </c>
      <c r="E46" s="2016"/>
      <c r="F46" s="2016">
        <f>'Exhibit G State'!F46+'Exhibit G Federal'!F24</f>
        <v>0</v>
      </c>
      <c r="G46" s="2016"/>
      <c r="H46" s="2016">
        <f>'Exhibit G State'!H46+'Exhibit G Federal'!H24</f>
        <v>0</v>
      </c>
      <c r="I46" s="2503"/>
      <c r="J46" s="1984">
        <f>'Exhibit G State'!J46+'Exhibit G Federal'!J24</f>
        <v>0</v>
      </c>
      <c r="K46" s="2515"/>
      <c r="L46" s="1984">
        <f>'Exhibit G State'!L46+'Exhibit G Federal'!L24</f>
        <v>0</v>
      </c>
      <c r="M46" s="2515"/>
      <c r="N46" s="1984">
        <f>'Exhibit G State'!N46+'Exhibit G Federal'!N24</f>
        <v>0.1</v>
      </c>
      <c r="O46" s="2515"/>
      <c r="P46" s="2016"/>
      <c r="Q46" s="2515"/>
      <c r="R46" s="2016"/>
      <c r="S46" s="2515"/>
      <c r="T46" s="2016"/>
      <c r="U46" s="2515"/>
      <c r="V46" s="2016"/>
      <c r="W46" s="2515"/>
      <c r="X46" s="1984"/>
      <c r="Y46" s="2515"/>
      <c r="Z46" s="2016"/>
      <c r="AA46" s="2016"/>
      <c r="AB46" s="1979">
        <v>0</v>
      </c>
      <c r="AC46" s="2023"/>
      <c r="AD46" s="1979">
        <f t="shared" si="11"/>
        <v>0.1</v>
      </c>
      <c r="AE46" s="1979"/>
      <c r="AF46" s="2023"/>
      <c r="AG46" s="2016">
        <f>'Exhibit G State'!AG46+'Exhibit G Federal'!AG24</f>
        <v>0</v>
      </c>
      <c r="AH46" s="3443"/>
      <c r="AI46" s="1961"/>
      <c r="AJ46" s="1984">
        <f>ROUND(SUM(+AD46-AG46),1)</f>
        <v>0.1</v>
      </c>
      <c r="AK46" s="2523"/>
      <c r="AL46" s="1708">
        <f>ROUND(IF(AG46=0,1,AJ46/ABS(AG46)),3)</f>
        <v>1</v>
      </c>
    </row>
    <row r="47" spans="1:38" s="2168" customFormat="1" ht="15" customHeight="1">
      <c r="A47" s="2439"/>
      <c r="B47" s="2459" t="s">
        <v>1055</v>
      </c>
      <c r="C47" s="2439"/>
      <c r="D47" s="2016"/>
      <c r="E47" s="2503"/>
      <c r="F47" s="2016"/>
      <c r="G47" s="2503"/>
      <c r="H47" s="2016"/>
      <c r="I47" s="2503"/>
      <c r="J47" s="1984"/>
      <c r="K47" s="2515"/>
      <c r="L47" s="1984"/>
      <c r="M47" s="2515"/>
      <c r="N47" s="1984"/>
      <c r="O47" s="2515"/>
      <c r="P47" s="2016"/>
      <c r="Q47" s="2515"/>
      <c r="R47" s="2016"/>
      <c r="S47" s="2515"/>
      <c r="T47" s="2016"/>
      <c r="U47" s="2515"/>
      <c r="V47" s="2016"/>
      <c r="W47" s="2515"/>
      <c r="X47" s="1984"/>
      <c r="Y47" s="2515"/>
      <c r="Z47" s="2016"/>
      <c r="AA47" s="2016"/>
      <c r="AB47" s="1979"/>
      <c r="AC47" s="2023"/>
      <c r="AD47" s="1979"/>
      <c r="AE47" s="1979"/>
      <c r="AF47" s="2023"/>
      <c r="AG47" s="2016"/>
      <c r="AH47" s="3443"/>
      <c r="AI47" s="1961"/>
      <c r="AJ47" s="1984"/>
      <c r="AK47" s="2523"/>
      <c r="AL47" s="1802"/>
    </row>
    <row r="48" spans="1:38" s="2168" customFormat="1" ht="15" customHeight="1">
      <c r="A48" s="2439"/>
      <c r="B48" s="2459" t="s">
        <v>1146</v>
      </c>
      <c r="C48" s="2439"/>
      <c r="D48" s="2016">
        <f>'Exhibit G State'!D48</f>
        <v>0</v>
      </c>
      <c r="E48" s="2016"/>
      <c r="F48" s="2016">
        <f>'Exhibit G State'!F48</f>
        <v>0</v>
      </c>
      <c r="G48" s="2016"/>
      <c r="H48" s="2016">
        <f>'Exhibit G State'!H48</f>
        <v>0</v>
      </c>
      <c r="I48" s="2503"/>
      <c r="J48" s="2016">
        <f>'Exhibit G State'!J48</f>
        <v>0.7</v>
      </c>
      <c r="K48" s="2515"/>
      <c r="L48" s="2016">
        <f>'Exhibit G State'!L48</f>
        <v>1.5000000000000002</v>
      </c>
      <c r="M48" s="2515"/>
      <c r="N48" s="2016">
        <f>'Exhibit G State'!N48</f>
        <v>9.9999999999999645E-2</v>
      </c>
      <c r="O48" s="2515"/>
      <c r="P48" s="2016"/>
      <c r="Q48" s="2515"/>
      <c r="R48" s="2016"/>
      <c r="S48" s="2515"/>
      <c r="T48" s="2016"/>
      <c r="U48" s="2515"/>
      <c r="V48" s="2016"/>
      <c r="W48" s="2515"/>
      <c r="X48" s="1984"/>
      <c r="Y48" s="2515"/>
      <c r="Z48" s="2016"/>
      <c r="AA48" s="2016"/>
      <c r="AB48" s="1979">
        <v>0</v>
      </c>
      <c r="AC48" s="2023"/>
      <c r="AD48" s="1979">
        <f>ROUND(SUM(D48:Z48),1)</f>
        <v>2.2999999999999998</v>
      </c>
      <c r="AE48" s="1979"/>
      <c r="AF48" s="2023"/>
      <c r="AG48" s="2016">
        <f>'Exhibit G State'!AG48</f>
        <v>1.7</v>
      </c>
      <c r="AH48" s="3443"/>
      <c r="AI48" s="1961"/>
      <c r="AJ48" s="1984">
        <f>ROUND(SUM(+AD48-AG48),1)</f>
        <v>0.6</v>
      </c>
      <c r="AK48" s="2523"/>
      <c r="AL48" s="1708">
        <f>ROUND(IF(AG48=0,0,AJ48/ABS(AG48)),3)</f>
        <v>0.35299999999999998</v>
      </c>
    </row>
    <row r="49" spans="1:38" s="2168" customFormat="1" ht="15" customHeight="1">
      <c r="A49" s="2439"/>
      <c r="B49" s="2459" t="s">
        <v>969</v>
      </c>
      <c r="C49" s="2439"/>
      <c r="D49" s="2016">
        <f>'Exhibit G State'!D49+'Exhibit G Federal'!D26</f>
        <v>38.6</v>
      </c>
      <c r="E49" s="2016"/>
      <c r="F49" s="2016">
        <f>'Exhibit G State'!F49+'Exhibit G Federal'!F26</f>
        <v>26.699999999999996</v>
      </c>
      <c r="G49" s="2016"/>
      <c r="H49" s="2016">
        <f>'Exhibit G State'!H49+'Exhibit G Federal'!H26</f>
        <v>91.100000000000023</v>
      </c>
      <c r="I49" s="2503"/>
      <c r="J49" s="2016">
        <f>'Exhibit G State'!J49+'Exhibit G Federal'!J26</f>
        <v>38.599999999999994</v>
      </c>
      <c r="K49" s="2515"/>
      <c r="L49" s="2016">
        <f>'Exhibit G State'!L49+'Exhibit G Federal'!L26</f>
        <v>52.5</v>
      </c>
      <c r="M49" s="2515"/>
      <c r="N49" s="2016">
        <f>'Exhibit G State'!N49+'Exhibit G Federal'!N26</f>
        <v>95.6</v>
      </c>
      <c r="O49" s="2515"/>
      <c r="P49" s="2016"/>
      <c r="Q49" s="2515"/>
      <c r="R49" s="2016"/>
      <c r="S49" s="2515"/>
      <c r="T49" s="2016"/>
      <c r="U49" s="2515"/>
      <c r="V49" s="2016"/>
      <c r="W49" s="2515"/>
      <c r="X49" s="1984"/>
      <c r="Y49" s="2515"/>
      <c r="Z49" s="2016"/>
      <c r="AA49" s="2016"/>
      <c r="AB49" s="1979">
        <v>0</v>
      </c>
      <c r="AC49" s="2023"/>
      <c r="AD49" s="1979">
        <f t="shared" si="11"/>
        <v>343.1</v>
      </c>
      <c r="AE49" s="1979"/>
      <c r="AF49" s="2023"/>
      <c r="AG49" s="2016">
        <f>'Exhibit G State'!AG49+'Exhibit G Federal'!AG26</f>
        <v>377</v>
      </c>
      <c r="AH49" s="3443"/>
      <c r="AI49" s="1961"/>
      <c r="AJ49" s="1984">
        <f t="shared" ref="AJ49:AJ54" si="12">ROUND(SUM(+AD49-AG49),1)</f>
        <v>-33.9</v>
      </c>
      <c r="AK49" s="2523"/>
      <c r="AL49" s="1708">
        <f t="shared" ref="AL49:AL54" si="13">ROUND(IF(AG49=0,0,AJ49/ABS(AG49)),3)</f>
        <v>-0.09</v>
      </c>
    </row>
    <row r="50" spans="1:38" s="2168" customFormat="1" ht="15" customHeight="1">
      <c r="A50" s="2439"/>
      <c r="B50" s="2459" t="s">
        <v>970</v>
      </c>
      <c r="C50" s="2439"/>
      <c r="D50" s="2016">
        <f>'Exhibit G State'!D50+'Exhibit G Federal'!D27</f>
        <v>5.0999999999999996</v>
      </c>
      <c r="E50" s="2016"/>
      <c r="F50" s="2016">
        <f>'Exhibit G State'!F50+'Exhibit G Federal'!F27</f>
        <v>5.4</v>
      </c>
      <c r="G50" s="2016"/>
      <c r="H50" s="2016">
        <f>'Exhibit G State'!H50+'Exhibit G Federal'!H27</f>
        <v>5</v>
      </c>
      <c r="I50" s="2503"/>
      <c r="J50" s="2016">
        <f>'Exhibit G State'!J50+'Exhibit G Federal'!J27</f>
        <v>4</v>
      </c>
      <c r="K50" s="2515"/>
      <c r="L50" s="2016">
        <f>'Exhibit G State'!L50+'Exhibit G Federal'!L27</f>
        <v>6.4999999999999982</v>
      </c>
      <c r="M50" s="2515"/>
      <c r="N50" s="2016">
        <f>'Exhibit G State'!N50+'Exhibit G Federal'!N27</f>
        <v>5.7000000000000046</v>
      </c>
      <c r="O50" s="2515"/>
      <c r="P50" s="2016"/>
      <c r="Q50" s="2515"/>
      <c r="R50" s="2016"/>
      <c r="S50" s="2515"/>
      <c r="T50" s="2016"/>
      <c r="U50" s="2515"/>
      <c r="V50" s="2016"/>
      <c r="W50" s="2515"/>
      <c r="X50" s="1984"/>
      <c r="Y50" s="2515"/>
      <c r="Z50" s="2016"/>
      <c r="AA50" s="2016"/>
      <c r="AB50" s="1979">
        <v>0</v>
      </c>
      <c r="AC50" s="2023"/>
      <c r="AD50" s="1979">
        <f t="shared" si="11"/>
        <v>31.7</v>
      </c>
      <c r="AE50" s="1979"/>
      <c r="AF50" s="2023"/>
      <c r="AG50" s="2016">
        <f>'Exhibit G State'!AG50+'Exhibit G Federal'!AG27</f>
        <v>20.399999999999999</v>
      </c>
      <c r="AH50" s="3443"/>
      <c r="AI50" s="1961"/>
      <c r="AJ50" s="1984">
        <f t="shared" si="12"/>
        <v>11.3</v>
      </c>
      <c r="AK50" s="2523"/>
      <c r="AL50" s="1708">
        <f t="shared" si="13"/>
        <v>0.55400000000000005</v>
      </c>
    </row>
    <row r="51" spans="1:38" s="2168" customFormat="1" ht="15" customHeight="1">
      <c r="A51" s="2439"/>
      <c r="B51" s="2459" t="s">
        <v>971</v>
      </c>
      <c r="C51" s="2439"/>
      <c r="D51" s="2016">
        <f>'Exhibit G State'!D51+'Exhibit G Federal'!D28</f>
        <v>0.9</v>
      </c>
      <c r="E51" s="2016"/>
      <c r="F51" s="2016">
        <f>'Exhibit G State'!F51+'Exhibit G Federal'!F28</f>
        <v>0.20000000000000007</v>
      </c>
      <c r="G51" s="2016"/>
      <c r="H51" s="2016">
        <f>'Exhibit G State'!H51+'Exhibit G Federal'!H28</f>
        <v>0.79999999999999982</v>
      </c>
      <c r="I51" s="2503"/>
      <c r="J51" s="2016">
        <f>'Exhibit G State'!J51+'Exhibit G Federal'!J28</f>
        <v>0.20000000000000018</v>
      </c>
      <c r="K51" s="2515"/>
      <c r="L51" s="2016">
        <f>'Exhibit G State'!L51+'Exhibit G Federal'!L28</f>
        <v>0.39999999999999991</v>
      </c>
      <c r="M51" s="2515"/>
      <c r="N51" s="2016">
        <f>'Exhibit G State'!N51+'Exhibit G Federal'!N28</f>
        <v>0.10000000000000009</v>
      </c>
      <c r="O51" s="2515"/>
      <c r="P51" s="2016"/>
      <c r="Q51" s="2515"/>
      <c r="R51" s="2016"/>
      <c r="S51" s="2515"/>
      <c r="T51" s="2016"/>
      <c r="U51" s="2515"/>
      <c r="V51" s="2016"/>
      <c r="W51" s="2515"/>
      <c r="X51" s="1984"/>
      <c r="Y51" s="2515"/>
      <c r="Z51" s="2016"/>
      <c r="AA51" s="2016"/>
      <c r="AB51" s="1979">
        <v>0</v>
      </c>
      <c r="AC51" s="2023"/>
      <c r="AD51" s="1979">
        <f>ROUND(SUM(D51:Z51),1)</f>
        <v>2.6</v>
      </c>
      <c r="AE51" s="1979"/>
      <c r="AF51" s="2023"/>
      <c r="AG51" s="2016">
        <f>'Exhibit G State'!AG51+'Exhibit G Federal'!AG28</f>
        <v>2.4</v>
      </c>
      <c r="AH51" s="3443"/>
      <c r="AI51" s="1961"/>
      <c r="AJ51" s="1984">
        <f t="shared" si="12"/>
        <v>0.2</v>
      </c>
      <c r="AK51" s="2523"/>
      <c r="AL51" s="1708">
        <f>ROUND(IF(AG51=0,1,AJ51/ABS(AG51)),3)</f>
        <v>8.3000000000000004E-2</v>
      </c>
    </row>
    <row r="52" spans="1:38" s="2168" customFormat="1" ht="15" customHeight="1">
      <c r="A52" s="2439"/>
      <c r="B52" s="2459" t="s">
        <v>972</v>
      </c>
      <c r="C52" s="2439"/>
      <c r="D52" s="2016">
        <f>'Exhibit G State'!D52+'Exhibit G Federal'!D29</f>
        <v>29.6</v>
      </c>
      <c r="E52" s="2016"/>
      <c r="F52" s="2016">
        <f>'Exhibit G State'!F52+'Exhibit G Federal'!F29</f>
        <v>27.799999999999997</v>
      </c>
      <c r="G52" s="2016"/>
      <c r="H52" s="2016">
        <f>'Exhibit G State'!H52+'Exhibit G Federal'!H29</f>
        <v>24.300000000000004</v>
      </c>
      <c r="I52" s="2503"/>
      <c r="J52" s="2016">
        <f>'Exhibit G State'!J52+'Exhibit G Federal'!J29</f>
        <v>16.899999999999999</v>
      </c>
      <c r="K52" s="2515"/>
      <c r="L52" s="2016">
        <f>'Exhibit G State'!L52+'Exhibit G Federal'!L29</f>
        <v>29.599999999999994</v>
      </c>
      <c r="M52" s="2515"/>
      <c r="N52" s="2016">
        <f>'Exhibit G State'!N52+'Exhibit G Federal'!N29</f>
        <v>41.900000000000006</v>
      </c>
      <c r="O52" s="2515"/>
      <c r="P52" s="2016"/>
      <c r="Q52" s="2515"/>
      <c r="R52" s="2016"/>
      <c r="S52" s="2515"/>
      <c r="T52" s="2016"/>
      <c r="U52" s="2515"/>
      <c r="V52" s="2016"/>
      <c r="W52" s="2515"/>
      <c r="X52" s="1984"/>
      <c r="Y52" s="2515"/>
      <c r="Z52" s="2016"/>
      <c r="AA52" s="2016"/>
      <c r="AB52" s="1979">
        <v>0</v>
      </c>
      <c r="AC52" s="2023"/>
      <c r="AD52" s="1979">
        <f t="shared" si="11"/>
        <v>170.1</v>
      </c>
      <c r="AE52" s="1979"/>
      <c r="AF52" s="2023"/>
      <c r="AG52" s="2016">
        <f>'Exhibit G State'!AG52+'Exhibit G Federal'!AG29</f>
        <v>137.1</v>
      </c>
      <c r="AH52" s="3443"/>
      <c r="AI52" s="1961"/>
      <c r="AJ52" s="1984">
        <f t="shared" si="12"/>
        <v>33</v>
      </c>
      <c r="AK52" s="2523"/>
      <c r="AL52" s="1708">
        <f t="shared" si="13"/>
        <v>0.24099999999999999</v>
      </c>
    </row>
    <row r="53" spans="1:38" s="2168" customFormat="1" ht="15" customHeight="1">
      <c r="A53" s="2439"/>
      <c r="B53" s="2459" t="s">
        <v>973</v>
      </c>
      <c r="C53" s="2439"/>
      <c r="D53" s="2016">
        <f>'Exhibit G State'!D53+'Exhibit G Federal'!D30</f>
        <v>65.7</v>
      </c>
      <c r="E53" s="2016"/>
      <c r="F53" s="2016">
        <f>'Exhibit G State'!F53+'Exhibit G Federal'!F30</f>
        <v>49.599999999999994</v>
      </c>
      <c r="G53" s="2016"/>
      <c r="H53" s="2016">
        <f>'Exhibit G State'!H53+'Exhibit G Federal'!H30</f>
        <v>83.000000000000028</v>
      </c>
      <c r="I53" s="2503"/>
      <c r="J53" s="2016">
        <f>'Exhibit G State'!J53+'Exhibit G Federal'!J30</f>
        <v>56.5</v>
      </c>
      <c r="K53" s="2515"/>
      <c r="L53" s="2016">
        <f>'Exhibit G State'!L53+'Exhibit G Federal'!L30</f>
        <v>89.899999999999977</v>
      </c>
      <c r="M53" s="2515"/>
      <c r="N53" s="2016">
        <f>'Exhibit G State'!N53+'Exhibit G Federal'!N30</f>
        <v>143.10000000000002</v>
      </c>
      <c r="O53" s="2515"/>
      <c r="P53" s="2016"/>
      <c r="Q53" s="2515"/>
      <c r="R53" s="2016"/>
      <c r="S53" s="2515"/>
      <c r="T53" s="2016"/>
      <c r="U53" s="2515"/>
      <c r="V53" s="2016"/>
      <c r="W53" s="2515"/>
      <c r="X53" s="1984"/>
      <c r="Y53" s="2515"/>
      <c r="Z53" s="2016"/>
      <c r="AA53" s="2016"/>
      <c r="AB53" s="1979">
        <v>0</v>
      </c>
      <c r="AC53" s="2023"/>
      <c r="AD53" s="1984">
        <f t="shared" si="11"/>
        <v>487.8</v>
      </c>
      <c r="AE53" s="1979"/>
      <c r="AF53" s="2023"/>
      <c r="AG53" s="2016">
        <f>'Exhibit G State'!AG53+'Exhibit G Federal'!AG30</f>
        <v>289.39999999999998</v>
      </c>
      <c r="AH53" s="3443"/>
      <c r="AI53" s="1961"/>
      <c r="AJ53" s="1984">
        <f t="shared" si="12"/>
        <v>198.4</v>
      </c>
      <c r="AK53" s="2523"/>
      <c r="AL53" s="1708">
        <f t="shared" si="13"/>
        <v>0.68600000000000005</v>
      </c>
    </row>
    <row r="54" spans="1:38" s="2168" customFormat="1" ht="15" customHeight="1">
      <c r="A54" s="2439"/>
      <c r="B54" s="2459" t="s">
        <v>931</v>
      </c>
      <c r="C54" s="2439"/>
      <c r="D54" s="2016">
        <f>'Exhibit G State'!D54+'Exhibit G Federal'!D31</f>
        <v>6.5</v>
      </c>
      <c r="E54" s="2016"/>
      <c r="F54" s="2016">
        <f>'Exhibit G State'!F54+'Exhibit G Federal'!F31</f>
        <v>9.1000000000000014</v>
      </c>
      <c r="G54" s="2016"/>
      <c r="H54" s="2016">
        <f>'Exhibit G State'!H54+'Exhibit G Federal'!H31</f>
        <v>12.200000000000001</v>
      </c>
      <c r="I54" s="2503"/>
      <c r="J54" s="2016">
        <f>'Exhibit G State'!J54+'Exhibit G Federal'!J31</f>
        <v>6.0999999999999952</v>
      </c>
      <c r="K54" s="2515"/>
      <c r="L54" s="2016">
        <f>'Exhibit G State'!L54+'Exhibit G Federal'!L31</f>
        <v>11.300000000000002</v>
      </c>
      <c r="M54" s="2515"/>
      <c r="N54" s="2016">
        <f>'Exhibit G State'!N54+'Exhibit G Federal'!N31</f>
        <v>6.3999999999999986</v>
      </c>
      <c r="O54" s="2515"/>
      <c r="P54" s="2016"/>
      <c r="Q54" s="2515"/>
      <c r="R54" s="2016"/>
      <c r="S54" s="2515"/>
      <c r="T54" s="2016"/>
      <c r="U54" s="2515"/>
      <c r="V54" s="2016"/>
      <c r="W54" s="2515"/>
      <c r="X54" s="1984"/>
      <c r="Y54" s="2515"/>
      <c r="Z54" s="2016"/>
      <c r="AA54" s="2016"/>
      <c r="AB54" s="1979">
        <v>0</v>
      </c>
      <c r="AC54" s="2023"/>
      <c r="AD54" s="1984">
        <f>ROUND(SUM(D54:Z54),1)</f>
        <v>51.6</v>
      </c>
      <c r="AE54" s="1979"/>
      <c r="AF54" s="2023"/>
      <c r="AG54" s="2016">
        <f>'Exhibit G State'!AG54+'Exhibit G Federal'!AG31</f>
        <v>37.700000000000003</v>
      </c>
      <c r="AH54" s="3443"/>
      <c r="AI54" s="1961"/>
      <c r="AJ54" s="1984">
        <f t="shared" si="12"/>
        <v>13.9</v>
      </c>
      <c r="AK54" s="2523"/>
      <c r="AL54" s="1713">
        <f t="shared" si="13"/>
        <v>0.36899999999999999</v>
      </c>
    </row>
    <row r="55" spans="1:38" s="2168" customFormat="1" ht="15" customHeight="1">
      <c r="A55" s="2439"/>
      <c r="B55" s="2459" t="s">
        <v>1052</v>
      </c>
      <c r="C55" s="2439"/>
      <c r="D55" s="2016"/>
      <c r="E55" s="2503"/>
      <c r="F55" s="2016"/>
      <c r="G55" s="2503"/>
      <c r="H55" s="2016"/>
      <c r="I55" s="2503"/>
      <c r="J55" s="2016"/>
      <c r="K55" s="2515"/>
      <c r="L55" s="2016"/>
      <c r="M55" s="2515"/>
      <c r="N55" s="2016"/>
      <c r="O55" s="2515"/>
      <c r="P55" s="2016"/>
      <c r="Q55" s="2515"/>
      <c r="R55" s="2016"/>
      <c r="S55" s="2515"/>
      <c r="T55" s="2016"/>
      <c r="U55" s="2515"/>
      <c r="V55" s="2016"/>
      <c r="W55" s="2515"/>
      <c r="X55" s="1984"/>
      <c r="Y55" s="2515"/>
      <c r="Z55" s="2016"/>
      <c r="AA55" s="2016"/>
      <c r="AB55" s="1979"/>
      <c r="AC55" s="2023"/>
      <c r="AD55" s="1984"/>
      <c r="AE55" s="1979"/>
      <c r="AF55" s="2023"/>
      <c r="AG55" s="2016"/>
      <c r="AH55" s="3443"/>
      <c r="AI55" s="1961"/>
      <c r="AJ55" s="1984"/>
      <c r="AK55" s="2523"/>
      <c r="AL55" s="1802"/>
    </row>
    <row r="56" spans="1:38" s="2168" customFormat="1" ht="15" customHeight="1">
      <c r="A56" s="2439"/>
      <c r="B56" s="2459" t="s">
        <v>974</v>
      </c>
      <c r="C56" s="2439"/>
      <c r="D56" s="2016">
        <f>'Exhibit G State'!D56</f>
        <v>34.200000000000003</v>
      </c>
      <c r="E56" s="2016"/>
      <c r="F56" s="2016">
        <f>'Exhibit G State'!F56</f>
        <v>14.199999999999996</v>
      </c>
      <c r="G56" s="2016"/>
      <c r="H56" s="2016">
        <f>'Exhibit G State'!H56</f>
        <v>17.100000000000001</v>
      </c>
      <c r="I56" s="2503"/>
      <c r="J56" s="2016">
        <f>'Exhibit G State'!J56</f>
        <v>35.700000000000003</v>
      </c>
      <c r="K56" s="2515"/>
      <c r="L56" s="2016">
        <f>'Exhibit G State'!L56</f>
        <v>15.199999999999996</v>
      </c>
      <c r="M56" s="2515"/>
      <c r="N56" s="2016">
        <f>'Exhibit G State'!N56</f>
        <v>19.29999999999999</v>
      </c>
      <c r="O56" s="2515"/>
      <c r="P56" s="2016"/>
      <c r="Q56" s="2515"/>
      <c r="R56" s="2016"/>
      <c r="S56" s="2515"/>
      <c r="T56" s="2016"/>
      <c r="U56" s="2515"/>
      <c r="V56" s="2016"/>
      <c r="W56" s="2515"/>
      <c r="X56" s="1984"/>
      <c r="Y56" s="2515"/>
      <c r="Z56" s="2016"/>
      <c r="AA56" s="2016"/>
      <c r="AB56" s="1979">
        <v>0</v>
      </c>
      <c r="AC56" s="2023"/>
      <c r="AD56" s="1984">
        <f t="shared" si="11"/>
        <v>135.69999999999999</v>
      </c>
      <c r="AE56" s="1979"/>
      <c r="AF56" s="2023"/>
      <c r="AG56" s="2016">
        <f>'Exhibit G State'!AG56</f>
        <v>28.8</v>
      </c>
      <c r="AH56" s="3443"/>
      <c r="AI56" s="1961"/>
      <c r="AJ56" s="1984">
        <f>ROUND(SUM(+AD56-AG56),1)</f>
        <v>106.9</v>
      </c>
      <c r="AK56" s="2523"/>
      <c r="AL56" s="1713">
        <f>ROUND(IF(AG56=0,1,AJ56/ABS(AG56)),3)</f>
        <v>3.7120000000000002</v>
      </c>
    </row>
    <row r="57" spans="1:38" s="2168" customFormat="1" ht="15" customHeight="1">
      <c r="A57" s="2439"/>
      <c r="B57" s="2459" t="s">
        <v>975</v>
      </c>
      <c r="C57" s="2439"/>
      <c r="D57" s="2016">
        <f>'Exhibit G State'!D57</f>
        <v>199.5</v>
      </c>
      <c r="E57" s="2016"/>
      <c r="F57" s="2016">
        <f>'Exhibit G State'!F57</f>
        <v>213.5</v>
      </c>
      <c r="G57" s="2016"/>
      <c r="H57" s="2016">
        <f>'Exhibit G State'!H57</f>
        <v>238.89999999999998</v>
      </c>
      <c r="I57" s="2503"/>
      <c r="J57" s="2016">
        <f>'Exhibit G State'!J57</f>
        <v>181.89999999999998</v>
      </c>
      <c r="K57" s="2515"/>
      <c r="L57" s="2016">
        <f>'Exhibit G State'!L57</f>
        <v>186.80000000000007</v>
      </c>
      <c r="M57" s="2515"/>
      <c r="N57" s="2016">
        <f>'Exhibit G State'!N57</f>
        <v>240.89999999999998</v>
      </c>
      <c r="O57" s="2515"/>
      <c r="P57" s="2016"/>
      <c r="Q57" s="2515"/>
      <c r="R57" s="2016"/>
      <c r="S57" s="2515"/>
      <c r="T57" s="2016"/>
      <c r="U57" s="2515"/>
      <c r="V57" s="2016"/>
      <c r="W57" s="2515"/>
      <c r="X57" s="1984"/>
      <c r="Y57" s="2515"/>
      <c r="Z57" s="2016"/>
      <c r="AA57" s="2016"/>
      <c r="AB57" s="1979">
        <v>0</v>
      </c>
      <c r="AC57" s="2023"/>
      <c r="AD57" s="1984">
        <f t="shared" si="11"/>
        <v>1261.5</v>
      </c>
      <c r="AE57" s="1979"/>
      <c r="AF57" s="2023"/>
      <c r="AG57" s="2016">
        <f>'Exhibit G State'!AG57</f>
        <v>1070.3</v>
      </c>
      <c r="AH57" s="3443"/>
      <c r="AI57" s="1961"/>
      <c r="AJ57" s="1984">
        <f>ROUND(SUM(+AD57-AG57),1)</f>
        <v>191.2</v>
      </c>
      <c r="AK57" s="2523"/>
      <c r="AL57" s="1708">
        <f>ROUND(IF(AG57=0,0,AJ57/ABS(AG57)),3)</f>
        <v>0.17899999999999999</v>
      </c>
    </row>
    <row r="58" spans="1:38" s="2168" customFormat="1" ht="15" customHeight="1">
      <c r="A58" s="2439"/>
      <c r="B58" s="2459" t="s">
        <v>976</v>
      </c>
      <c r="C58" s="2439"/>
      <c r="D58" s="2016">
        <f>'Exhibit G State'!D58</f>
        <v>75.900000000000006</v>
      </c>
      <c r="E58" s="2016"/>
      <c r="F58" s="2016">
        <f>'Exhibit G State'!F58</f>
        <v>77.899999999999977</v>
      </c>
      <c r="G58" s="2016"/>
      <c r="H58" s="2016">
        <f>'Exhibit G State'!H58</f>
        <v>101.9</v>
      </c>
      <c r="I58" s="2503"/>
      <c r="J58" s="2016">
        <f>'Exhibit G State'!J58</f>
        <v>82.400000000000063</v>
      </c>
      <c r="K58" s="2515"/>
      <c r="L58" s="2016">
        <f>'Exhibit G State'!L58</f>
        <v>81.5</v>
      </c>
      <c r="M58" s="2515"/>
      <c r="N58" s="2016">
        <f>'Exhibit G State'!N58</f>
        <v>99.200000000000074</v>
      </c>
      <c r="O58" s="2515"/>
      <c r="P58" s="2016"/>
      <c r="Q58" s="2515"/>
      <c r="R58" s="2016"/>
      <c r="S58" s="2515"/>
      <c r="T58" s="2016"/>
      <c r="U58" s="2515"/>
      <c r="V58" s="2016"/>
      <c r="W58" s="2515"/>
      <c r="X58" s="1984"/>
      <c r="Y58" s="2515"/>
      <c r="Z58" s="2016"/>
      <c r="AA58" s="2016"/>
      <c r="AB58" s="1979">
        <v>0</v>
      </c>
      <c r="AC58" s="2023"/>
      <c r="AD58" s="1984">
        <f t="shared" si="11"/>
        <v>518.79999999999995</v>
      </c>
      <c r="AE58" s="1979"/>
      <c r="AF58" s="2023"/>
      <c r="AG58" s="2016">
        <f>'Exhibit G State'!AG58</f>
        <v>34</v>
      </c>
      <c r="AH58" s="3443"/>
      <c r="AI58" s="1961"/>
      <c r="AJ58" s="1984">
        <f>ROUND(SUM(+AD58-AG58),1)</f>
        <v>484.8</v>
      </c>
      <c r="AK58" s="2523"/>
      <c r="AL58" s="1713">
        <f>ROUND(IF(AG58=0,1,AJ58/ABS(AG58)),3)</f>
        <v>14.259</v>
      </c>
    </row>
    <row r="59" spans="1:38" s="2168" customFormat="1" ht="15" customHeight="1">
      <c r="A59" s="2439"/>
      <c r="B59" s="2459" t="s">
        <v>932</v>
      </c>
      <c r="C59" s="2439"/>
      <c r="D59" s="2016">
        <f>'Exhibit G State'!D59+'Exhibit G Federal'!D32</f>
        <v>4.0999999999999996</v>
      </c>
      <c r="E59" s="2016"/>
      <c r="F59" s="2016">
        <f>'Exhibit G State'!F59+'Exhibit G Federal'!F32</f>
        <v>3.7</v>
      </c>
      <c r="G59" s="2016"/>
      <c r="H59" s="2016">
        <f>'Exhibit G State'!H59+'Exhibit G Federal'!H32</f>
        <v>3.8000000000000007</v>
      </c>
      <c r="I59" s="2503"/>
      <c r="J59" s="2016">
        <f>'Exhibit G State'!J59+'Exhibit G Federal'!J32</f>
        <v>3.9999999999999991</v>
      </c>
      <c r="K59" s="2515"/>
      <c r="L59" s="2016">
        <f>'Exhibit G State'!L59+'Exhibit G Federal'!L32</f>
        <v>4.0999999999999996</v>
      </c>
      <c r="M59" s="2515"/>
      <c r="N59" s="2016">
        <f>'Exhibit G State'!N59+'Exhibit G Federal'!N32</f>
        <v>3.5999999999999996</v>
      </c>
      <c r="O59" s="2515"/>
      <c r="P59" s="2016"/>
      <c r="Q59" s="2515"/>
      <c r="R59" s="2016"/>
      <c r="S59" s="2515"/>
      <c r="T59" s="2016"/>
      <c r="U59" s="2515"/>
      <c r="V59" s="2016"/>
      <c r="W59" s="2515"/>
      <c r="X59" s="1984"/>
      <c r="Y59" s="2515"/>
      <c r="Z59" s="2016"/>
      <c r="AA59" s="2016"/>
      <c r="AB59" s="1979">
        <v>0</v>
      </c>
      <c r="AC59" s="2023"/>
      <c r="AD59" s="1984">
        <f>ROUND(SUM(D59:Z59),1)</f>
        <v>23.3</v>
      </c>
      <c r="AE59" s="1979"/>
      <c r="AF59" s="2023"/>
      <c r="AG59" s="2016">
        <f>'Exhibit G State'!AG59+'Exhibit G Federal'!AG32</f>
        <v>49.400000000000006</v>
      </c>
      <c r="AH59" s="3443"/>
      <c r="AI59" s="1961"/>
      <c r="AJ59" s="1984">
        <f>ROUND(SUM(+AD59-AG59),1)</f>
        <v>-26.1</v>
      </c>
      <c r="AK59" s="2523"/>
      <c r="AL59" s="1708">
        <f>ROUND(IF(AG59=0,0,AJ59/ABS(AG59)),3)</f>
        <v>-0.52800000000000002</v>
      </c>
    </row>
    <row r="60" spans="1:38" s="2168" customFormat="1" ht="15" customHeight="1">
      <c r="A60" s="2439"/>
      <c r="B60" s="2459" t="s">
        <v>950</v>
      </c>
      <c r="C60" s="2439"/>
      <c r="D60" s="2016">
        <f>'Exhibit G State'!D60+'Exhibit G Federal'!D33</f>
        <v>6.7</v>
      </c>
      <c r="E60" s="2016"/>
      <c r="F60" s="2016">
        <f>'Exhibit G State'!F60+'Exhibit G Federal'!F33</f>
        <v>1.8999999999999995</v>
      </c>
      <c r="G60" s="2016"/>
      <c r="H60" s="2016">
        <f>'Exhibit G State'!H60+'Exhibit G Federal'!H33</f>
        <v>4.9000000000000004</v>
      </c>
      <c r="I60" s="2503"/>
      <c r="J60" s="2016">
        <f>'Exhibit G State'!J60+'Exhibit G Federal'!J33</f>
        <v>3.2000000000000011</v>
      </c>
      <c r="K60" s="2515"/>
      <c r="L60" s="2016">
        <f>'Exhibit G State'!L60+'Exhibit G Federal'!L33</f>
        <v>1.4000000000000021</v>
      </c>
      <c r="M60" s="2515"/>
      <c r="N60" s="2016">
        <f>'Exhibit G State'!N60+'Exhibit G Federal'!N33</f>
        <v>5.0999999999999979</v>
      </c>
      <c r="O60" s="2515"/>
      <c r="P60" s="2016"/>
      <c r="Q60" s="2515"/>
      <c r="R60" s="2016"/>
      <c r="S60" s="2515"/>
      <c r="T60" s="2016"/>
      <c r="U60" s="2515"/>
      <c r="V60" s="2016"/>
      <c r="W60" s="2515"/>
      <c r="X60" s="1984"/>
      <c r="Y60" s="2515"/>
      <c r="Z60" s="2016"/>
      <c r="AA60" s="2016"/>
      <c r="AB60" s="1979">
        <v>0</v>
      </c>
      <c r="AC60" s="2023"/>
      <c r="AD60" s="1984">
        <f>ROUND(SUM(D60:Z60),1)</f>
        <v>23.2</v>
      </c>
      <c r="AE60" s="1979"/>
      <c r="AF60" s="2023"/>
      <c r="AG60" s="2016">
        <f>'Exhibit G State'!AG60+'Exhibit G Federal'!AG33</f>
        <v>25.2</v>
      </c>
      <c r="AH60" s="3443"/>
      <c r="AI60" s="1961"/>
      <c r="AJ60" s="1984">
        <f>ROUND(SUM(+AD60-AG60),1)</f>
        <v>-2</v>
      </c>
      <c r="AK60" s="2523"/>
      <c r="AL60" s="1708">
        <f>ROUND(IF(AG60=0,0,AJ60/ABS(AG60)),3)</f>
        <v>-7.9000000000000001E-2</v>
      </c>
    </row>
    <row r="61" spans="1:38" s="2168" customFormat="1" ht="15" customHeight="1">
      <c r="A61" s="2439"/>
      <c r="B61" s="2459" t="s">
        <v>1053</v>
      </c>
      <c r="C61" s="2439"/>
      <c r="D61" s="2016"/>
      <c r="E61" s="2503"/>
      <c r="F61" s="2016"/>
      <c r="G61" s="2503"/>
      <c r="H61" s="2016"/>
      <c r="I61" s="2503"/>
      <c r="J61" s="2016"/>
      <c r="K61" s="2515"/>
      <c r="L61" s="2016"/>
      <c r="M61" s="2515"/>
      <c r="N61" s="2016"/>
      <c r="O61" s="2515"/>
      <c r="P61" s="2016"/>
      <c r="Q61" s="2515"/>
      <c r="R61" s="2016"/>
      <c r="S61" s="2515"/>
      <c r="T61" s="2016"/>
      <c r="U61" s="2515"/>
      <c r="V61" s="2016"/>
      <c r="W61" s="2515"/>
      <c r="X61" s="1984"/>
      <c r="Y61" s="2515"/>
      <c r="Z61" s="2016"/>
      <c r="AA61" s="2016"/>
      <c r="AB61" s="1979"/>
      <c r="AC61" s="2023"/>
      <c r="AD61" s="1984"/>
      <c r="AE61" s="1979"/>
      <c r="AF61" s="2023"/>
      <c r="AG61" s="2016"/>
      <c r="AH61" s="3443"/>
      <c r="AI61" s="1961"/>
      <c r="AJ61" s="1984"/>
      <c r="AK61" s="2523"/>
      <c r="AL61" s="1802"/>
    </row>
    <row r="62" spans="1:38" s="2168" customFormat="1" ht="15" customHeight="1">
      <c r="A62" s="2439"/>
      <c r="B62" s="2459" t="s">
        <v>977</v>
      </c>
      <c r="C62" s="2439"/>
      <c r="D62" s="2016">
        <f>'Exhibit G State'!D62+'Exhibit G Federal'!D35</f>
        <v>0</v>
      </c>
      <c r="E62" s="2016"/>
      <c r="F62" s="2016">
        <f>'Exhibit G State'!F62+'Exhibit G Federal'!F35</f>
        <v>0</v>
      </c>
      <c r="G62" s="2016"/>
      <c r="H62" s="2016">
        <f>'Exhibit G State'!H62+'Exhibit G Federal'!H35</f>
        <v>0</v>
      </c>
      <c r="I62" s="2503"/>
      <c r="J62" s="2016">
        <f>'Exhibit G State'!J62+'Exhibit G Federal'!J35</f>
        <v>0</v>
      </c>
      <c r="K62" s="2515"/>
      <c r="L62" s="2016">
        <f>'Exhibit G State'!L62+'Exhibit G Federal'!L35</f>
        <v>0</v>
      </c>
      <c r="M62" s="2515"/>
      <c r="N62" s="2016">
        <f>'Exhibit G State'!N62+'Exhibit G Federal'!N35</f>
        <v>0</v>
      </c>
      <c r="O62" s="2515"/>
      <c r="P62" s="2016"/>
      <c r="Q62" s="2515"/>
      <c r="R62" s="2016"/>
      <c r="S62" s="2515"/>
      <c r="T62" s="2016"/>
      <c r="U62" s="2515"/>
      <c r="V62" s="2016"/>
      <c r="W62" s="2515"/>
      <c r="X62" s="1984"/>
      <c r="Y62" s="2515"/>
      <c r="Z62" s="2016"/>
      <c r="AA62" s="2016"/>
      <c r="AB62" s="1979">
        <v>0</v>
      </c>
      <c r="AC62" s="2023"/>
      <c r="AD62" s="1984">
        <f t="shared" si="11"/>
        <v>0</v>
      </c>
      <c r="AE62" s="1979"/>
      <c r="AF62" s="2023"/>
      <c r="AG62" s="2016">
        <f>'Exhibit G State'!AG62+'Exhibit G Federal'!AG35</f>
        <v>0</v>
      </c>
      <c r="AH62" s="3443"/>
      <c r="AI62" s="1961"/>
      <c r="AJ62" s="1984">
        <f t="shared" ref="AJ62:AJ66" si="14">ROUND(SUM(+AD62-AG62),1)</f>
        <v>0</v>
      </c>
      <c r="AK62" s="2523"/>
      <c r="AL62" s="1708">
        <f>ROUND(IF(AG62=0,0,AJ62/ABS(AG62)),3)</f>
        <v>0</v>
      </c>
    </row>
    <row r="63" spans="1:38" s="2168" customFormat="1" ht="15" customHeight="1">
      <c r="A63" s="2439"/>
      <c r="B63" s="2459" t="s">
        <v>978</v>
      </c>
      <c r="C63" s="2439"/>
      <c r="D63" s="2016">
        <f>'Exhibit G State'!D63+'Exhibit G Federal'!D36</f>
        <v>0</v>
      </c>
      <c r="E63" s="2016"/>
      <c r="F63" s="2016">
        <f>'Exhibit G State'!F63+'Exhibit G Federal'!F36</f>
        <v>0</v>
      </c>
      <c r="G63" s="2016"/>
      <c r="H63" s="2016">
        <f>'Exhibit G State'!H63+'Exhibit G Federal'!H36</f>
        <v>0</v>
      </c>
      <c r="I63" s="2503"/>
      <c r="J63" s="2016">
        <f>'Exhibit G State'!J63+'Exhibit G Federal'!J36</f>
        <v>5.9</v>
      </c>
      <c r="K63" s="2515"/>
      <c r="L63" s="2016">
        <f>'Exhibit G State'!L63+'Exhibit G Federal'!L36</f>
        <v>0</v>
      </c>
      <c r="M63" s="2515"/>
      <c r="N63" s="2016">
        <f>'Exhibit G State'!N63+'Exhibit G Federal'!N36</f>
        <v>0</v>
      </c>
      <c r="O63" s="2515"/>
      <c r="P63" s="2016"/>
      <c r="Q63" s="2515"/>
      <c r="R63" s="2016"/>
      <c r="S63" s="2515"/>
      <c r="T63" s="2016"/>
      <c r="U63" s="2515"/>
      <c r="V63" s="2016"/>
      <c r="W63" s="2515"/>
      <c r="X63" s="1984"/>
      <c r="Y63" s="2515"/>
      <c r="Z63" s="2016"/>
      <c r="AA63" s="2016"/>
      <c r="AB63" s="1979">
        <v>0</v>
      </c>
      <c r="AC63" s="2023"/>
      <c r="AD63" s="1984">
        <f t="shared" si="11"/>
        <v>5.9</v>
      </c>
      <c r="AE63" s="1979"/>
      <c r="AF63" s="2023"/>
      <c r="AG63" s="2016">
        <f>'Exhibit G State'!AG63+'Exhibit G Federal'!AG36</f>
        <v>0</v>
      </c>
      <c r="AH63" s="3443"/>
      <c r="AI63" s="1961"/>
      <c r="AJ63" s="1984">
        <f t="shared" si="14"/>
        <v>5.9</v>
      </c>
      <c r="AK63" s="2523"/>
      <c r="AL63" s="1708">
        <f>ROUND(IF(AG63=0,1,AJ63/ABS(AG63)),3)</f>
        <v>1</v>
      </c>
    </row>
    <row r="64" spans="1:38" s="2168" customFormat="1" ht="15" customHeight="1">
      <c r="A64" s="2439"/>
      <c r="B64" s="2459" t="s">
        <v>979</v>
      </c>
      <c r="C64" s="2439"/>
      <c r="D64" s="2016">
        <f>'Exhibit G State'!D64+'Exhibit G Federal'!D37</f>
        <v>2.7</v>
      </c>
      <c r="E64" s="2016"/>
      <c r="F64" s="2016">
        <f>'Exhibit G State'!F64+'Exhibit G Federal'!F37</f>
        <v>2.2999999999999998</v>
      </c>
      <c r="G64" s="2016"/>
      <c r="H64" s="2016">
        <f>'Exhibit G State'!H64+'Exhibit G Federal'!H37</f>
        <v>1.7000000000000002</v>
      </c>
      <c r="I64" s="2503"/>
      <c r="J64" s="2016">
        <f>'Exhibit G State'!J64+'Exhibit G Federal'!J37</f>
        <v>0.5</v>
      </c>
      <c r="K64" s="2515"/>
      <c r="L64" s="2016">
        <f>'Exhibit G State'!L64+'Exhibit G Federal'!L37</f>
        <v>0</v>
      </c>
      <c r="M64" s="2515"/>
      <c r="N64" s="2016">
        <f>'Exhibit G State'!N64+'Exhibit G Federal'!N37</f>
        <v>0</v>
      </c>
      <c r="O64" s="2515"/>
      <c r="P64" s="2016"/>
      <c r="Q64" s="2515"/>
      <c r="R64" s="2016"/>
      <c r="S64" s="2515"/>
      <c r="T64" s="2016"/>
      <c r="U64" s="2515"/>
      <c r="V64" s="2016"/>
      <c r="W64" s="2515"/>
      <c r="X64" s="1984"/>
      <c r="Y64" s="2515"/>
      <c r="Z64" s="2016"/>
      <c r="AA64" s="2016"/>
      <c r="AB64" s="1979">
        <v>0</v>
      </c>
      <c r="AC64" s="2023"/>
      <c r="AD64" s="1984">
        <f t="shared" si="11"/>
        <v>7.2</v>
      </c>
      <c r="AE64" s="1979"/>
      <c r="AF64" s="2023"/>
      <c r="AG64" s="2016">
        <f>'Exhibit G State'!AG64+'Exhibit G Federal'!AG37</f>
        <v>7.2</v>
      </c>
      <c r="AH64" s="3443"/>
      <c r="AI64" s="1961"/>
      <c r="AJ64" s="1984">
        <f t="shared" si="14"/>
        <v>0</v>
      </c>
      <c r="AK64" s="2523"/>
      <c r="AL64" s="1713">
        <f t="shared" ref="AL64:AL66" si="15">ROUND(IF(AG64=0,0,AJ64/ABS(AG64)),3)</f>
        <v>0</v>
      </c>
    </row>
    <row r="65" spans="1:38" s="2168" customFormat="1" ht="15" customHeight="1">
      <c r="A65" s="2439"/>
      <c r="B65" s="2459" t="s">
        <v>980</v>
      </c>
      <c r="C65" s="2439"/>
      <c r="D65" s="2016">
        <f>'Exhibit G State'!D65+'Exhibit G Federal'!D38</f>
        <v>0.2</v>
      </c>
      <c r="E65" s="2016"/>
      <c r="F65" s="2016">
        <f>'Exhibit G State'!F65+'Exhibit G Federal'!F38</f>
        <v>0</v>
      </c>
      <c r="G65" s="2016"/>
      <c r="H65" s="2016">
        <f>'Exhibit G State'!H65+'Exhibit G Federal'!H38</f>
        <v>0</v>
      </c>
      <c r="I65" s="2503"/>
      <c r="J65" s="2016">
        <f>'Exhibit G State'!J65+'Exhibit G Federal'!J38</f>
        <v>4.5999999999999996</v>
      </c>
      <c r="K65" s="2515"/>
      <c r="L65" s="2016">
        <f>'Exhibit G State'!L65+'Exhibit G Federal'!L38</f>
        <v>0.29999999999999982</v>
      </c>
      <c r="M65" s="2515"/>
      <c r="N65" s="2016">
        <f>'Exhibit G State'!N65+'Exhibit G Federal'!N38</f>
        <v>4.3000000000000016</v>
      </c>
      <c r="O65" s="2515"/>
      <c r="P65" s="2016"/>
      <c r="Q65" s="2515"/>
      <c r="R65" s="2016"/>
      <c r="S65" s="2515"/>
      <c r="T65" s="2016"/>
      <c r="U65" s="2515"/>
      <c r="V65" s="2016"/>
      <c r="W65" s="2515"/>
      <c r="X65" s="1984"/>
      <c r="Y65" s="2515"/>
      <c r="Z65" s="2016"/>
      <c r="AA65" s="2016"/>
      <c r="AB65" s="1979">
        <v>0</v>
      </c>
      <c r="AC65" s="2023"/>
      <c r="AD65" s="1984">
        <f t="shared" si="11"/>
        <v>9.4</v>
      </c>
      <c r="AE65" s="1979"/>
      <c r="AF65" s="2023"/>
      <c r="AG65" s="2016">
        <f>'Exhibit G State'!AG65+'Exhibit G Federal'!AG38</f>
        <v>15.2</v>
      </c>
      <c r="AH65" s="3443"/>
      <c r="AI65" s="1961"/>
      <c r="AJ65" s="1984">
        <f t="shared" si="14"/>
        <v>-5.8</v>
      </c>
      <c r="AK65" s="2523"/>
      <c r="AL65" s="1713">
        <f t="shared" si="15"/>
        <v>-0.38200000000000001</v>
      </c>
    </row>
    <row r="66" spans="1:38" s="2168" customFormat="1" ht="15" customHeight="1">
      <c r="A66" s="2439"/>
      <c r="B66" s="2459" t="s">
        <v>951</v>
      </c>
      <c r="C66" s="2439"/>
      <c r="D66" s="2016">
        <f>'Exhibit G State'!D66+'Exhibit G Federal'!D39</f>
        <v>41.8</v>
      </c>
      <c r="E66" s="2016"/>
      <c r="F66" s="2016">
        <f>'Exhibit G State'!F66+'Exhibit G Federal'!F39</f>
        <v>1.9000000000000057</v>
      </c>
      <c r="G66" s="2016"/>
      <c r="H66" s="2016">
        <f>'Exhibit G State'!H66+'Exhibit G Federal'!H39</f>
        <v>9</v>
      </c>
      <c r="I66" s="2503"/>
      <c r="J66" s="2016">
        <f>'Exhibit G State'!J66+'Exhibit G Federal'!J39</f>
        <v>2.0999999999999943</v>
      </c>
      <c r="K66" s="2515"/>
      <c r="L66" s="2016">
        <f>'Exhibit G State'!L66+'Exhibit G Federal'!L39</f>
        <v>16.400000000000006</v>
      </c>
      <c r="M66" s="2515"/>
      <c r="N66" s="2016">
        <f>'Exhibit G State'!N66+'Exhibit G Federal'!N39</f>
        <v>84.899999999999991</v>
      </c>
      <c r="O66" s="2515"/>
      <c r="P66" s="2016"/>
      <c r="Q66" s="2515"/>
      <c r="R66" s="2016"/>
      <c r="S66" s="2515"/>
      <c r="T66" s="2016"/>
      <c r="U66" s="2515"/>
      <c r="V66" s="2016"/>
      <c r="W66" s="2515"/>
      <c r="X66" s="1984"/>
      <c r="Y66" s="2515"/>
      <c r="Z66" s="2016"/>
      <c r="AA66" s="2016"/>
      <c r="AB66" s="1979">
        <v>0</v>
      </c>
      <c r="AC66" s="2023"/>
      <c r="AD66" s="1984">
        <f t="shared" si="11"/>
        <v>156.1</v>
      </c>
      <c r="AE66" s="1979"/>
      <c r="AF66" s="2023"/>
      <c r="AG66" s="2016">
        <f>'Exhibit G State'!AG66+'Exhibit G Federal'!AG39</f>
        <v>-8.3000000000000007</v>
      </c>
      <c r="AH66" s="3443"/>
      <c r="AI66" s="1961"/>
      <c r="AJ66" s="1984">
        <f t="shared" si="14"/>
        <v>164.4</v>
      </c>
      <c r="AK66" s="2523"/>
      <c r="AL66" s="1713">
        <f t="shared" si="15"/>
        <v>19.806999999999999</v>
      </c>
    </row>
    <row r="67" spans="1:38" s="2168" customFormat="1" ht="15" customHeight="1">
      <c r="A67" s="2439"/>
      <c r="B67" s="2459" t="s">
        <v>1054</v>
      </c>
      <c r="C67" s="2439"/>
      <c r="D67" s="2016"/>
      <c r="E67" s="2016"/>
      <c r="F67" s="2016"/>
      <c r="G67" s="2503"/>
      <c r="H67" s="2016"/>
      <c r="I67" s="2503"/>
      <c r="J67" s="2016"/>
      <c r="K67" s="2515"/>
      <c r="L67" s="2016"/>
      <c r="M67" s="2515"/>
      <c r="N67" s="2016"/>
      <c r="O67" s="2515"/>
      <c r="P67" s="2016"/>
      <c r="Q67" s="2515"/>
      <c r="R67" s="2016"/>
      <c r="S67" s="2515"/>
      <c r="T67" s="2016"/>
      <c r="U67" s="2515"/>
      <c r="V67" s="2016"/>
      <c r="W67" s="2515"/>
      <c r="X67" s="1984"/>
      <c r="Y67" s="2515"/>
      <c r="Z67" s="2016"/>
      <c r="AA67" s="2016"/>
      <c r="AB67" s="1979"/>
      <c r="AC67" s="2023"/>
      <c r="AD67" s="1984"/>
      <c r="AE67" s="1979"/>
      <c r="AF67" s="2023"/>
      <c r="AG67" s="2016"/>
      <c r="AH67" s="3443"/>
      <c r="AI67" s="1961"/>
      <c r="AJ67" s="1984"/>
      <c r="AK67" s="2523"/>
      <c r="AL67" s="1802"/>
    </row>
    <row r="68" spans="1:38" s="2168" customFormat="1" ht="15" customHeight="1">
      <c r="A68" s="2439"/>
      <c r="B68" s="2459" t="s">
        <v>981</v>
      </c>
      <c r="C68" s="2439"/>
      <c r="D68" s="2016">
        <f>'Exhibit G State'!D68+'Exhibit G Federal'!D41</f>
        <v>45</v>
      </c>
      <c r="E68" s="2016"/>
      <c r="F68" s="2016">
        <f>'Exhibit G State'!F68+'Exhibit G Federal'!F41</f>
        <v>8.8999999999999986</v>
      </c>
      <c r="G68" s="2016"/>
      <c r="H68" s="2016">
        <f>'Exhibit G State'!H68+'Exhibit G Federal'!H41</f>
        <v>20.800000000000004</v>
      </c>
      <c r="I68" s="2503"/>
      <c r="J68" s="2016">
        <f>'Exhibit G State'!J68+'Exhibit G Federal'!J41</f>
        <v>8.3999999999999915</v>
      </c>
      <c r="K68" s="2515"/>
      <c r="L68" s="2016">
        <f>'Exhibit G State'!L68+'Exhibit G Federal'!L41</f>
        <v>8.6000000000000085</v>
      </c>
      <c r="M68" s="2515"/>
      <c r="N68" s="2016">
        <f>'Exhibit G State'!N68+'Exhibit G Federal'!N41</f>
        <v>8.2999999999999972</v>
      </c>
      <c r="O68" s="2515"/>
      <c r="P68" s="2016"/>
      <c r="Q68" s="2515"/>
      <c r="R68" s="2016"/>
      <c r="S68" s="2515"/>
      <c r="T68" s="2016"/>
      <c r="U68" s="2515"/>
      <c r="V68" s="2016"/>
      <c r="W68" s="2515"/>
      <c r="X68" s="1984"/>
      <c r="Y68" s="2515"/>
      <c r="Z68" s="2016"/>
      <c r="AA68" s="2016"/>
      <c r="AB68" s="1979">
        <v>0</v>
      </c>
      <c r="AC68" s="2023"/>
      <c r="AD68" s="1984">
        <f t="shared" si="11"/>
        <v>100</v>
      </c>
      <c r="AE68" s="1979"/>
      <c r="AF68" s="2023"/>
      <c r="AG68" s="2016">
        <f>'Exhibit G State'!AG68+'Exhibit G Federal'!AG41</f>
        <v>69.400000000000006</v>
      </c>
      <c r="AH68" s="3443"/>
      <c r="AI68" s="1961"/>
      <c r="AJ68" s="1984">
        <f t="shared" ref="AJ68:AJ79" si="16">ROUND(SUM(+AD68-AG68),1)</f>
        <v>30.6</v>
      </c>
      <c r="AK68" s="2523"/>
      <c r="AL68" s="1713">
        <f>ROUND(IF(AG68=0,0,AJ68/ABS(AG68)),3)</f>
        <v>0.441</v>
      </c>
    </row>
    <row r="69" spans="1:38" s="2168" customFormat="1" ht="15" customHeight="1">
      <c r="A69" s="2439"/>
      <c r="B69" s="2459" t="s">
        <v>982</v>
      </c>
      <c r="C69" s="2439"/>
      <c r="D69" s="2016">
        <f>'Exhibit G State'!D69+'Exhibit G Federal'!D42</f>
        <v>0.5</v>
      </c>
      <c r="E69" s="2016"/>
      <c r="F69" s="2016">
        <f>'Exhibit G State'!F69+'Exhibit G Federal'!F42</f>
        <v>0.60000000000000142</v>
      </c>
      <c r="G69" s="2016"/>
      <c r="H69" s="2016">
        <f>'Exhibit G State'!H69+'Exhibit G Federal'!H42</f>
        <v>0.59999999999999565</v>
      </c>
      <c r="I69" s="2503"/>
      <c r="J69" s="2016">
        <f>'Exhibit G State'!J69+'Exhibit G Federal'!J42</f>
        <v>0.60000000000000009</v>
      </c>
      <c r="K69" s="2515"/>
      <c r="L69" s="2016">
        <f>'Exhibit G State'!L69+'Exhibit G Federal'!L42</f>
        <v>0.39999999999999147</v>
      </c>
      <c r="M69" s="2515"/>
      <c r="N69" s="2016">
        <f>'Exhibit G State'!N69+'Exhibit G Federal'!N42</f>
        <v>0.40000000000003411</v>
      </c>
      <c r="O69" s="2515"/>
      <c r="P69" s="2016"/>
      <c r="Q69" s="2515"/>
      <c r="R69" s="2016"/>
      <c r="S69" s="2515"/>
      <c r="T69" s="2016"/>
      <c r="U69" s="2515"/>
      <c r="V69" s="2016"/>
      <c r="W69" s="2515"/>
      <c r="X69" s="1984"/>
      <c r="Y69" s="2515"/>
      <c r="Z69" s="2016"/>
      <c r="AA69" s="2016"/>
      <c r="AB69" s="1979">
        <v>0</v>
      </c>
      <c r="AC69" s="2023"/>
      <c r="AD69" s="1984">
        <f t="shared" si="11"/>
        <v>3.1</v>
      </c>
      <c r="AE69" s="1979"/>
      <c r="AF69" s="2023"/>
      <c r="AG69" s="2016">
        <f>'Exhibit G State'!AG69+'Exhibit G Federal'!AG42</f>
        <v>1.7</v>
      </c>
      <c r="AH69" s="3443"/>
      <c r="AI69" s="1961"/>
      <c r="AJ69" s="1984">
        <f t="shared" si="16"/>
        <v>1.4</v>
      </c>
      <c r="AK69" s="2523"/>
      <c r="AL69" s="1708">
        <f>ROUND(IF(AG69=0,1,AJ69/ABS(AG69)),3)</f>
        <v>0.82399999999999995</v>
      </c>
    </row>
    <row r="70" spans="1:38" s="2168" customFormat="1" ht="15" customHeight="1">
      <c r="A70" s="2439"/>
      <c r="B70" s="2459" t="s">
        <v>1265</v>
      </c>
      <c r="C70" s="2439"/>
      <c r="D70" s="2016">
        <f>'Exhibit G State'!D70</f>
        <v>0</v>
      </c>
      <c r="E70" s="2016"/>
      <c r="F70" s="2016">
        <f>'Exhibit G State'!F70</f>
        <v>0</v>
      </c>
      <c r="G70" s="2016"/>
      <c r="H70" s="2016">
        <f>'Exhibit G State'!H70</f>
        <v>0</v>
      </c>
      <c r="I70" s="3548"/>
      <c r="J70" s="2016">
        <f>'Exhibit G State'!J70</f>
        <v>0</v>
      </c>
      <c r="K70" s="3548"/>
      <c r="L70" s="2016">
        <f>'Exhibit G State'!L70</f>
        <v>0</v>
      </c>
      <c r="M70" s="3548"/>
      <c r="N70" s="2016">
        <f>'Exhibit G State'!N70</f>
        <v>0</v>
      </c>
      <c r="O70" s="3548"/>
      <c r="P70" s="2016"/>
      <c r="Q70" s="3548"/>
      <c r="R70" s="2016"/>
      <c r="S70" s="3548"/>
      <c r="T70" s="2016"/>
      <c r="U70" s="2515"/>
      <c r="V70" s="2016"/>
      <c r="W70" s="2515"/>
      <c r="X70" s="1984"/>
      <c r="Y70" s="2515"/>
      <c r="Z70" s="2016"/>
      <c r="AA70" s="2016"/>
      <c r="AB70" s="1979">
        <v>0</v>
      </c>
      <c r="AC70" s="2023"/>
      <c r="AD70" s="1984">
        <f>ROUND(SUM(D70:Z70),1)</f>
        <v>0</v>
      </c>
      <c r="AE70" s="1979"/>
      <c r="AF70" s="2023"/>
      <c r="AG70" s="2016">
        <f>'Exhibit G State'!AG70</f>
        <v>0</v>
      </c>
      <c r="AH70" s="3443"/>
      <c r="AI70" s="1961"/>
      <c r="AJ70" s="1984">
        <f t="shared" si="16"/>
        <v>0</v>
      </c>
      <c r="AK70" s="2523"/>
      <c r="AL70" s="1708">
        <f>ROUND(IF(AG70=0,0,AJ70/ABS(AG70)),3)</f>
        <v>0</v>
      </c>
    </row>
    <row r="71" spans="1:38" s="2168" customFormat="1" ht="15" customHeight="1">
      <c r="A71" s="2439"/>
      <c r="B71" s="2459" t="s">
        <v>983</v>
      </c>
      <c r="C71" s="2439"/>
      <c r="D71" s="2016">
        <f>'Exhibit G State'!D71+'Exhibit G Federal'!D43</f>
        <v>0.7</v>
      </c>
      <c r="E71" s="2016"/>
      <c r="F71" s="2016">
        <f>'Exhibit G State'!F71+'Exhibit G Federal'!F43</f>
        <v>0.8</v>
      </c>
      <c r="G71" s="2016"/>
      <c r="H71" s="2016">
        <f>'Exhibit G State'!H71+'Exhibit G Federal'!H43</f>
        <v>0.5</v>
      </c>
      <c r="I71" s="2503"/>
      <c r="J71" s="2016">
        <f>'Exhibit G State'!J71+'Exhibit G Federal'!J43</f>
        <v>0.29999999999999982</v>
      </c>
      <c r="K71" s="2515"/>
      <c r="L71" s="2016">
        <f>'Exhibit G State'!L71+'Exhibit G Federal'!L43</f>
        <v>0.20000000000000018</v>
      </c>
      <c r="M71" s="2515"/>
      <c r="N71" s="2016">
        <f>'Exhibit G State'!N71+'Exhibit G Federal'!N43</f>
        <v>1.7000000000000002</v>
      </c>
      <c r="O71" s="2515"/>
      <c r="P71" s="2016"/>
      <c r="Q71" s="2515"/>
      <c r="R71" s="2016"/>
      <c r="S71" s="2515"/>
      <c r="T71" s="2016"/>
      <c r="U71" s="2515"/>
      <c r="V71" s="2016"/>
      <c r="W71" s="2515"/>
      <c r="X71" s="1984"/>
      <c r="Y71" s="2515"/>
      <c r="Z71" s="2016"/>
      <c r="AA71" s="2016"/>
      <c r="AB71" s="1979">
        <v>0</v>
      </c>
      <c r="AC71" s="2023"/>
      <c r="AD71" s="1984">
        <f t="shared" si="11"/>
        <v>4.2</v>
      </c>
      <c r="AE71" s="1979"/>
      <c r="AF71" s="2023"/>
      <c r="AG71" s="2016">
        <f>'Exhibit G State'!AG71+'Exhibit G Federal'!AG43</f>
        <v>26</v>
      </c>
      <c r="AH71" s="3443"/>
      <c r="AI71" s="1961"/>
      <c r="AJ71" s="1984">
        <f t="shared" si="16"/>
        <v>-21.8</v>
      </c>
      <c r="AK71" s="2523"/>
      <c r="AL71" s="1713">
        <f t="shared" ref="AL71:AL74" si="17">ROUND(IF(AG71=0,0,AJ71/ABS(AG71)),3)</f>
        <v>-0.83799999999999997</v>
      </c>
    </row>
    <row r="72" spans="1:38" s="2168" customFormat="1" ht="15" customHeight="1">
      <c r="A72" s="2439"/>
      <c r="B72" s="2459" t="s">
        <v>984</v>
      </c>
      <c r="C72" s="2439"/>
      <c r="D72" s="2016">
        <f>'Exhibit G State'!D72+'Exhibit G Federal'!D44</f>
        <v>0</v>
      </c>
      <c r="E72" s="2016"/>
      <c r="F72" s="2016">
        <f>'Exhibit G State'!F72+'Exhibit G Federal'!F44</f>
        <v>0</v>
      </c>
      <c r="G72" s="2016"/>
      <c r="H72" s="2016">
        <f>'Exhibit G State'!H72+'Exhibit G Federal'!H44</f>
        <v>0</v>
      </c>
      <c r="I72" s="2503"/>
      <c r="J72" s="2016">
        <f>'Exhibit G State'!J72+'Exhibit G Federal'!J44</f>
        <v>0</v>
      </c>
      <c r="K72" s="2515"/>
      <c r="L72" s="2016">
        <f>'Exhibit G State'!L72+'Exhibit G Federal'!L44</f>
        <v>0</v>
      </c>
      <c r="M72" s="2515"/>
      <c r="N72" s="2016">
        <f>'Exhibit G State'!N72+'Exhibit G Federal'!N44</f>
        <v>0.1</v>
      </c>
      <c r="O72" s="2515"/>
      <c r="P72" s="2016"/>
      <c r="Q72" s="2515"/>
      <c r="R72" s="2016"/>
      <c r="S72" s="2515"/>
      <c r="T72" s="2016"/>
      <c r="U72" s="2515"/>
      <c r="V72" s="2016"/>
      <c r="W72" s="2515"/>
      <c r="X72" s="1984"/>
      <c r="Y72" s="2515"/>
      <c r="Z72" s="2016"/>
      <c r="AA72" s="2016"/>
      <c r="AB72" s="1979">
        <v>0</v>
      </c>
      <c r="AC72" s="2023"/>
      <c r="AD72" s="1984">
        <f t="shared" si="11"/>
        <v>0.1</v>
      </c>
      <c r="AE72" s="1979"/>
      <c r="AF72" s="2023"/>
      <c r="AG72" s="2016">
        <f>'Exhibit G State'!AG72+'Exhibit G Federal'!AG44</f>
        <v>0</v>
      </c>
      <c r="AH72" s="3443"/>
      <c r="AI72" s="1961"/>
      <c r="AJ72" s="1984">
        <f t="shared" si="16"/>
        <v>0.1</v>
      </c>
      <c r="AK72" s="2523"/>
      <c r="AL72" s="1713">
        <f>ROUND(IF(AG72=0,1,AJ72/ABS(AG72)),3)</f>
        <v>1</v>
      </c>
    </row>
    <row r="73" spans="1:38" s="2168" customFormat="1" ht="15" customHeight="1">
      <c r="A73" s="2439"/>
      <c r="B73" s="2459" t="s">
        <v>985</v>
      </c>
      <c r="C73" s="2439"/>
      <c r="D73" s="2016">
        <f>'Exhibit G State'!D73+'Exhibit G Federal'!D45</f>
        <v>214.29999999999998</v>
      </c>
      <c r="E73" s="2016"/>
      <c r="F73" s="2016">
        <f>'Exhibit G State'!F73+'Exhibit G Federal'!F45</f>
        <v>178.70000000000002</v>
      </c>
      <c r="G73" s="2016"/>
      <c r="H73" s="2016">
        <f>'Exhibit G State'!H73+'Exhibit G Federal'!H45</f>
        <v>221.10000000000005</v>
      </c>
      <c r="I73" s="2503"/>
      <c r="J73" s="2016">
        <f>'Exhibit G State'!J73+'Exhibit G Federal'!J45</f>
        <v>204.1</v>
      </c>
      <c r="K73" s="2515"/>
      <c r="L73" s="2016">
        <f>'Exhibit G State'!L73+'Exhibit G Federal'!L45</f>
        <v>195.79999999999998</v>
      </c>
      <c r="M73" s="2515"/>
      <c r="N73" s="2016">
        <f>'Exhibit G State'!N73+'Exhibit G Federal'!N45</f>
        <v>204.20000000000002</v>
      </c>
      <c r="O73" s="2515"/>
      <c r="P73" s="2016"/>
      <c r="Q73" s="2515"/>
      <c r="R73" s="2016"/>
      <c r="S73" s="2515"/>
      <c r="T73" s="2016"/>
      <c r="U73" s="2515"/>
      <c r="V73" s="2016"/>
      <c r="W73" s="2515"/>
      <c r="X73" s="1984"/>
      <c r="Y73" s="2515"/>
      <c r="Z73" s="2016"/>
      <c r="AA73" s="2016"/>
      <c r="AB73" s="1979">
        <v>0</v>
      </c>
      <c r="AC73" s="2023"/>
      <c r="AD73" s="1984">
        <f t="shared" si="11"/>
        <v>1218.2</v>
      </c>
      <c r="AE73" s="1979"/>
      <c r="AF73" s="2023"/>
      <c r="AG73" s="2016">
        <f>'Exhibit G State'!AG73+'Exhibit G Federal'!AG45</f>
        <v>1611.3</v>
      </c>
      <c r="AH73" s="3443"/>
      <c r="AI73" s="1961"/>
      <c r="AJ73" s="1984">
        <f t="shared" si="16"/>
        <v>-393.1</v>
      </c>
      <c r="AK73" s="2523"/>
      <c r="AL73" s="1708">
        <f t="shared" si="17"/>
        <v>-0.24399999999999999</v>
      </c>
    </row>
    <row r="74" spans="1:38" s="2168" customFormat="1" ht="15" customHeight="1">
      <c r="A74" s="2439"/>
      <c r="B74" s="2459" t="s">
        <v>986</v>
      </c>
      <c r="C74" s="2439"/>
      <c r="D74" s="2016">
        <f>'Exhibit G State'!D74+'Exhibit G Federal'!D46</f>
        <v>11.3</v>
      </c>
      <c r="E74" s="2016"/>
      <c r="F74" s="2016">
        <f>'Exhibit G State'!F74+'Exhibit G Federal'!F46</f>
        <v>7.9</v>
      </c>
      <c r="G74" s="2016"/>
      <c r="H74" s="2016">
        <f>'Exhibit G State'!H74+'Exhibit G Federal'!H46</f>
        <v>14.2</v>
      </c>
      <c r="I74" s="2503"/>
      <c r="J74" s="2016">
        <f>'Exhibit G State'!J74+'Exhibit G Federal'!J46</f>
        <v>12.3</v>
      </c>
      <c r="K74" s="2515"/>
      <c r="L74" s="2016">
        <f>'Exhibit G State'!L74+'Exhibit G Federal'!L46</f>
        <v>7.9999999999999982</v>
      </c>
      <c r="M74" s="2515"/>
      <c r="N74" s="2016">
        <f>'Exhibit G State'!N74+'Exhibit G Federal'!N46</f>
        <v>14.7</v>
      </c>
      <c r="O74" s="2515"/>
      <c r="P74" s="2016"/>
      <c r="Q74" s="2515"/>
      <c r="R74" s="2016"/>
      <c r="S74" s="2515"/>
      <c r="T74" s="2016"/>
      <c r="U74" s="2515"/>
      <c r="V74" s="2016"/>
      <c r="W74" s="2515"/>
      <c r="X74" s="1984"/>
      <c r="Y74" s="2515"/>
      <c r="Z74" s="2016"/>
      <c r="AA74" s="2016"/>
      <c r="AB74" s="1979">
        <v>0</v>
      </c>
      <c r="AC74" s="2023"/>
      <c r="AD74" s="1984">
        <f t="shared" si="11"/>
        <v>68.400000000000006</v>
      </c>
      <c r="AE74" s="1979"/>
      <c r="AF74" s="2023"/>
      <c r="AG74" s="2016">
        <f>'Exhibit G State'!AG74+'Exhibit G Federal'!AG46</f>
        <v>75.400000000000006</v>
      </c>
      <c r="AH74" s="3443"/>
      <c r="AI74" s="1961"/>
      <c r="AJ74" s="1984">
        <f t="shared" si="16"/>
        <v>-7</v>
      </c>
      <c r="AK74" s="2523"/>
      <c r="AL74" s="1708">
        <f t="shared" si="17"/>
        <v>-9.2999999999999999E-2</v>
      </c>
    </row>
    <row r="75" spans="1:38" s="2168" customFormat="1" ht="15" customHeight="1">
      <c r="A75" s="2439"/>
      <c r="B75" s="2459" t="s">
        <v>987</v>
      </c>
      <c r="C75" s="2439"/>
      <c r="D75" s="2016">
        <f>'Exhibit G State'!D75+'Exhibit G Federal'!D47</f>
        <v>1.2</v>
      </c>
      <c r="E75" s="2016"/>
      <c r="F75" s="2016">
        <f>'Exhibit G State'!F75+'Exhibit G Federal'!F47</f>
        <v>9.8000000000000007</v>
      </c>
      <c r="G75" s="2016"/>
      <c r="H75" s="2016">
        <f>'Exhibit G State'!H75+'Exhibit G Federal'!H47</f>
        <v>7.1999999999999993</v>
      </c>
      <c r="I75" s="2503"/>
      <c r="J75" s="2016">
        <f>'Exhibit G State'!J75+'Exhibit G Federal'!J47</f>
        <v>0.60000000000000142</v>
      </c>
      <c r="K75" s="2515"/>
      <c r="L75" s="2016">
        <f>'Exhibit G State'!L75+'Exhibit G Federal'!L47</f>
        <v>0.89999999999999858</v>
      </c>
      <c r="M75" s="2515"/>
      <c r="N75" s="2016">
        <f>'Exhibit G State'!N75+'Exhibit G Federal'!N47</f>
        <v>3.9000000000000021</v>
      </c>
      <c r="O75" s="2515"/>
      <c r="P75" s="2016"/>
      <c r="Q75" s="2515"/>
      <c r="R75" s="2016"/>
      <c r="S75" s="2515"/>
      <c r="T75" s="2016"/>
      <c r="U75" s="2515"/>
      <c r="V75" s="2016"/>
      <c r="W75" s="2515"/>
      <c r="X75" s="1984"/>
      <c r="Y75" s="2515"/>
      <c r="Z75" s="2016"/>
      <c r="AA75" s="2016"/>
      <c r="AB75" s="1979">
        <v>0</v>
      </c>
      <c r="AC75" s="2023"/>
      <c r="AD75" s="1984">
        <f t="shared" si="11"/>
        <v>23.6</v>
      </c>
      <c r="AE75" s="1979"/>
      <c r="AF75" s="2023"/>
      <c r="AG75" s="2016">
        <f>'Exhibit G State'!AG75+'Exhibit G Federal'!AG47</f>
        <v>50.5</v>
      </c>
      <c r="AH75" s="3443"/>
      <c r="AI75" s="1961"/>
      <c r="AJ75" s="1984">
        <f t="shared" si="16"/>
        <v>-26.9</v>
      </c>
      <c r="AK75" s="2523"/>
      <c r="AL75" s="1713">
        <f>ROUND(IF(AG75=0,1,AJ75/ABS(AG75)),3)</f>
        <v>-0.53300000000000003</v>
      </c>
    </row>
    <row r="76" spans="1:38" s="2168" customFormat="1" ht="15" customHeight="1">
      <c r="A76" s="2439"/>
      <c r="B76" s="2459" t="s">
        <v>988</v>
      </c>
      <c r="C76" s="2439"/>
      <c r="D76" s="2016">
        <f>'Exhibit G State'!D76+'Exhibit G Federal'!D48</f>
        <v>2.4</v>
      </c>
      <c r="E76" s="2016"/>
      <c r="F76" s="2016">
        <f>'Exhibit G State'!F76+'Exhibit G Federal'!F48</f>
        <v>5.6</v>
      </c>
      <c r="G76" s="2016"/>
      <c r="H76" s="2016">
        <f>'Exhibit G State'!H76+'Exhibit G Federal'!H48</f>
        <v>1.3000000000000007</v>
      </c>
      <c r="I76" s="2503"/>
      <c r="J76" s="2016">
        <f>'Exhibit G State'!J76+'Exhibit G Federal'!J48</f>
        <v>1.8999999999999986</v>
      </c>
      <c r="K76" s="2515"/>
      <c r="L76" s="2016">
        <f>'Exhibit G State'!L76+'Exhibit G Federal'!L48</f>
        <v>1.4000000000000004</v>
      </c>
      <c r="M76" s="2515"/>
      <c r="N76" s="2016">
        <f>'Exhibit G State'!N76+'Exhibit G Federal'!N48</f>
        <v>1.2000000000000011</v>
      </c>
      <c r="O76" s="2515"/>
      <c r="P76" s="2016"/>
      <c r="Q76" s="2515"/>
      <c r="R76" s="2016"/>
      <c r="S76" s="2515"/>
      <c r="T76" s="2016"/>
      <c r="U76" s="2515"/>
      <c r="V76" s="2016"/>
      <c r="W76" s="2515"/>
      <c r="X76" s="1984"/>
      <c r="Y76" s="2515"/>
      <c r="Z76" s="2016"/>
      <c r="AA76" s="2016"/>
      <c r="AB76" s="1979">
        <v>0</v>
      </c>
      <c r="AC76" s="2023"/>
      <c r="AD76" s="1984">
        <f t="shared" si="11"/>
        <v>13.8</v>
      </c>
      <c r="AE76" s="1979"/>
      <c r="AF76" s="2023"/>
      <c r="AG76" s="2016">
        <f>'Exhibit G State'!AG76+'Exhibit G Federal'!AG48</f>
        <v>27.6</v>
      </c>
      <c r="AH76" s="3443"/>
      <c r="AI76" s="1961"/>
      <c r="AJ76" s="1984">
        <f t="shared" si="16"/>
        <v>-13.8</v>
      </c>
      <c r="AK76" s="2523"/>
      <c r="AL76" s="1708">
        <f>ROUND(IF(AG76=0,0,AJ76/ABS(AG76)),3)</f>
        <v>-0.5</v>
      </c>
    </row>
    <row r="77" spans="1:38" s="2168" customFormat="1" ht="15" customHeight="1">
      <c r="A77" s="2439"/>
      <c r="B77" s="2459" t="s">
        <v>989</v>
      </c>
      <c r="C77" s="2439"/>
      <c r="D77" s="2016">
        <f>'Exhibit G State'!D77+'Exhibit G Federal'!D49</f>
        <v>64.8</v>
      </c>
      <c r="E77" s="2016"/>
      <c r="F77" s="2016">
        <f>'Exhibit G State'!F77+'Exhibit G Federal'!F49</f>
        <v>38.600000000000009</v>
      </c>
      <c r="G77" s="2016"/>
      <c r="H77" s="2016">
        <f>'Exhibit G State'!H77+'Exhibit G Federal'!H49</f>
        <v>58.499999999999993</v>
      </c>
      <c r="I77" s="2503"/>
      <c r="J77" s="2016">
        <f>'Exhibit G State'!J77+'Exhibit G Federal'!J49</f>
        <v>60.400000000000006</v>
      </c>
      <c r="K77" s="2515"/>
      <c r="L77" s="2016">
        <f>'Exhibit G State'!L77+'Exhibit G Federal'!L49</f>
        <v>53.399999999999991</v>
      </c>
      <c r="M77" s="2515"/>
      <c r="N77" s="2016">
        <f>'Exhibit G State'!N77+'Exhibit G Federal'!N49</f>
        <v>47.700000000000038</v>
      </c>
      <c r="O77" s="2515"/>
      <c r="P77" s="2016"/>
      <c r="Q77" s="2515"/>
      <c r="R77" s="2016"/>
      <c r="S77" s="2515"/>
      <c r="T77" s="2016"/>
      <c r="U77" s="2515"/>
      <c r="V77" s="2016"/>
      <c r="W77" s="2515"/>
      <c r="X77" s="1984"/>
      <c r="Y77" s="2515"/>
      <c r="Z77" s="2016"/>
      <c r="AA77" s="2016"/>
      <c r="AB77" s="1979">
        <v>0</v>
      </c>
      <c r="AC77" s="2023"/>
      <c r="AD77" s="1984">
        <f t="shared" si="11"/>
        <v>323.39999999999998</v>
      </c>
      <c r="AE77" s="1979"/>
      <c r="AF77" s="2023"/>
      <c r="AG77" s="2016">
        <f>'Exhibit G State'!AG77+'Exhibit G Federal'!AG49</f>
        <v>144.99999999999997</v>
      </c>
      <c r="AH77" s="3443"/>
      <c r="AI77" s="1961"/>
      <c r="AJ77" s="1984">
        <f t="shared" si="16"/>
        <v>178.4</v>
      </c>
      <c r="AK77" s="2523"/>
      <c r="AL77" s="1713">
        <f>ROUND(IF(AG77=0,0,AJ77/ABS(AG77)),3)</f>
        <v>1.23</v>
      </c>
    </row>
    <row r="78" spans="1:38" s="2168" customFormat="1" ht="15" customHeight="1">
      <c r="A78" s="2439"/>
      <c r="B78" s="2459" t="s">
        <v>961</v>
      </c>
      <c r="C78" s="2439"/>
      <c r="D78" s="2016">
        <f>'Exhibit G State'!D78+'Exhibit G Federal'!D50</f>
        <v>2.2000000000000002</v>
      </c>
      <c r="E78" s="2016"/>
      <c r="F78" s="2016">
        <f>'Exhibit G State'!F78+'Exhibit G Federal'!F50</f>
        <v>0.5</v>
      </c>
      <c r="G78" s="2016"/>
      <c r="H78" s="2016">
        <f>'Exhibit G State'!H78+'Exhibit G Federal'!H50</f>
        <v>1.7000000000000002</v>
      </c>
      <c r="I78" s="2503"/>
      <c r="J78" s="2016">
        <f>'Exhibit G State'!J78+'Exhibit G Federal'!J50</f>
        <v>1.1999999999999993</v>
      </c>
      <c r="K78" s="2515"/>
      <c r="L78" s="2016">
        <f>'Exhibit G State'!L78+'Exhibit G Federal'!L50</f>
        <v>0.90000000000000036</v>
      </c>
      <c r="M78" s="2515"/>
      <c r="N78" s="2016">
        <f>'Exhibit G State'!N78+'Exhibit G Federal'!N50</f>
        <v>3</v>
      </c>
      <c r="O78" s="2515"/>
      <c r="P78" s="2016"/>
      <c r="Q78" s="2515"/>
      <c r="R78" s="2016"/>
      <c r="S78" s="2515"/>
      <c r="T78" s="2016"/>
      <c r="U78" s="2515"/>
      <c r="V78" s="2016"/>
      <c r="W78" s="2515"/>
      <c r="X78" s="1984"/>
      <c r="Y78" s="2515"/>
      <c r="Z78" s="2016"/>
      <c r="AA78" s="2016"/>
      <c r="AB78" s="1979">
        <v>0</v>
      </c>
      <c r="AC78" s="2023"/>
      <c r="AD78" s="1979">
        <f t="shared" si="11"/>
        <v>9.5</v>
      </c>
      <c r="AE78" s="1979"/>
      <c r="AF78" s="2023"/>
      <c r="AG78" s="2016">
        <f>'Exhibit G State'!AG78+'Exhibit G Federal'!AG50</f>
        <v>3.7</v>
      </c>
      <c r="AH78" s="3443"/>
      <c r="AI78" s="1961"/>
      <c r="AJ78" s="1984">
        <f t="shared" si="16"/>
        <v>5.8</v>
      </c>
      <c r="AK78" s="2523"/>
      <c r="AL78" s="1708">
        <f>ROUND(IF(AG78=0,0,AJ78/ABS(AG78)),3)</f>
        <v>1.5680000000000001</v>
      </c>
    </row>
    <row r="79" spans="1:38" s="2168" customFormat="1" ht="15" customHeight="1">
      <c r="A79" s="2439"/>
      <c r="B79" s="2459" t="s">
        <v>962</v>
      </c>
      <c r="C79" s="2439"/>
      <c r="D79" s="2016">
        <f>'Exhibit G State'!D79+'Exhibit G Federal'!D51</f>
        <v>-75.7</v>
      </c>
      <c r="E79" s="2016"/>
      <c r="F79" s="2016">
        <f>'Exhibit G State'!F79+'Exhibit G Federal'!F51</f>
        <v>41.6</v>
      </c>
      <c r="G79" s="2016"/>
      <c r="H79" s="2016">
        <f>'Exhibit G State'!H79+'Exhibit G Federal'!H51</f>
        <v>51.300000000000004</v>
      </c>
      <c r="I79" s="2503"/>
      <c r="J79" s="2016">
        <f>'Exhibit G State'!J79+'Exhibit G Federal'!J51</f>
        <v>56.6</v>
      </c>
      <c r="K79" s="2515"/>
      <c r="L79" s="2016">
        <f>'Exhibit G State'!L79+'Exhibit G Federal'!L51</f>
        <v>203.99999999999997</v>
      </c>
      <c r="M79" s="2515"/>
      <c r="N79" s="2016">
        <f>'Exhibit G State'!N79+'Exhibit G Federal'!N51</f>
        <v>243.30000000000004</v>
      </c>
      <c r="O79" s="2515"/>
      <c r="P79" s="2016"/>
      <c r="Q79" s="2515"/>
      <c r="R79" s="2016"/>
      <c r="S79" s="2515"/>
      <c r="T79" s="2016"/>
      <c r="U79" s="2515"/>
      <c r="V79" s="2016"/>
      <c r="W79" s="2515"/>
      <c r="X79" s="1984"/>
      <c r="Y79" s="2515"/>
      <c r="Z79" s="2016"/>
      <c r="AA79" s="2016"/>
      <c r="AB79" s="1979">
        <v>0</v>
      </c>
      <c r="AC79" s="2023"/>
      <c r="AD79" s="1979">
        <f t="shared" si="11"/>
        <v>521.1</v>
      </c>
      <c r="AE79" s="1979"/>
      <c r="AF79" s="2023"/>
      <c r="AG79" s="2016">
        <f>'Exhibit G State'!AG79+'Exhibit G Federal'!AG51</f>
        <v>562.9</v>
      </c>
      <c r="AH79" s="3443"/>
      <c r="AI79" s="1961"/>
      <c r="AJ79" s="1984">
        <f t="shared" si="16"/>
        <v>-41.8</v>
      </c>
      <c r="AK79" s="2523"/>
      <c r="AL79" s="1708">
        <f>ROUND(IF(AG79=0,0,AJ79/ABS(AG79)),3)</f>
        <v>-7.3999999999999996E-2</v>
      </c>
    </row>
    <row r="80" spans="1:38" s="2529" customFormat="1" ht="15" customHeight="1">
      <c r="A80" s="2526"/>
      <c r="B80" s="2447" t="s">
        <v>1123</v>
      </c>
      <c r="C80" s="2526"/>
      <c r="D80" s="1446">
        <f>ROUND(SUM(D41:D79),1)</f>
        <v>1332.5</v>
      </c>
      <c r="E80" s="2503"/>
      <c r="F80" s="1446">
        <f>ROUND(SUM(F41:F79),1)</f>
        <v>1299</v>
      </c>
      <c r="G80" s="2503"/>
      <c r="H80" s="2026">
        <f>ROUND(SUM(H41:H79),1)</f>
        <v>1574.5</v>
      </c>
      <c r="I80" s="2503"/>
      <c r="J80" s="2026">
        <f>ROUND(SUM(J41:J79),1)</f>
        <v>1412.4</v>
      </c>
      <c r="K80" s="2515"/>
      <c r="L80" s="1446">
        <f>ROUND(SUM(L41:L79),1)</f>
        <v>1533.1</v>
      </c>
      <c r="M80" s="2515"/>
      <c r="N80" s="1446">
        <f>ROUND(SUM(N41:N79),1)</f>
        <v>1881.9</v>
      </c>
      <c r="O80" s="2515"/>
      <c r="P80" s="1446">
        <f>ROUND(SUM(P41:P79),1)</f>
        <v>0</v>
      </c>
      <c r="Q80" s="2515"/>
      <c r="R80" s="1446">
        <f>ROUND(SUM(R41:R79),1)</f>
        <v>0</v>
      </c>
      <c r="S80" s="2515"/>
      <c r="T80" s="1446">
        <f>ROUND(SUM(T41:T79),1)</f>
        <v>0</v>
      </c>
      <c r="U80" s="2515"/>
      <c r="V80" s="1446">
        <f>ROUND(SUM(V41:V79),1)</f>
        <v>0</v>
      </c>
      <c r="W80" s="2515"/>
      <c r="X80" s="1446">
        <f>ROUND(SUM(X41:X79),1)</f>
        <v>0</v>
      </c>
      <c r="Y80" s="2515"/>
      <c r="Z80" s="1446">
        <f>ROUND(SUM(Z41:Z79),1)</f>
        <v>0</v>
      </c>
      <c r="AA80" s="1448"/>
      <c r="AB80" s="2017">
        <f>SUM(AB41:AB79)</f>
        <v>0</v>
      </c>
      <c r="AC80" s="2527"/>
      <c r="AD80" s="1446">
        <f>ROUND(SUM(AD41:AD79),1)</f>
        <v>9033.4</v>
      </c>
      <c r="AE80" s="2034"/>
      <c r="AF80" s="2527"/>
      <c r="AG80" s="1446">
        <f>ROUND(SUM(AG41:AG79),1)</f>
        <v>8045.1</v>
      </c>
      <c r="AH80" s="3442"/>
      <c r="AI80" s="1448"/>
      <c r="AJ80" s="1446">
        <f>ROUND(SUM(AJ41:AJ79),1)</f>
        <v>988.3</v>
      </c>
      <c r="AK80" s="2528"/>
      <c r="AL80" s="1804">
        <f>ROUND(SUM(+AJ80/AG80),3)</f>
        <v>0.123</v>
      </c>
    </row>
    <row r="81" spans="1:45" ht="15" customHeight="1">
      <c r="A81" s="2028"/>
      <c r="B81" s="2530"/>
      <c r="C81" s="2028"/>
      <c r="D81" s="2523"/>
      <c r="F81" s="2523"/>
      <c r="H81" s="1429"/>
      <c r="J81" s="1429"/>
      <c r="L81" s="1990"/>
      <c r="N81" s="1990"/>
      <c r="P81" s="1990"/>
      <c r="R81" s="1990"/>
      <c r="T81" s="1978"/>
      <c r="V81" s="1999"/>
      <c r="X81" s="1999"/>
      <c r="Z81" s="1999"/>
      <c r="AA81" s="2523"/>
      <c r="AB81" s="1990"/>
      <c r="AC81" s="2021"/>
      <c r="AD81" s="1979"/>
      <c r="AE81" s="1979"/>
      <c r="AF81" s="2023"/>
      <c r="AG81" s="1979"/>
      <c r="AH81" s="3439"/>
      <c r="AI81" s="1991"/>
      <c r="AJ81" s="1429"/>
      <c r="AK81" s="2516"/>
      <c r="AL81" s="1418"/>
    </row>
    <row r="82" spans="1:45" s="2168" customFormat="1" ht="15" customHeight="1">
      <c r="A82" s="2439"/>
      <c r="B82" s="2531" t="s">
        <v>148</v>
      </c>
      <c r="C82" s="2439"/>
      <c r="D82" s="2016">
        <f>'Exhibit G State'!D82+'Exhibit G Federal'!D54</f>
        <v>7158.4</v>
      </c>
      <c r="E82" s="2525"/>
      <c r="F82" s="2016">
        <f>'Exhibit G State'!F82+'Exhibit G Federal'!F54</f>
        <v>18222.900000000001</v>
      </c>
      <c r="G82" s="2525"/>
      <c r="H82" s="2016">
        <f>'Exhibit G State'!H82+'Exhibit G Federal'!H54</f>
        <v>7375</v>
      </c>
      <c r="I82" s="2503"/>
      <c r="J82" s="2016">
        <f>'Exhibit G State'!J82+'Exhibit G Federal'!J54</f>
        <v>5735.6999999999971</v>
      </c>
      <c r="K82" s="2515"/>
      <c r="L82" s="2016">
        <f>'Exhibit G State'!L82+'Exhibit G Federal'!L54</f>
        <v>5788.6</v>
      </c>
      <c r="M82" s="2515"/>
      <c r="N82" s="2016">
        <f>'Exhibit G State'!N82+'Exhibit G Federal'!N54</f>
        <v>7398.0999999999985</v>
      </c>
      <c r="O82" s="2515"/>
      <c r="P82" s="2016"/>
      <c r="Q82" s="2515"/>
      <c r="R82" s="2016"/>
      <c r="S82" s="2515"/>
      <c r="T82" s="2016"/>
      <c r="U82" s="2515"/>
      <c r="V82" s="2016"/>
      <c r="W82" s="2515"/>
      <c r="X82" s="2016"/>
      <c r="Y82" s="2515"/>
      <c r="Z82" s="2016"/>
      <c r="AA82" s="2016"/>
      <c r="AB82" s="2532">
        <v>0</v>
      </c>
      <c r="AC82" s="2023"/>
      <c r="AD82" s="1979">
        <f t="shared" si="11"/>
        <v>51678.7</v>
      </c>
      <c r="AE82" s="1979"/>
      <c r="AF82" s="2023"/>
      <c r="AG82" s="2016">
        <f>'Exhibit G State'!AG82+'Exhibit G Federal'!AG54</f>
        <v>41787</v>
      </c>
      <c r="AH82" s="3439"/>
      <c r="AI82" s="1961"/>
      <c r="AJ82" s="2025">
        <f>ROUND(SUM(+AD82-AG82),1)</f>
        <v>9891.7000000000007</v>
      </c>
      <c r="AK82" s="2533"/>
      <c r="AL82" s="1708">
        <f>ROUND(IF(AG82=0,0,AJ82/ABS(AG82)),3)</f>
        <v>0.23699999999999999</v>
      </c>
    </row>
    <row r="83" spans="1:45" ht="15" customHeight="1">
      <c r="A83" s="2028"/>
      <c r="B83" s="2028"/>
      <c r="C83" s="2028"/>
      <c r="D83" s="1989"/>
      <c r="F83" s="1989"/>
      <c r="H83" s="2466"/>
      <c r="J83" s="2466"/>
      <c r="L83" s="1989"/>
      <c r="N83" s="1989"/>
      <c r="P83" s="1989"/>
      <c r="R83" s="1989"/>
      <c r="T83" s="2035"/>
      <c r="V83" s="1989"/>
      <c r="X83" s="1989"/>
      <c r="Z83" s="1989"/>
      <c r="AA83" s="1991"/>
      <c r="AB83" s="2534"/>
      <c r="AC83" s="1991"/>
      <c r="AD83" s="2035"/>
      <c r="AE83" s="1979"/>
      <c r="AF83" s="2023"/>
      <c r="AG83" s="2035"/>
      <c r="AH83" s="3439"/>
      <c r="AI83" s="1991"/>
      <c r="AJ83" s="2535"/>
      <c r="AL83" s="1432"/>
    </row>
    <row r="84" spans="1:45" ht="15" customHeight="1">
      <c r="A84" s="2028"/>
      <c r="B84" s="2401" t="s">
        <v>149</v>
      </c>
      <c r="C84" s="2028"/>
      <c r="D84" s="1447">
        <f>ROUND(SUM(D82+D80+D37),1)</f>
        <v>8877.5</v>
      </c>
      <c r="F84" s="1447">
        <f>ROUND(SUM(F82+F80+F37),1)</f>
        <v>19743.5</v>
      </c>
      <c r="H84" s="1447">
        <f>ROUND(SUM(H82+H80+H37),1)</f>
        <v>9510.2000000000007</v>
      </c>
      <c r="J84" s="1447">
        <f>ROUND(SUM(J82+J80+J37),1)</f>
        <v>7404.4</v>
      </c>
      <c r="L84" s="1447">
        <f>ROUND(SUM(L82+L80+L37),1)</f>
        <v>7533.6</v>
      </c>
      <c r="N84" s="1447">
        <f>ROUND(SUM(N82+N80+N37),1)</f>
        <v>9830.7999999999993</v>
      </c>
      <c r="P84" s="1447">
        <f>ROUND(SUM(P82+P80+P37),1)</f>
        <v>0</v>
      </c>
      <c r="R84" s="1447">
        <f>ROUND(SUM(R82+R80+R37),1)</f>
        <v>0</v>
      </c>
      <c r="T84" s="2034">
        <f>ROUND(SUM(T82+T80+T37),1)</f>
        <v>0</v>
      </c>
      <c r="V84" s="1447">
        <f>ROUND(SUM(V82+V80+V37),1)</f>
        <v>0</v>
      </c>
      <c r="X84" s="1447">
        <f>ROUND(SUM(X82+X80+X37),1)</f>
        <v>0</v>
      </c>
      <c r="Z84" s="1447">
        <f>ROUND(SUM(Z82+Z80+Z37),1)</f>
        <v>0</v>
      </c>
      <c r="AA84" s="1447"/>
      <c r="AB84" s="2536">
        <f>ROUND(SUM(AB82+AB80+AB37),1)</f>
        <v>0</v>
      </c>
      <c r="AC84" s="2024"/>
      <c r="AD84" s="2034">
        <f>ROUND(SUM(AD82+AD80+AD37),1)</f>
        <v>62900</v>
      </c>
      <c r="AE84" s="2034"/>
      <c r="AF84" s="2527"/>
      <c r="AG84" s="2034">
        <f>ROUND(SUM(AG82+AG80+AG37),1)</f>
        <v>51540.1</v>
      </c>
      <c r="AH84" s="3442"/>
      <c r="AI84" s="1430"/>
      <c r="AJ84" s="2036">
        <f>ROUND(SUM(AJ82+AJ80+AJ37),1)</f>
        <v>11359.9</v>
      </c>
      <c r="AK84" s="2537"/>
      <c r="AL84" s="1422">
        <f>ROUND(SUM(+AJ84/AG84),3)</f>
        <v>0.22</v>
      </c>
    </row>
    <row r="85" spans="1:45" ht="15" customHeight="1">
      <c r="A85" s="2028"/>
      <c r="B85" s="2028"/>
      <c r="C85" s="2028"/>
      <c r="D85" s="1989"/>
      <c r="F85" s="1989"/>
      <c r="H85" s="2466"/>
      <c r="J85" s="2466"/>
      <c r="L85" s="1989"/>
      <c r="N85" s="1989"/>
      <c r="P85" s="1989"/>
      <c r="R85" s="1989"/>
      <c r="T85" s="2035"/>
      <c r="V85" s="1989"/>
      <c r="X85" s="1989"/>
      <c r="Z85" s="1989"/>
      <c r="AA85" s="1991"/>
      <c r="AB85" s="1990"/>
      <c r="AC85" s="2021"/>
      <c r="AD85" s="2035"/>
      <c r="AE85" s="1979"/>
      <c r="AF85" s="2023"/>
      <c r="AG85" s="2035"/>
      <c r="AH85" s="3439"/>
      <c r="AI85" s="1991"/>
      <c r="AJ85" s="1429"/>
      <c r="AL85" s="1418"/>
    </row>
    <row r="86" spans="1:45" ht="15" customHeight="1">
      <c r="A86" s="2028"/>
      <c r="B86" s="2509" t="s">
        <v>22</v>
      </c>
      <c r="C86" s="2028"/>
      <c r="D86" s="1990"/>
      <c r="F86" s="1990"/>
      <c r="H86" s="1429"/>
      <c r="J86" s="1429"/>
      <c r="L86" s="1990"/>
      <c r="N86" s="1990"/>
      <c r="P86" s="1990"/>
      <c r="R86" s="1990"/>
      <c r="T86" s="1979"/>
      <c r="V86" s="1990"/>
      <c r="X86" s="1990"/>
      <c r="Z86" s="1990"/>
      <c r="AA86" s="1990"/>
      <c r="AB86" s="1990"/>
      <c r="AC86" s="2021"/>
      <c r="AD86" s="1979"/>
      <c r="AE86" s="3145"/>
      <c r="AF86" s="3137"/>
      <c r="AG86" s="1979"/>
      <c r="AH86" s="3439"/>
      <c r="AI86" s="1991"/>
      <c r="AJ86" s="1429"/>
      <c r="AL86" s="1418"/>
    </row>
    <row r="87" spans="1:45" ht="15" customHeight="1">
      <c r="A87" s="2028"/>
      <c r="B87" s="2443" t="s">
        <v>150</v>
      </c>
      <c r="C87" s="2028"/>
      <c r="D87" s="2523"/>
      <c r="F87" s="2523"/>
      <c r="H87" s="1984"/>
      <c r="J87" s="1984"/>
      <c r="L87" s="1979"/>
      <c r="N87" s="1979"/>
      <c r="P87" s="1979"/>
      <c r="R87" s="1979"/>
      <c r="T87" s="1978"/>
      <c r="V87" s="1999"/>
      <c r="X87" s="1999"/>
      <c r="Z87" s="1999"/>
      <c r="AA87" s="2523"/>
      <c r="AB87" s="1990"/>
      <c r="AC87" s="2021"/>
      <c r="AD87" s="1979"/>
      <c r="AE87" s="1979"/>
      <c r="AF87" s="2023"/>
      <c r="AG87" s="1979"/>
      <c r="AH87" s="3439"/>
      <c r="AI87" s="1991"/>
      <c r="AJ87" s="1429"/>
      <c r="AL87" s="1433"/>
    </row>
    <row r="88" spans="1:45" s="2168" customFormat="1" ht="15" customHeight="1">
      <c r="A88" s="2439"/>
      <c r="B88" s="2538" t="s">
        <v>24</v>
      </c>
      <c r="C88" s="2439"/>
      <c r="D88" s="2016">
        <f>'Exhibit G State'!D88+'Exhibit G Federal'!D60</f>
        <v>273.7</v>
      </c>
      <c r="E88" s="2525"/>
      <c r="F88" s="2016">
        <f>'Exhibit G State'!F88+'Exhibit G Federal'!F60</f>
        <v>478.2</v>
      </c>
      <c r="G88" s="2525"/>
      <c r="H88" s="2016">
        <f>'Exhibit G State'!H88+'Exhibit G Federal'!H60</f>
        <v>1195.4000000000001</v>
      </c>
      <c r="I88" s="2503"/>
      <c r="J88" s="2016">
        <f>'Exhibit G State'!J88+'Exhibit G Federal'!J60</f>
        <v>384</v>
      </c>
      <c r="K88" s="2515"/>
      <c r="L88" s="2016">
        <f>'Exhibit G State'!L88+'Exhibit G Federal'!L60</f>
        <v>684.59999999999968</v>
      </c>
      <c r="M88" s="2515"/>
      <c r="N88" s="2016">
        <f>'Exhibit G State'!N88+'Exhibit G Federal'!N60</f>
        <v>2704.5000000000005</v>
      </c>
      <c r="O88" s="2515"/>
      <c r="P88" s="2016"/>
      <c r="Q88" s="2515"/>
      <c r="R88" s="2016"/>
      <c r="S88" s="2515"/>
      <c r="T88" s="2016"/>
      <c r="U88" s="2515"/>
      <c r="V88" s="2016"/>
      <c r="W88" s="2515"/>
      <c r="X88" s="2016"/>
      <c r="Y88" s="2515"/>
      <c r="Z88" s="2016"/>
      <c r="AA88" s="2016"/>
      <c r="AB88" s="1979">
        <v>0</v>
      </c>
      <c r="AC88" s="2023"/>
      <c r="AD88" s="1979">
        <f>ROUND(SUM(D88:Z88),1)</f>
        <v>5720.4</v>
      </c>
      <c r="AE88" s="1979"/>
      <c r="AF88" s="2023"/>
      <c r="AG88" s="2016">
        <f>'Exhibit G State'!AG88+'Exhibit G Federal'!AG60</f>
        <v>4366</v>
      </c>
      <c r="AH88" s="3439"/>
      <c r="AI88" s="1961"/>
      <c r="AJ88" s="1984">
        <f>ROUND(SUM(+AD88-AG88),1)</f>
        <v>1354.4</v>
      </c>
      <c r="AK88" s="2533"/>
      <c r="AL88" s="1708">
        <f>ROUND(IF(AG88=0,0,AJ88/ABS(AG88)),3)</f>
        <v>0.31</v>
      </c>
      <c r="AR88" s="1975"/>
      <c r="AS88" s="2539"/>
    </row>
    <row r="89" spans="1:45" s="2168" customFormat="1" ht="15" customHeight="1">
      <c r="A89" s="2439"/>
      <c r="B89" s="2538" t="s">
        <v>25</v>
      </c>
      <c r="C89" s="2439"/>
      <c r="D89" s="2016">
        <f>'Exhibit G State'!D89+'Exhibit G Federal'!D61</f>
        <v>0.4</v>
      </c>
      <c r="E89" s="2525"/>
      <c r="F89" s="2016">
        <f>'Exhibit G State'!F89+'Exhibit G Federal'!F61</f>
        <v>0.30000000000000004</v>
      </c>
      <c r="G89" s="2525"/>
      <c r="H89" s="2016">
        <f>'Exhibit G State'!H89+'Exhibit G Federal'!H61</f>
        <v>0.10000000000000006</v>
      </c>
      <c r="I89" s="2503"/>
      <c r="J89" s="2016">
        <f>'Exhibit G State'!J89+'Exhibit G Federal'!J61</f>
        <v>0.6</v>
      </c>
      <c r="K89" s="2515"/>
      <c r="L89" s="2016">
        <f>'Exhibit G State'!L89+'Exhibit G Federal'!L61</f>
        <v>0.79999999999999993</v>
      </c>
      <c r="M89" s="2515"/>
      <c r="N89" s="2016">
        <f>'Exhibit G State'!N89+'Exhibit G Federal'!N61</f>
        <v>0.19999999999999996</v>
      </c>
      <c r="O89" s="2515"/>
      <c r="P89" s="2016"/>
      <c r="Q89" s="2515"/>
      <c r="R89" s="2016"/>
      <c r="S89" s="2515"/>
      <c r="T89" s="2016"/>
      <c r="U89" s="2515"/>
      <c r="V89" s="2016"/>
      <c r="W89" s="2515"/>
      <c r="X89" s="2016"/>
      <c r="Y89" s="2515"/>
      <c r="Z89" s="2016"/>
      <c r="AA89" s="2016"/>
      <c r="AB89" s="1979">
        <v>0</v>
      </c>
      <c r="AC89" s="2023"/>
      <c r="AD89" s="1979">
        <f>ROUND(SUM(D89:Z89),1)</f>
        <v>2.4</v>
      </c>
      <c r="AE89" s="1979"/>
      <c r="AF89" s="2023"/>
      <c r="AG89" s="2016">
        <f>'Exhibit G State'!AG89+'Exhibit G Federal'!AG61</f>
        <v>1.2</v>
      </c>
      <c r="AH89" s="3439"/>
      <c r="AI89" s="1961"/>
      <c r="AJ89" s="1984">
        <f>ROUND(SUM(+AD89-AG89),1)</f>
        <v>1.2</v>
      </c>
      <c r="AK89" s="2533"/>
      <c r="AL89" s="1713">
        <f>ROUND(IF(AG89=0,1,AJ89/ABS(AG89)),3)</f>
        <v>1</v>
      </c>
      <c r="AR89" s="2539"/>
      <c r="AS89" s="2539"/>
    </row>
    <row r="90" spans="1:45" s="2168" customFormat="1" ht="15" customHeight="1">
      <c r="A90" s="2439"/>
      <c r="B90" s="2538" t="s">
        <v>26</v>
      </c>
      <c r="C90" s="2439"/>
      <c r="D90" s="2016">
        <f>'Exhibit G State'!D90+'Exhibit G Federal'!D62</f>
        <v>21.299999999999997</v>
      </c>
      <c r="E90" s="2525"/>
      <c r="F90" s="2016">
        <f>'Exhibit G State'!F90+'Exhibit G Federal'!F62</f>
        <v>39.900000000000006</v>
      </c>
      <c r="G90" s="2525"/>
      <c r="H90" s="2016">
        <f>'Exhibit G State'!H90+'Exhibit G Federal'!H62</f>
        <v>15.699999999999996</v>
      </c>
      <c r="I90" s="2503"/>
      <c r="J90" s="2016">
        <f>'Exhibit G State'!J90+'Exhibit G Federal'!J62</f>
        <v>455.20000000000005</v>
      </c>
      <c r="K90" s="2515"/>
      <c r="L90" s="2016">
        <f>'Exhibit G State'!L90+'Exhibit G Federal'!L62</f>
        <v>35.79999999999999</v>
      </c>
      <c r="M90" s="2515"/>
      <c r="N90" s="2016">
        <f>'Exhibit G State'!N90+'Exhibit G Federal'!N62</f>
        <v>25.999999999999972</v>
      </c>
      <c r="O90" s="2515"/>
      <c r="P90" s="2016"/>
      <c r="Q90" s="2515"/>
      <c r="R90" s="2016"/>
      <c r="S90" s="2515"/>
      <c r="T90" s="2016"/>
      <c r="U90" s="2515"/>
      <c r="V90" s="2016"/>
      <c r="W90" s="2515"/>
      <c r="X90" s="2016"/>
      <c r="Y90" s="2515"/>
      <c r="Z90" s="2016"/>
      <c r="AA90" s="2016"/>
      <c r="AB90" s="1979">
        <v>0</v>
      </c>
      <c r="AC90" s="2023"/>
      <c r="AD90" s="1979">
        <f>ROUND(SUM(D90:Z90),1)</f>
        <v>593.9</v>
      </c>
      <c r="AE90" s="1979"/>
      <c r="AF90" s="2023"/>
      <c r="AG90" s="2016">
        <f>'Exhibit G State'!AG90+'Exhibit G Federal'!AG62</f>
        <v>3951.1000000000004</v>
      </c>
      <c r="AH90" s="3439"/>
      <c r="AI90" s="1961"/>
      <c r="AJ90" s="1984">
        <f>ROUND(SUM(+AD90-AG90),1)</f>
        <v>-3357.2</v>
      </c>
      <c r="AK90" s="2533"/>
      <c r="AL90" s="3740">
        <f>ROUND(IF(AG90=0,0,AJ90/ABS(AG90)),3)</f>
        <v>-0.85</v>
      </c>
      <c r="AR90" s="2539"/>
      <c r="AS90" s="2539"/>
    </row>
    <row r="91" spans="1:45" s="2168" customFormat="1" ht="15" customHeight="1">
      <c r="A91" s="2439"/>
      <c r="B91" s="2538" t="s">
        <v>27</v>
      </c>
      <c r="C91" s="2439"/>
      <c r="D91" s="1961"/>
      <c r="E91" s="2503"/>
      <c r="F91" s="1961"/>
      <c r="G91" s="2503"/>
      <c r="H91" s="1961"/>
      <c r="I91" s="2503"/>
      <c r="J91" s="1961"/>
      <c r="K91" s="2515"/>
      <c r="L91" s="1961"/>
      <c r="M91" s="2515"/>
      <c r="N91" s="1961"/>
      <c r="O91" s="2515"/>
      <c r="P91" s="1961"/>
      <c r="Q91" s="2515"/>
      <c r="R91" s="1961"/>
      <c r="S91" s="2515"/>
      <c r="T91" s="1961"/>
      <c r="U91" s="2515"/>
      <c r="V91" s="1961"/>
      <c r="W91" s="2515"/>
      <c r="X91" s="1961"/>
      <c r="Y91" s="2515"/>
      <c r="Z91" s="1961"/>
      <c r="AA91" s="1961"/>
      <c r="AB91" s="1979"/>
      <c r="AC91" s="2023"/>
      <c r="AD91" s="1979"/>
      <c r="AE91" s="1979"/>
      <c r="AF91" s="2023"/>
      <c r="AG91" s="1961"/>
      <c r="AH91" s="3439"/>
      <c r="AI91" s="1961"/>
      <c r="AJ91" s="1984" t="s">
        <v>14</v>
      </c>
      <c r="AK91" s="2540" t="s">
        <v>14</v>
      </c>
      <c r="AL91" s="1434" t="s">
        <v>14</v>
      </c>
      <c r="AR91" s="1975"/>
      <c r="AS91" s="1975"/>
    </row>
    <row r="92" spans="1:45" s="2168" customFormat="1" ht="15" customHeight="1">
      <c r="A92" s="2439"/>
      <c r="B92" s="2541" t="s">
        <v>28</v>
      </c>
      <c r="C92" s="2439"/>
      <c r="D92" s="2016">
        <f>'Exhibit G State'!D92+'Exhibit G Federal'!D64</f>
        <v>3758.1</v>
      </c>
      <c r="E92" s="2525"/>
      <c r="F92" s="2016">
        <f>'Exhibit G State'!F92+'Exhibit G Federal'!F64</f>
        <v>4201.8999999999996</v>
      </c>
      <c r="G92" s="2525"/>
      <c r="H92" s="2016">
        <f>'Exhibit G State'!H92+'Exhibit G Federal'!H64</f>
        <v>4750.7000000000007</v>
      </c>
      <c r="I92" s="2503"/>
      <c r="J92" s="2016">
        <f>'Exhibit G State'!J92+'Exhibit G Federal'!J64</f>
        <v>3703.3999999999983</v>
      </c>
      <c r="K92" s="2515"/>
      <c r="L92" s="2016">
        <f>'Exhibit G State'!L92+'Exhibit G Federal'!L64</f>
        <v>4444.2000000000007</v>
      </c>
      <c r="M92" s="2515"/>
      <c r="N92" s="2016">
        <f>'Exhibit G State'!N92+'Exhibit G Federal'!N64</f>
        <v>4182.7999999999993</v>
      </c>
      <c r="O92" s="2515"/>
      <c r="P92" s="2016"/>
      <c r="Q92" s="2515"/>
      <c r="R92" s="2016"/>
      <c r="S92" s="2515"/>
      <c r="T92" s="2016"/>
      <c r="U92" s="2515"/>
      <c r="V92" s="2016"/>
      <c r="W92" s="2515"/>
      <c r="X92" s="2016"/>
      <c r="Y92" s="2515"/>
      <c r="Z92" s="2016"/>
      <c r="AA92" s="2016"/>
      <c r="AB92" s="1979">
        <v>0</v>
      </c>
      <c r="AC92" s="2023"/>
      <c r="AD92" s="1979">
        <f t="shared" ref="AD92:AD97" si="18">ROUND(SUM(D92:Z92),1)</f>
        <v>25041.1</v>
      </c>
      <c r="AE92" s="1979"/>
      <c r="AF92" s="2023"/>
      <c r="AG92" s="2016">
        <f>'Exhibit G State'!AG92+'Exhibit G Federal'!AG64</f>
        <v>26000.399999999998</v>
      </c>
      <c r="AH92" s="3439"/>
      <c r="AI92" s="1961"/>
      <c r="AJ92" s="1984">
        <f t="shared" ref="AJ92:AJ97" si="19">ROUND(SUM(+AD92-AG92),1)</f>
        <v>-959.3</v>
      </c>
      <c r="AK92" s="2533"/>
      <c r="AL92" s="1708">
        <f>ROUND(IF(AG92=0,0,AJ92/ABS(AG92)),3)</f>
        <v>-3.6999999999999998E-2</v>
      </c>
      <c r="AR92" s="1975"/>
      <c r="AS92" s="1975"/>
    </row>
    <row r="93" spans="1:45" s="2168" customFormat="1" ht="15" customHeight="1">
      <c r="A93" s="2439"/>
      <c r="B93" s="2538" t="s">
        <v>29</v>
      </c>
      <c r="C93" s="2439"/>
      <c r="D93" s="2016">
        <f>'Exhibit G State'!D93+'Exhibit G Federal'!D65</f>
        <v>558.9</v>
      </c>
      <c r="E93" s="2525"/>
      <c r="F93" s="2016">
        <f>'Exhibit G State'!F93+'Exhibit G Federal'!F65</f>
        <v>556.9</v>
      </c>
      <c r="G93" s="2525"/>
      <c r="H93" s="2016">
        <f>'Exhibit G State'!H93+'Exhibit G Federal'!H65</f>
        <v>913.70000000000016</v>
      </c>
      <c r="I93" s="2503"/>
      <c r="J93" s="2016">
        <f>'Exhibit G State'!J93+'Exhibit G Federal'!J65</f>
        <v>708</v>
      </c>
      <c r="K93" s="2515"/>
      <c r="L93" s="2016">
        <f>'Exhibit G State'!L93+'Exhibit G Federal'!L65</f>
        <v>758.09999999999991</v>
      </c>
      <c r="M93" s="2515"/>
      <c r="N93" s="2016">
        <f>'Exhibit G State'!N93+'Exhibit G Federal'!N65</f>
        <v>864.30000000000041</v>
      </c>
      <c r="O93" s="2515"/>
      <c r="P93" s="2016"/>
      <c r="Q93" s="2515"/>
      <c r="R93" s="2016"/>
      <c r="S93" s="2515"/>
      <c r="T93" s="2016"/>
      <c r="U93" s="2515"/>
      <c r="V93" s="2016"/>
      <c r="W93" s="2515"/>
      <c r="X93" s="2016"/>
      <c r="Y93" s="2515"/>
      <c r="Z93" s="2016"/>
      <c r="AA93" s="2016"/>
      <c r="AB93" s="1979">
        <v>0</v>
      </c>
      <c r="AC93" s="2023"/>
      <c r="AD93" s="1979">
        <f t="shared" si="18"/>
        <v>4359.8999999999996</v>
      </c>
      <c r="AE93" s="1979"/>
      <c r="AF93" s="2023"/>
      <c r="AG93" s="2016">
        <f>'Exhibit G State'!AG93+'Exhibit G Federal'!AG65</f>
        <v>3666.8</v>
      </c>
      <c r="AH93" s="3439"/>
      <c r="AI93" s="1961"/>
      <c r="AJ93" s="1984">
        <f t="shared" si="19"/>
        <v>693.1</v>
      </c>
      <c r="AK93" s="2533"/>
      <c r="AL93" s="1708">
        <f t="shared" ref="AL93:AL97" si="20">ROUND(IF(AG93=0,0,AJ93/ABS(AG93)),3)</f>
        <v>0.189</v>
      </c>
      <c r="AR93" s="1975"/>
      <c r="AS93" s="1975"/>
    </row>
    <row r="94" spans="1:45" s="2168" customFormat="1" ht="15" customHeight="1">
      <c r="A94" s="2439"/>
      <c r="B94" s="2538" t="s">
        <v>30</v>
      </c>
      <c r="C94" s="2439"/>
      <c r="D94" s="2016">
        <f>'Exhibit G State'!D94+'Exhibit G Federal'!D66</f>
        <v>123.2</v>
      </c>
      <c r="E94" s="2525"/>
      <c r="F94" s="2016">
        <f>'Exhibit G State'!F94+'Exhibit G Federal'!F66</f>
        <v>108</v>
      </c>
      <c r="G94" s="2525"/>
      <c r="H94" s="2016">
        <f>'Exhibit G State'!H94+'Exhibit G Federal'!H66</f>
        <v>158.60000000000002</v>
      </c>
      <c r="I94" s="2503"/>
      <c r="J94" s="2016">
        <f>'Exhibit G State'!J94+'Exhibit G Federal'!J66</f>
        <v>208.70000000000002</v>
      </c>
      <c r="K94" s="2515"/>
      <c r="L94" s="2016">
        <f>'Exhibit G State'!L94+'Exhibit G Federal'!L66</f>
        <v>85.300000000000011</v>
      </c>
      <c r="M94" s="2515"/>
      <c r="N94" s="2016">
        <f>'Exhibit G State'!N94+'Exhibit G Federal'!N66</f>
        <v>205.2</v>
      </c>
      <c r="O94" s="2515"/>
      <c r="P94" s="2016"/>
      <c r="Q94" s="2515"/>
      <c r="R94" s="2016"/>
      <c r="S94" s="2515"/>
      <c r="T94" s="2016"/>
      <c r="U94" s="2515"/>
      <c r="V94" s="2016"/>
      <c r="W94" s="2515"/>
      <c r="X94" s="2016"/>
      <c r="Y94" s="2515"/>
      <c r="Z94" s="2016"/>
      <c r="AA94" s="2016"/>
      <c r="AB94" s="1979">
        <v>0</v>
      </c>
      <c r="AC94" s="2023"/>
      <c r="AD94" s="1979">
        <f t="shared" si="18"/>
        <v>889</v>
      </c>
      <c r="AE94" s="1979"/>
      <c r="AF94" s="2023"/>
      <c r="AG94" s="2016">
        <f>'Exhibit G State'!AG94+'Exhibit G Federal'!AG66</f>
        <v>773.80000000000007</v>
      </c>
      <c r="AH94" s="3439"/>
      <c r="AI94" s="1961"/>
      <c r="AJ94" s="1984">
        <f t="shared" si="19"/>
        <v>115.2</v>
      </c>
      <c r="AK94" s="2533"/>
      <c r="AL94" s="1708">
        <f t="shared" si="20"/>
        <v>0.14899999999999999</v>
      </c>
      <c r="AR94" s="1975"/>
      <c r="AS94" s="1975"/>
    </row>
    <row r="95" spans="1:45" s="2168" customFormat="1" ht="15" customHeight="1">
      <c r="A95" s="2439"/>
      <c r="B95" s="2538" t="s">
        <v>31</v>
      </c>
      <c r="C95" s="2439"/>
      <c r="D95" s="2016">
        <f>'Exhibit G State'!D95+'Exhibit G Federal'!D67</f>
        <v>158.69999999999999</v>
      </c>
      <c r="E95" s="2525"/>
      <c r="F95" s="2016">
        <f>'Exhibit G State'!F95+'Exhibit G Federal'!F67</f>
        <v>200.59999999999997</v>
      </c>
      <c r="G95" s="2525"/>
      <c r="H95" s="2016">
        <f>'Exhibit G State'!H95+'Exhibit G Federal'!H67</f>
        <v>496.6</v>
      </c>
      <c r="I95" s="2503"/>
      <c r="J95" s="2016">
        <f>'Exhibit G State'!J95+'Exhibit G Federal'!J67</f>
        <v>632.0999999999998</v>
      </c>
      <c r="K95" s="2515"/>
      <c r="L95" s="2016">
        <f>'Exhibit G State'!L95+'Exhibit G Federal'!L67</f>
        <v>691.00000000000034</v>
      </c>
      <c r="M95" s="2515"/>
      <c r="N95" s="2016">
        <f>'Exhibit G State'!N95+'Exhibit G Federal'!N67</f>
        <v>1389.6000000000001</v>
      </c>
      <c r="O95" s="2515"/>
      <c r="P95" s="2016"/>
      <c r="Q95" s="2515"/>
      <c r="R95" s="2016"/>
      <c r="S95" s="2515"/>
      <c r="T95" s="2016"/>
      <c r="U95" s="2515"/>
      <c r="V95" s="2016"/>
      <c r="W95" s="2515"/>
      <c r="X95" s="2016"/>
      <c r="Y95" s="2515"/>
      <c r="Z95" s="2016"/>
      <c r="AA95" s="2016"/>
      <c r="AB95" s="1979">
        <v>0</v>
      </c>
      <c r="AC95" s="2023"/>
      <c r="AD95" s="1979">
        <f t="shared" si="18"/>
        <v>3568.6</v>
      </c>
      <c r="AE95" s="1979"/>
      <c r="AF95" s="2023"/>
      <c r="AG95" s="2016">
        <f>'Exhibit G State'!AG95+'Exhibit G Federal'!AG67</f>
        <v>1820.3</v>
      </c>
      <c r="AH95" s="3439"/>
      <c r="AI95" s="1961"/>
      <c r="AJ95" s="1984">
        <f t="shared" si="19"/>
        <v>1748.3</v>
      </c>
      <c r="AK95" s="2533"/>
      <c r="AL95" s="1708">
        <f t="shared" si="20"/>
        <v>0.96</v>
      </c>
      <c r="AR95" s="1975"/>
      <c r="AS95" s="1975"/>
    </row>
    <row r="96" spans="1:45" s="2168" customFormat="1" ht="15" customHeight="1">
      <c r="A96" s="2439"/>
      <c r="B96" s="2538" t="s">
        <v>32</v>
      </c>
      <c r="C96" s="2439"/>
      <c r="D96" s="2016">
        <f>'Exhibit G State'!D96+'Exhibit G Federal'!D68</f>
        <v>0.5</v>
      </c>
      <c r="E96" s="2525"/>
      <c r="F96" s="2016">
        <f>'Exhibit G State'!F96+'Exhibit G Federal'!F68</f>
        <v>2.2000000000000002</v>
      </c>
      <c r="G96" s="2525"/>
      <c r="H96" s="2016">
        <f>'Exhibit G State'!H96+'Exhibit G Federal'!H68</f>
        <v>1.7999999999999998</v>
      </c>
      <c r="I96" s="2503"/>
      <c r="J96" s="2016">
        <f>'Exhibit G State'!J96+'Exhibit G Federal'!J68</f>
        <v>3.5999999999999996</v>
      </c>
      <c r="K96" s="2515"/>
      <c r="L96" s="2016">
        <f>'Exhibit G State'!L96+'Exhibit G Federal'!L68</f>
        <v>5.3000000000000007</v>
      </c>
      <c r="M96" s="2515"/>
      <c r="N96" s="2016">
        <f>'Exhibit G State'!N96+'Exhibit G Federal'!N68</f>
        <v>14.9</v>
      </c>
      <c r="O96" s="2515"/>
      <c r="P96" s="2016"/>
      <c r="Q96" s="2515"/>
      <c r="R96" s="2016"/>
      <c r="S96" s="2515"/>
      <c r="T96" s="2016"/>
      <c r="U96" s="2515"/>
      <c r="V96" s="2016"/>
      <c r="W96" s="2515"/>
      <c r="X96" s="2016"/>
      <c r="Y96" s="2515"/>
      <c r="Z96" s="2016"/>
      <c r="AA96" s="2016"/>
      <c r="AB96" s="1979">
        <v>0</v>
      </c>
      <c r="AC96" s="2023"/>
      <c r="AD96" s="1979">
        <f t="shared" si="18"/>
        <v>28.3</v>
      </c>
      <c r="AE96" s="1979"/>
      <c r="AF96" s="2023"/>
      <c r="AG96" s="2016">
        <f>'Exhibit G State'!AG96+'Exhibit G Federal'!AG68</f>
        <v>22.4</v>
      </c>
      <c r="AH96" s="3439"/>
      <c r="AI96" s="1961"/>
      <c r="AJ96" s="1984">
        <f t="shared" si="19"/>
        <v>5.9</v>
      </c>
      <c r="AK96" s="2533"/>
      <c r="AL96" s="1713">
        <f>ROUND(IF(AG96=0,0,AJ96/ABS(AG96)),3)</f>
        <v>0.26300000000000001</v>
      </c>
      <c r="AR96" s="2539"/>
      <c r="AS96" s="2539"/>
    </row>
    <row r="97" spans="1:46" s="2168" customFormat="1" ht="15" customHeight="1">
      <c r="A97" s="2439"/>
      <c r="B97" s="2538" t="s">
        <v>33</v>
      </c>
      <c r="C97" s="2439"/>
      <c r="D97" s="2016">
        <f>'Exhibit G State'!D97+'Exhibit G Federal'!D69</f>
        <v>201.4</v>
      </c>
      <c r="E97" s="2525"/>
      <c r="F97" s="2016">
        <f>'Exhibit G State'!F97+'Exhibit G Federal'!F69</f>
        <v>411.19999999999993</v>
      </c>
      <c r="G97" s="2525"/>
      <c r="H97" s="2016">
        <f>'Exhibit G State'!H97+'Exhibit G Federal'!H69</f>
        <v>287.40000000000009</v>
      </c>
      <c r="I97" s="2503"/>
      <c r="J97" s="2016">
        <f>'Exhibit G State'!J97+'Exhibit G Federal'!J69</f>
        <v>303.19999999999993</v>
      </c>
      <c r="K97" s="2515"/>
      <c r="L97" s="2016">
        <f>'Exhibit G State'!L97+'Exhibit G Federal'!L69</f>
        <v>415.49999999999994</v>
      </c>
      <c r="M97" s="2515"/>
      <c r="N97" s="2016">
        <f>'Exhibit G State'!N97+'Exhibit G Federal'!N69</f>
        <v>277.50000000000028</v>
      </c>
      <c r="O97" s="2515"/>
      <c r="P97" s="2016"/>
      <c r="Q97" s="2515"/>
      <c r="R97" s="2016"/>
      <c r="S97" s="2515"/>
      <c r="T97" s="2016"/>
      <c r="U97" s="2515"/>
      <c r="V97" s="2016"/>
      <c r="W97" s="2515"/>
      <c r="X97" s="2016"/>
      <c r="Y97" s="2515"/>
      <c r="Z97" s="2016"/>
      <c r="AA97" s="2016"/>
      <c r="AB97" s="1979">
        <v>0</v>
      </c>
      <c r="AC97" s="2023"/>
      <c r="AD97" s="1961">
        <f t="shared" si="18"/>
        <v>1896.2</v>
      </c>
      <c r="AE97" s="1979"/>
      <c r="AF97" s="2023"/>
      <c r="AG97" s="2016">
        <f>'Exhibit G State'!AG97+'Exhibit G Federal'!AG69</f>
        <v>1438.9</v>
      </c>
      <c r="AH97" s="3439"/>
      <c r="AI97" s="1961"/>
      <c r="AJ97" s="2025">
        <f t="shared" si="19"/>
        <v>457.3</v>
      </c>
      <c r="AK97" s="2533"/>
      <c r="AL97" s="1796">
        <f t="shared" si="20"/>
        <v>0.318</v>
      </c>
      <c r="AM97" s="2542"/>
      <c r="AR97" s="2002"/>
      <c r="AS97" s="2002"/>
      <c r="AT97" s="2167"/>
    </row>
    <row r="98" spans="1:46" ht="15" customHeight="1">
      <c r="A98" s="2028"/>
      <c r="B98" s="2401" t="s">
        <v>1089</v>
      </c>
      <c r="C98" s="2028"/>
      <c r="D98" s="2017">
        <f>ROUND(SUM(D88:D97),1)</f>
        <v>5096.2</v>
      </c>
      <c r="F98" s="2017">
        <f>ROUND(SUM(F88:F97),1)</f>
        <v>5999.2</v>
      </c>
      <c r="H98" s="2448">
        <f>ROUND(SUM(H88:H97),1)</f>
        <v>7820</v>
      </c>
      <c r="J98" s="2448">
        <f>ROUND(SUM(J88:J97),1)</f>
        <v>6398.8</v>
      </c>
      <c r="L98" s="2017">
        <f t="shared" ref="L98:V98" si="21">ROUND(SUM(L88:L97),1)</f>
        <v>7120.6</v>
      </c>
      <c r="N98" s="2017">
        <f t="shared" ref="N98:P98" si="22">ROUND(SUM(N88:N97),1)</f>
        <v>9665</v>
      </c>
      <c r="P98" s="2017">
        <f t="shared" si="22"/>
        <v>0</v>
      </c>
      <c r="R98" s="2017">
        <f t="shared" ref="R98" si="23">ROUND(SUM(R88:R97),1)</f>
        <v>0</v>
      </c>
      <c r="T98" s="2001">
        <f t="shared" si="21"/>
        <v>0</v>
      </c>
      <c r="V98" s="2017">
        <f t="shared" si="21"/>
        <v>0</v>
      </c>
      <c r="X98" s="2017">
        <f t="shared" ref="X98:Z98" si="24">ROUND(SUM(X88:X97),1)</f>
        <v>0</v>
      </c>
      <c r="Z98" s="2017">
        <f t="shared" si="24"/>
        <v>0</v>
      </c>
      <c r="AA98" s="1430"/>
      <c r="AB98" s="2017">
        <f>ROUND(SUM(AB88:AB97),1)</f>
        <v>0</v>
      </c>
      <c r="AC98" s="2024"/>
      <c r="AD98" s="2001">
        <f>ROUND(SUM(AD88:AD97),1)</f>
        <v>42099.8</v>
      </c>
      <c r="AE98" s="2034"/>
      <c r="AF98" s="2527"/>
      <c r="AG98" s="2001">
        <f>ROUND(SUM(AG88:AG97),1)</f>
        <v>42040.9</v>
      </c>
      <c r="AH98" s="3442"/>
      <c r="AI98" s="1430"/>
      <c r="AJ98" s="2017">
        <f>ROUND(SUM(AJ88:AJ97),1)</f>
        <v>58.9</v>
      </c>
      <c r="AK98" s="2037"/>
      <c r="AL98" s="1422">
        <f>ROUND(SUM(+AJ98/AG98),3)</f>
        <v>1E-3</v>
      </c>
      <c r="AR98" s="2005"/>
      <c r="AS98" s="2002"/>
      <c r="AT98" s="2005"/>
    </row>
    <row r="99" spans="1:46" s="2168" customFormat="1" ht="15" customHeight="1">
      <c r="A99" s="2439"/>
      <c r="B99" s="2439" t="s">
        <v>168</v>
      </c>
      <c r="C99" s="2439"/>
      <c r="D99" s="1979"/>
      <c r="E99" s="2503"/>
      <c r="F99" s="1979"/>
      <c r="G99" s="2503"/>
      <c r="H99" s="1429"/>
      <c r="I99" s="2503"/>
      <c r="J99" s="1429"/>
      <c r="K99" s="2515"/>
      <c r="L99" s="1979"/>
      <c r="M99" s="2515"/>
      <c r="N99" s="1979"/>
      <c r="O99" s="2515"/>
      <c r="P99" s="1979"/>
      <c r="Q99" s="2515"/>
      <c r="R99" s="1979"/>
      <c r="S99" s="2515"/>
      <c r="T99" s="1979"/>
      <c r="U99" s="2515"/>
      <c r="V99" s="1979"/>
      <c r="W99" s="2515"/>
      <c r="X99" s="1979"/>
      <c r="Y99" s="2515"/>
      <c r="Z99" s="1979"/>
      <c r="AA99" s="1979"/>
      <c r="AB99" s="1979"/>
      <c r="AC99" s="2023"/>
      <c r="AD99" s="1979"/>
      <c r="AE99" s="1979"/>
      <c r="AF99" s="2023"/>
      <c r="AG99" s="1979"/>
      <c r="AH99" s="3439"/>
      <c r="AI99" s="1961"/>
      <c r="AJ99" s="1984"/>
      <c r="AL99" s="1802"/>
      <c r="AS99" s="1975"/>
    </row>
    <row r="100" spans="1:46" s="2168" customFormat="1" ht="15" customHeight="1">
      <c r="A100" s="2439"/>
      <c r="B100" s="2439" t="s">
        <v>152</v>
      </c>
      <c r="C100" s="2439"/>
      <c r="D100" s="2016">
        <f>'Exhibit G State'!D100+'Exhibit G Federal'!D72</f>
        <v>450.6</v>
      </c>
      <c r="E100" s="2525"/>
      <c r="F100" s="2016">
        <f>'Exhibit G State'!F100+'Exhibit G Federal'!F72</f>
        <v>456.9</v>
      </c>
      <c r="G100" s="2525"/>
      <c r="H100" s="2016">
        <f>'Exhibit G State'!H100+'Exhibit G Federal'!H72</f>
        <v>785.30000000000007</v>
      </c>
      <c r="I100" s="2503"/>
      <c r="J100" s="2016">
        <f>'Exhibit G State'!J100+'Exhibit G Federal'!J72</f>
        <v>473.5</v>
      </c>
      <c r="K100" s="2515"/>
      <c r="L100" s="2016">
        <f>'Exhibit G State'!L100+'Exhibit G Federal'!L72</f>
        <v>439.90000000000009</v>
      </c>
      <c r="M100" s="2515"/>
      <c r="N100" s="2016">
        <f>'Exhibit G State'!N100+'Exhibit G Federal'!N72</f>
        <v>666.10000000000014</v>
      </c>
      <c r="O100" s="2515"/>
      <c r="P100" s="2016"/>
      <c r="Q100" s="2515"/>
      <c r="R100" s="2016"/>
      <c r="S100" s="2515"/>
      <c r="T100" s="2016"/>
      <c r="U100" s="2515"/>
      <c r="V100" s="2016"/>
      <c r="W100" s="2515"/>
      <c r="X100" s="2016"/>
      <c r="Y100" s="2515"/>
      <c r="Z100" s="2016"/>
      <c r="AA100" s="2016"/>
      <c r="AB100" s="1979">
        <v>0</v>
      </c>
      <c r="AC100" s="2023"/>
      <c r="AD100" s="1979">
        <f>ROUND(SUM(D100:Z100),1)</f>
        <v>3272.3</v>
      </c>
      <c r="AE100" s="1979"/>
      <c r="AF100" s="2023"/>
      <c r="AG100" s="2016">
        <f>'Exhibit G State'!AG100+'Exhibit G Federal'!AG72</f>
        <v>3294.1000000000004</v>
      </c>
      <c r="AH100" s="3439"/>
      <c r="AI100" s="1961"/>
      <c r="AJ100" s="1984">
        <f>ROUND(SUM(+AD100-AG100),1)</f>
        <v>-21.8</v>
      </c>
      <c r="AK100" s="2523"/>
      <c r="AL100" s="1708">
        <f>ROUND(IF(AG100=0,0,AJ100/ABS(AG100)),3)</f>
        <v>-7.0000000000000001E-3</v>
      </c>
    </row>
    <row r="101" spans="1:46" s="2168" customFormat="1" ht="15" customHeight="1">
      <c r="A101" s="2439"/>
      <c r="B101" s="2439" t="s">
        <v>169</v>
      </c>
      <c r="C101" s="2439"/>
      <c r="D101" s="2016">
        <f>'Exhibit G State'!D101+'Exhibit G Federal'!D73</f>
        <v>382.5</v>
      </c>
      <c r="E101" s="2525"/>
      <c r="F101" s="2016">
        <f>'Exhibit G State'!F101+'Exhibit G Federal'!F73</f>
        <v>339.6</v>
      </c>
      <c r="G101" s="2525"/>
      <c r="H101" s="2016">
        <f>'Exhibit G State'!H101+'Exhibit G Federal'!H73</f>
        <v>681.9</v>
      </c>
      <c r="I101" s="2503"/>
      <c r="J101" s="2016">
        <f>'Exhibit G State'!J101+'Exhibit G Federal'!J73</f>
        <v>382.4</v>
      </c>
      <c r="K101" s="2515"/>
      <c r="L101" s="2016">
        <f>'Exhibit G State'!L101+'Exhibit G Federal'!L73</f>
        <v>478.70000000000016</v>
      </c>
      <c r="M101" s="2515"/>
      <c r="N101" s="2016">
        <f>'Exhibit G State'!N101+'Exhibit G Federal'!N73</f>
        <v>440.29999999999995</v>
      </c>
      <c r="O101" s="2515"/>
      <c r="P101" s="2016"/>
      <c r="Q101" s="2515"/>
      <c r="R101" s="2016"/>
      <c r="S101" s="2515"/>
      <c r="T101" s="2016"/>
      <c r="U101" s="2515"/>
      <c r="V101" s="2016"/>
      <c r="W101" s="2515"/>
      <c r="X101" s="2016"/>
      <c r="Y101" s="2515"/>
      <c r="Z101" s="2016"/>
      <c r="AA101" s="2016"/>
      <c r="AB101" s="1979">
        <v>0</v>
      </c>
      <c r="AC101" s="2023"/>
      <c r="AD101" s="1979">
        <f>ROUND(SUM(D101:Z101),1)</f>
        <v>2705.4</v>
      </c>
      <c r="AE101" s="1979"/>
      <c r="AF101" s="2023"/>
      <c r="AG101" s="2016">
        <f>'Exhibit G State'!AG101+'Exhibit G Federal'!AG73</f>
        <v>2765.8</v>
      </c>
      <c r="AH101" s="3439"/>
      <c r="AI101" s="1961"/>
      <c r="AJ101" s="1984">
        <f>ROUND(SUM(+AD101-AG101),1)</f>
        <v>-60.4</v>
      </c>
      <c r="AK101" s="2523"/>
      <c r="AL101" s="1708">
        <f>ROUND(IF(AG101=0,0,AJ101/ABS(AG101)),3)</f>
        <v>-2.1999999999999999E-2</v>
      </c>
    </row>
    <row r="102" spans="1:46" s="2168" customFormat="1" ht="15" customHeight="1">
      <c r="A102" s="2439"/>
      <c r="B102" s="2439" t="s">
        <v>170</v>
      </c>
      <c r="C102" s="2439"/>
      <c r="D102" s="2016">
        <f>'Exhibit G State'!D102+'Exhibit G Federal'!D74</f>
        <v>85.199999999999989</v>
      </c>
      <c r="E102" s="2525"/>
      <c r="F102" s="2016">
        <f>'Exhibit G State'!F102+'Exhibit G Federal'!F74</f>
        <v>90.4</v>
      </c>
      <c r="G102" s="2525"/>
      <c r="H102" s="2016">
        <f>'Exhibit G State'!H102+'Exhibit G Federal'!H74</f>
        <v>233</v>
      </c>
      <c r="I102" s="2503"/>
      <c r="J102" s="2016">
        <f>'Exhibit G State'!J102+'Exhibit G Federal'!J74</f>
        <v>226.6</v>
      </c>
      <c r="K102" s="2515"/>
      <c r="L102" s="2016">
        <f>'Exhibit G State'!L102+'Exhibit G Federal'!L74</f>
        <v>106.10000000000005</v>
      </c>
      <c r="M102" s="2515"/>
      <c r="N102" s="2016">
        <f>'Exhibit G State'!N102+'Exhibit G Federal'!N74</f>
        <v>119.99999999999997</v>
      </c>
      <c r="O102" s="2515"/>
      <c r="P102" s="2016"/>
      <c r="Q102" s="2515"/>
      <c r="R102" s="2016"/>
      <c r="S102" s="2515"/>
      <c r="T102" s="2016"/>
      <c r="U102" s="2515"/>
      <c r="V102" s="2016"/>
      <c r="W102" s="2515"/>
      <c r="X102" s="2016"/>
      <c r="Y102" s="2515"/>
      <c r="Z102" s="2016"/>
      <c r="AA102" s="2016"/>
      <c r="AB102" s="1979">
        <v>0</v>
      </c>
      <c r="AC102" s="2023"/>
      <c r="AD102" s="1979">
        <f>ROUND(SUM(D102:Z102),1)</f>
        <v>861.3</v>
      </c>
      <c r="AE102" s="1979"/>
      <c r="AF102" s="2023"/>
      <c r="AG102" s="2016">
        <f>'Exhibit G State'!AG102+'Exhibit G Federal'!AG74</f>
        <v>667.8</v>
      </c>
      <c r="AH102" s="3439"/>
      <c r="AI102" s="1961"/>
      <c r="AJ102" s="1984">
        <f>ROUND(SUM(+AD102-AG102),1)</f>
        <v>193.5</v>
      </c>
      <c r="AK102" s="2523"/>
      <c r="AL102" s="1708">
        <f>ROUND(IF(AG102=0,0,AJ102/ABS(AG102)),3)</f>
        <v>0.28999999999999998</v>
      </c>
    </row>
    <row r="103" spans="1:46" s="2168" customFormat="1" ht="15" customHeight="1">
      <c r="A103" s="2439"/>
      <c r="B103" s="3065" t="s">
        <v>1292</v>
      </c>
      <c r="C103" s="2439"/>
      <c r="D103" s="2016"/>
      <c r="E103" s="2525"/>
      <c r="F103" s="2016"/>
      <c r="G103" s="2525"/>
      <c r="H103" s="2016"/>
      <c r="I103" s="2503"/>
      <c r="J103" s="2016"/>
      <c r="K103" s="2515"/>
      <c r="L103" s="2016"/>
      <c r="M103" s="2515"/>
      <c r="N103" s="2016"/>
      <c r="O103" s="2515"/>
      <c r="P103" s="2016"/>
      <c r="Q103" s="2515"/>
      <c r="R103" s="2016"/>
      <c r="S103" s="2515"/>
      <c r="T103" s="2016"/>
      <c r="U103" s="2515"/>
      <c r="V103" s="2016"/>
      <c r="W103" s="2515"/>
      <c r="X103" s="2016"/>
      <c r="Y103" s="2515"/>
      <c r="Z103" s="2016"/>
      <c r="AA103" s="2016"/>
      <c r="AB103" s="1979"/>
      <c r="AC103" s="2023"/>
      <c r="AD103" s="1979"/>
      <c r="AE103" s="1979"/>
      <c r="AF103" s="2023"/>
      <c r="AG103" s="2016"/>
      <c r="AH103" s="3439"/>
      <c r="AI103" s="1961"/>
      <c r="AJ103" s="1984"/>
      <c r="AK103" s="2523"/>
      <c r="AL103" s="1708"/>
    </row>
    <row r="104" spans="1:46" s="2168" customFormat="1" ht="15" customHeight="1">
      <c r="A104" s="2439"/>
      <c r="B104" s="3065" t="s">
        <v>1400</v>
      </c>
      <c r="C104" s="2439"/>
      <c r="D104" s="2016">
        <f>'Exhibit G Federal'!D76</f>
        <v>0</v>
      </c>
      <c r="E104" s="2525"/>
      <c r="F104" s="2016">
        <f>'Exhibit G Federal'!F76</f>
        <v>0</v>
      </c>
      <c r="G104" s="2525"/>
      <c r="H104" s="2016">
        <f>'Exhibit G Federal'!H76</f>
        <v>42.3</v>
      </c>
      <c r="I104" s="2503"/>
      <c r="J104" s="2016">
        <f>'Exhibit G Federal'!J76</f>
        <v>0</v>
      </c>
      <c r="K104" s="2515"/>
      <c r="L104" s="2016">
        <f>'Exhibit G Federal'!L76</f>
        <v>0</v>
      </c>
      <c r="M104" s="2515"/>
      <c r="N104" s="2016">
        <f>'Exhibit G Federal'!N76</f>
        <v>0</v>
      </c>
      <c r="O104" s="2515"/>
      <c r="P104" s="2016"/>
      <c r="Q104" s="2515"/>
      <c r="R104" s="2016"/>
      <c r="S104" s="2515"/>
      <c r="T104" s="2016"/>
      <c r="U104" s="2515"/>
      <c r="V104" s="2016"/>
      <c r="W104" s="2515"/>
      <c r="X104" s="2016"/>
      <c r="Y104" s="2515"/>
      <c r="Z104" s="2016"/>
      <c r="AA104" s="2016"/>
      <c r="AB104" s="1979">
        <v>0</v>
      </c>
      <c r="AC104" s="2023"/>
      <c r="AD104" s="1979">
        <f>ROUND(SUM(D104:Z104),1)</f>
        <v>42.3</v>
      </c>
      <c r="AE104" s="1979"/>
      <c r="AF104" s="2023"/>
      <c r="AG104" s="2016">
        <f>'Exhibit G Federal'!AG76</f>
        <v>0</v>
      </c>
      <c r="AH104" s="3439"/>
      <c r="AI104" s="1961"/>
      <c r="AJ104" s="1984">
        <f>ROUND(SUM(+AD104-AG104),1)</f>
        <v>42.3</v>
      </c>
      <c r="AK104" s="2523"/>
      <c r="AL104" s="1708">
        <f>ROUND(IF(AG104=0,1,AJ104/ABS(AG104)),3)</f>
        <v>1</v>
      </c>
    </row>
    <row r="105" spans="1:46" s="2168" customFormat="1" ht="15" customHeight="1">
      <c r="A105" s="2439"/>
      <c r="B105" s="2439" t="s">
        <v>171</v>
      </c>
      <c r="C105" s="2439"/>
      <c r="D105" s="2016">
        <f>'Exhibit G State'!D103+'Exhibit G Federal'!D77</f>
        <v>0</v>
      </c>
      <c r="E105" s="2525"/>
      <c r="F105" s="2016">
        <f>'Exhibit G State'!F103+'Exhibit G Federal'!F77</f>
        <v>0</v>
      </c>
      <c r="G105" s="2525"/>
      <c r="H105" s="2016">
        <f>'Exhibit G State'!H103+'Exhibit G Federal'!H77</f>
        <v>0</v>
      </c>
      <c r="I105" s="2503"/>
      <c r="J105" s="2016">
        <f>'Exhibit G State'!J103+'Exhibit G Federal'!J77</f>
        <v>0</v>
      </c>
      <c r="K105" s="2515"/>
      <c r="L105" s="2016">
        <f>'Exhibit G State'!L103+'Exhibit G Federal'!L77</f>
        <v>0</v>
      </c>
      <c r="M105" s="2515"/>
      <c r="N105" s="2016">
        <f>'Exhibit G State'!N103+'Exhibit G Federal'!N77</f>
        <v>0</v>
      </c>
      <c r="O105" s="2515"/>
      <c r="P105" s="2016"/>
      <c r="Q105" s="2515"/>
      <c r="R105" s="2016"/>
      <c r="S105" s="2515"/>
      <c r="T105" s="2016"/>
      <c r="U105" s="2515"/>
      <c r="V105" s="2016"/>
      <c r="W105" s="2515"/>
      <c r="X105" s="2016"/>
      <c r="Y105" s="2515"/>
      <c r="Z105" s="2016"/>
      <c r="AA105" s="2016"/>
      <c r="AB105" s="2532">
        <v>0</v>
      </c>
      <c r="AC105" s="2023"/>
      <c r="AD105" s="1979">
        <f>ROUND(SUM(D105:Z105),1)</f>
        <v>0</v>
      </c>
      <c r="AE105" s="1979"/>
      <c r="AF105" s="2023"/>
      <c r="AG105" s="2016">
        <f>'Exhibit G State'!AG103+'Exhibit G Federal'!AG77</f>
        <v>2.2999999999999998</v>
      </c>
      <c r="AH105" s="3439"/>
      <c r="AI105" s="1961"/>
      <c r="AJ105" s="2025">
        <f>ROUND(SUM(+AD105-AG105),1)</f>
        <v>-2.2999999999999998</v>
      </c>
      <c r="AK105" s="2533"/>
      <c r="AL105" s="1708">
        <f>ROUND(IF(AG105=0,0,AJ105/ABS(AG105)),3)</f>
        <v>-1</v>
      </c>
    </row>
    <row r="106" spans="1:46" s="2168" customFormat="1" ht="15" customHeight="1">
      <c r="A106" s="2439"/>
      <c r="B106" s="2439"/>
      <c r="C106" s="2439"/>
      <c r="D106" s="2035"/>
      <c r="E106" s="2503"/>
      <c r="F106" s="2035"/>
      <c r="G106" s="2503"/>
      <c r="H106" s="2466"/>
      <c r="I106" s="2503"/>
      <c r="J106" s="2466"/>
      <c r="K106" s="2515"/>
      <c r="L106" s="2035"/>
      <c r="M106" s="2515"/>
      <c r="N106" s="2035"/>
      <c r="O106" s="2515"/>
      <c r="P106" s="2035"/>
      <c r="Q106" s="2515"/>
      <c r="R106" s="2035"/>
      <c r="S106" s="2515"/>
      <c r="T106" s="2035"/>
      <c r="U106" s="2515"/>
      <c r="V106" s="2035"/>
      <c r="W106" s="2515"/>
      <c r="X106" s="2035"/>
      <c r="Y106" s="2515"/>
      <c r="Z106" s="2035"/>
      <c r="AA106" s="1961"/>
      <c r="AB106" s="1979"/>
      <c r="AC106" s="2023"/>
      <c r="AD106" s="2035"/>
      <c r="AE106" s="1979"/>
      <c r="AF106" s="2023"/>
      <c r="AG106" s="2035"/>
      <c r="AH106" s="3439"/>
      <c r="AI106" s="1961"/>
      <c r="AJ106" s="2543"/>
      <c r="AL106" s="2544"/>
    </row>
    <row r="107" spans="1:46" s="2168" customFormat="1" ht="15" customHeight="1">
      <c r="A107" s="2439"/>
      <c r="B107" s="2526" t="s">
        <v>155</v>
      </c>
      <c r="C107" s="2439"/>
      <c r="D107" s="2034">
        <f>ROUND(SUM(D98:D105),1)</f>
        <v>6014.5</v>
      </c>
      <c r="E107" s="2503"/>
      <c r="F107" s="2034">
        <f>ROUND(SUM(F98:F105),1)</f>
        <v>6886.1</v>
      </c>
      <c r="G107" s="2503"/>
      <c r="H107" s="1447">
        <f>ROUND(SUM(H98:H105),1)</f>
        <v>9562.5</v>
      </c>
      <c r="I107" s="2503"/>
      <c r="J107" s="1447">
        <f>ROUND(SUM(J98:J105),1)</f>
        <v>7481.3</v>
      </c>
      <c r="K107" s="2515"/>
      <c r="L107" s="2034">
        <f t="shared" ref="L107:V107" si="25">ROUND(SUM(L98:L105),1)</f>
        <v>8145.3</v>
      </c>
      <c r="M107" s="2515"/>
      <c r="N107" s="2034">
        <f t="shared" ref="N107:P107" si="26">ROUND(SUM(N98:N105),1)</f>
        <v>10891.4</v>
      </c>
      <c r="O107" s="2515"/>
      <c r="P107" s="2034">
        <f t="shared" si="26"/>
        <v>0</v>
      </c>
      <c r="Q107" s="2515"/>
      <c r="R107" s="2034">
        <f t="shared" ref="R107" si="27">ROUND(SUM(R98:R105),1)</f>
        <v>0</v>
      </c>
      <c r="S107" s="2515"/>
      <c r="T107" s="2034">
        <f t="shared" si="25"/>
        <v>0</v>
      </c>
      <c r="U107" s="2515"/>
      <c r="V107" s="2034">
        <f t="shared" si="25"/>
        <v>0</v>
      </c>
      <c r="W107" s="2515"/>
      <c r="X107" s="2034">
        <f t="shared" ref="X107:Z107" si="28">ROUND(SUM(X98:X105),1)</f>
        <v>0</v>
      </c>
      <c r="Y107" s="2515"/>
      <c r="Z107" s="2034">
        <f t="shared" si="28"/>
        <v>0</v>
      </c>
      <c r="AA107" s="2034"/>
      <c r="AB107" s="2545">
        <v>0</v>
      </c>
      <c r="AC107" s="2527"/>
      <c r="AD107" s="2034">
        <f>ROUND(SUM(AD98:AD105),1)</f>
        <v>48981.1</v>
      </c>
      <c r="AE107" s="2034"/>
      <c r="AF107" s="2527"/>
      <c r="AG107" s="2034">
        <f>ROUND(SUM(AG98:AG105),1)</f>
        <v>48770.9</v>
      </c>
      <c r="AH107" s="3442"/>
      <c r="AI107" s="1448"/>
      <c r="AJ107" s="2038">
        <f>ROUND(SUM(AJ98:AJ105),1)</f>
        <v>210.2</v>
      </c>
      <c r="AK107" s="2411"/>
      <c r="AL107" s="2546">
        <f>ROUND(SUM(+AJ107/AG107),3)</f>
        <v>4.0000000000000001E-3</v>
      </c>
    </row>
    <row r="108" spans="1:46" ht="15" customHeight="1">
      <c r="A108" s="2028"/>
      <c r="B108" s="2028"/>
      <c r="C108" s="2028"/>
      <c r="D108" s="1989"/>
      <c r="F108" s="1989"/>
      <c r="H108" s="2466"/>
      <c r="J108" s="2466"/>
      <c r="L108" s="1989"/>
      <c r="N108" s="1989"/>
      <c r="P108" s="1989"/>
      <c r="R108" s="1989"/>
      <c r="T108" s="2035"/>
      <c r="V108" s="1989"/>
      <c r="X108" s="1989"/>
      <c r="Z108" s="1989"/>
      <c r="AA108" s="1991"/>
      <c r="AB108" s="1990"/>
      <c r="AC108" s="2021"/>
      <c r="AD108" s="2035"/>
      <c r="AE108" s="1979"/>
      <c r="AF108" s="2023"/>
      <c r="AG108" s="2035"/>
      <c r="AH108" s="3439"/>
      <c r="AI108" s="1991"/>
      <c r="AJ108" s="1429"/>
      <c r="AL108" s="1418"/>
    </row>
    <row r="109" spans="1:46" ht="15" customHeight="1">
      <c r="A109" s="2028"/>
      <c r="B109" s="2401" t="s">
        <v>156</v>
      </c>
      <c r="C109" s="2028"/>
      <c r="D109" s="1990"/>
      <c r="F109" s="1990"/>
      <c r="H109" s="1429"/>
      <c r="J109" s="1429"/>
      <c r="L109" s="1990"/>
      <c r="N109" s="1990"/>
      <c r="P109" s="1990"/>
      <c r="R109" s="1990"/>
      <c r="T109" s="1979"/>
      <c r="V109" s="1990"/>
      <c r="X109" s="1990"/>
      <c r="Z109" s="1990"/>
      <c r="AA109" s="1990"/>
      <c r="AB109" s="1990"/>
      <c r="AC109" s="2021"/>
      <c r="AD109" s="1979" t="s">
        <v>157</v>
      </c>
      <c r="AE109" s="3417"/>
      <c r="AF109" s="3418"/>
      <c r="AG109" s="1979"/>
      <c r="AH109" s="3444"/>
      <c r="AI109" s="2547"/>
      <c r="AJ109" s="1429"/>
      <c r="AL109" s="1418"/>
    </row>
    <row r="110" spans="1:46" ht="15" customHeight="1">
      <c r="A110" s="2028"/>
      <c r="B110" s="2401" t="s">
        <v>44</v>
      </c>
      <c r="C110" s="2028"/>
      <c r="D110" s="1447">
        <f>ROUND(SUM(D84-D107),1)</f>
        <v>2863</v>
      </c>
      <c r="F110" s="1447">
        <f>ROUND(SUM(F84-F107),1)</f>
        <v>12857.4</v>
      </c>
      <c r="G110" s="1447">
        <f>ROUND(SUM(G84-G107),1)</f>
        <v>0</v>
      </c>
      <c r="H110" s="1447">
        <f>ROUND(SUM(H84-H107),1)</f>
        <v>-52.3</v>
      </c>
      <c r="J110" s="1447">
        <f>ROUND(SUM(J84-J107),1)</f>
        <v>-76.900000000000006</v>
      </c>
      <c r="L110" s="1447">
        <f>ROUND(SUM(L84-L107),1)</f>
        <v>-611.70000000000005</v>
      </c>
      <c r="N110" s="1447">
        <f>ROUND(SUM(N84-N107),1)</f>
        <v>-1060.5999999999999</v>
      </c>
      <c r="P110" s="1447">
        <f>ROUND(SUM(P84-P107),1)</f>
        <v>0</v>
      </c>
      <c r="R110" s="1447">
        <f>ROUND(SUM(R84-R107),1)</f>
        <v>0</v>
      </c>
      <c r="T110" s="2034">
        <f>ROUND(SUM(T84-T107),1)</f>
        <v>0</v>
      </c>
      <c r="V110" s="1447">
        <f>ROUND(SUM(V84-V107),1)</f>
        <v>0</v>
      </c>
      <c r="X110" s="1447">
        <f>ROUND(SUM(X84-X107),1)</f>
        <v>0</v>
      </c>
      <c r="Z110" s="2034">
        <f>ROUND(SUM(Z84-Z107),1)</f>
        <v>0</v>
      </c>
      <c r="AA110" s="2034"/>
      <c r="AB110" s="2545">
        <v>0</v>
      </c>
      <c r="AC110" s="2527"/>
      <c r="AD110" s="2034">
        <f>ROUND(SUM(AD84-AD107),1)</f>
        <v>13918.9</v>
      </c>
      <c r="AE110" s="2034"/>
      <c r="AF110" s="2527"/>
      <c r="AG110" s="2034">
        <f>ROUND(SUM(AG84-AG107),1)</f>
        <v>2769.2</v>
      </c>
      <c r="AH110" s="3442"/>
      <c r="AI110" s="1448"/>
      <c r="AJ110" s="1544">
        <f>ROUND(SUM(AJ84-AJ107),1)</f>
        <v>11149.7</v>
      </c>
      <c r="AK110" s="2402"/>
      <c r="AL110" s="1842">
        <f>ROUND(SUM(+AJ110/ABS(AG110)),3)</f>
        <v>4.0259999999999998</v>
      </c>
    </row>
    <row r="111" spans="1:46" ht="15" customHeight="1">
      <c r="A111" s="2028"/>
      <c r="B111" s="2028"/>
      <c r="C111" s="2028"/>
      <c r="D111" s="1989"/>
      <c r="F111" s="1989"/>
      <c r="H111" s="2466"/>
      <c r="J111" s="2466"/>
      <c r="L111" s="1989"/>
      <c r="N111" s="1989"/>
      <c r="P111" s="1989"/>
      <c r="R111" s="1989"/>
      <c r="T111" s="2035"/>
      <c r="V111" s="1989"/>
      <c r="X111" s="1989"/>
      <c r="Z111" s="2035"/>
      <c r="AA111" s="1961"/>
      <c r="AB111" s="1979"/>
      <c r="AC111" s="2023"/>
      <c r="AD111" s="2035"/>
      <c r="AE111" s="1979"/>
      <c r="AF111" s="2023"/>
      <c r="AG111" s="2035"/>
      <c r="AH111" s="3439"/>
      <c r="AI111" s="1961"/>
      <c r="AJ111" s="1984"/>
      <c r="AL111" s="1418"/>
    </row>
    <row r="112" spans="1:46" ht="15" customHeight="1">
      <c r="A112" s="2028"/>
      <c r="B112" s="2401" t="s">
        <v>45</v>
      </c>
      <c r="C112" s="2028"/>
      <c r="D112" s="1990"/>
      <c r="F112" s="1990"/>
      <c r="H112" s="1429"/>
      <c r="J112" s="1429"/>
      <c r="L112" s="1990"/>
      <c r="N112" s="1990"/>
      <c r="P112" s="1990"/>
      <c r="R112" s="1990"/>
      <c r="T112" s="1979"/>
      <c r="V112" s="1990"/>
      <c r="X112" s="1990"/>
      <c r="Z112" s="1984" t="s">
        <v>14</v>
      </c>
      <c r="AA112" s="1979"/>
      <c r="AB112" s="1979"/>
      <c r="AC112" s="2023"/>
      <c r="AD112" s="1979"/>
      <c r="AE112" s="1979"/>
      <c r="AF112" s="2023"/>
      <c r="AG112" s="1979"/>
      <c r="AH112" s="3439"/>
      <c r="AI112" s="1961"/>
      <c r="AJ112" s="1984"/>
      <c r="AL112" s="1418"/>
    </row>
    <row r="113" spans="1:49" s="2168" customFormat="1" ht="15" customHeight="1">
      <c r="A113" s="2439"/>
      <c r="B113" s="2439" t="s">
        <v>172</v>
      </c>
      <c r="C113" s="2439"/>
      <c r="D113" s="2548">
        <f>+'Exhibit G State'!D111+'Exhibit G Federal'!D85</f>
        <v>263.5</v>
      </c>
      <c r="E113" s="2016"/>
      <c r="F113" s="2548">
        <f>+'Exhibit G State'!F111+'Exhibit G Federal'!F85</f>
        <v>151</v>
      </c>
      <c r="G113" s="2016"/>
      <c r="H113" s="2548">
        <f>+'Exhibit G State'!H111+'Exhibit G Federal'!H85</f>
        <v>908.3</v>
      </c>
      <c r="I113" s="2548"/>
      <c r="J113" s="2548">
        <f>+'Exhibit G State'!J111+'Exhibit G Federal'!J85</f>
        <v>593.20000000000005</v>
      </c>
      <c r="K113" s="2515"/>
      <c r="L113" s="2548">
        <f>+'Exhibit G State'!L111+'Exhibit G Federal'!L85</f>
        <v>109.40000000000009</v>
      </c>
      <c r="M113" s="2515"/>
      <c r="N113" s="2548">
        <f>+'Exhibit G State'!N111+'Exhibit G Federal'!N85</f>
        <v>183</v>
      </c>
      <c r="O113" s="2515"/>
      <c r="P113" s="2548"/>
      <c r="Q113" s="2515"/>
      <c r="R113" s="2548"/>
      <c r="S113" s="2515"/>
      <c r="T113" s="2548"/>
      <c r="U113" s="2515"/>
      <c r="V113" s="2548"/>
      <c r="W113" s="2515"/>
      <c r="X113" s="2548"/>
      <c r="Y113" s="2515"/>
      <c r="Z113" s="2548"/>
      <c r="AA113" s="2104"/>
      <c r="AB113" s="1773">
        <v>-419.9</v>
      </c>
      <c r="AC113" s="2023"/>
      <c r="AD113" s="1979">
        <f>ROUND(SUM(D113:AB113),1)</f>
        <v>1788.5</v>
      </c>
      <c r="AE113" s="1979"/>
      <c r="AF113" s="2023"/>
      <c r="AG113" s="2016">
        <f>'Exhibit G State'!AG111+'Exhibit G Federal'!AG85-247.7</f>
        <v>1371.6</v>
      </c>
      <c r="AH113" s="3439"/>
      <c r="AI113" s="1961"/>
      <c r="AJ113" s="2025">
        <f>ROUND(SUM(+AD113-AG113),1)</f>
        <v>416.9</v>
      </c>
      <c r="AK113" s="2533"/>
      <c r="AL113" s="1708">
        <f>ROUND(IF(AG113=0,0,AJ113/ABS(AG113)),3)</f>
        <v>0.30399999999999999</v>
      </c>
    </row>
    <row r="114" spans="1:49" s="2168" customFormat="1" ht="15" customHeight="1">
      <c r="A114" s="2439"/>
      <c r="B114" s="2439" t="s">
        <v>173</v>
      </c>
      <c r="C114" s="2439"/>
      <c r="D114" s="2548">
        <f>+'Exhibit G State'!D112+'Exhibit G Federal'!D86</f>
        <v>-165.9</v>
      </c>
      <c r="E114" s="2016"/>
      <c r="F114" s="2548">
        <f>+'Exhibit G State'!F112+'Exhibit G Federal'!F86</f>
        <v>-135.6</v>
      </c>
      <c r="G114" s="2016"/>
      <c r="H114" s="2548">
        <f>+'Exhibit G State'!H112+'Exhibit G Federal'!H86</f>
        <v>-242.70000000000007</v>
      </c>
      <c r="I114" s="2515"/>
      <c r="J114" s="2548">
        <f>+'Exhibit G State'!J112+'Exhibit G Federal'!J86</f>
        <v>-351.29999999999995</v>
      </c>
      <c r="K114" s="2515"/>
      <c r="L114" s="2548">
        <f>+'Exhibit G State'!L112+'Exhibit G Federal'!L86</f>
        <v>-78.70000000000006</v>
      </c>
      <c r="M114" s="2515"/>
      <c r="N114" s="2548">
        <f>+'Exhibit G State'!N112+'Exhibit G Federal'!N86</f>
        <v>-199.80000000000007</v>
      </c>
      <c r="O114" s="2515"/>
      <c r="P114" s="2548"/>
      <c r="Q114" s="2515"/>
      <c r="R114" s="2548"/>
      <c r="S114" s="2515"/>
      <c r="T114" s="2548"/>
      <c r="U114" s="2515"/>
      <c r="V114" s="2548"/>
      <c r="W114" s="2515"/>
      <c r="X114" s="2548"/>
      <c r="Y114" s="2515"/>
      <c r="Z114" s="2548"/>
      <c r="AA114" s="2104"/>
      <c r="AB114" s="3399">
        <v>419.9</v>
      </c>
      <c r="AC114" s="2023"/>
      <c r="AD114" s="1979">
        <f>ROUND(SUM(D114:AB114),1)</f>
        <v>-754.1</v>
      </c>
      <c r="AE114" s="1979"/>
      <c r="AF114" s="2023"/>
      <c r="AG114" s="2016">
        <f>'Exhibit G State'!AG112+'Exhibit G Federal'!AG86+247.7</f>
        <v>-942.59999999999991</v>
      </c>
      <c r="AH114" s="3439"/>
      <c r="AI114" s="1961"/>
      <c r="AJ114" s="2025">
        <f>ROUND(SUM(+AD114-AG114)*-1,1)</f>
        <v>-188.5</v>
      </c>
      <c r="AK114" s="2533"/>
      <c r="AL114" s="1708">
        <f>ROUND(IF(AG114=0,0,AJ114/ABS(AG114)),3)</f>
        <v>-0.2</v>
      </c>
    </row>
    <row r="115" spans="1:49" ht="15" customHeight="1">
      <c r="A115" s="2028"/>
      <c r="B115" s="2028"/>
      <c r="C115" s="2028"/>
      <c r="D115" s="1989"/>
      <c r="F115" s="1989"/>
      <c r="H115" s="1989"/>
      <c r="J115" s="1989"/>
      <c r="L115" s="1989"/>
      <c r="N115" s="1989"/>
      <c r="P115" s="1989"/>
      <c r="R115" s="1989"/>
      <c r="T115" s="2035"/>
      <c r="V115" s="1989"/>
      <c r="X115" s="1989"/>
      <c r="Z115" s="2035"/>
      <c r="AA115" s="1961"/>
      <c r="AB115" s="1979"/>
      <c r="AC115" s="2023"/>
      <c r="AD115" s="2035"/>
      <c r="AE115" s="1979"/>
      <c r="AF115" s="2023"/>
      <c r="AG115" s="2035"/>
      <c r="AH115" s="3439"/>
      <c r="AI115" s="1961"/>
      <c r="AJ115" s="2543"/>
      <c r="AL115" s="1432"/>
    </row>
    <row r="116" spans="1:49" ht="15" customHeight="1">
      <c r="A116" s="2028"/>
      <c r="B116" s="2401" t="s">
        <v>1090</v>
      </c>
      <c r="C116" s="2028"/>
      <c r="D116" s="1447">
        <f>ROUND(SUM(D113:D114),1)</f>
        <v>97.6</v>
      </c>
      <c r="F116" s="1447">
        <f>ROUND(SUM(F113:F114),1)</f>
        <v>15.4</v>
      </c>
      <c r="H116" s="1447">
        <f>ROUND(SUM(H113:H114),1)</f>
        <v>665.6</v>
      </c>
      <c r="J116" s="1447">
        <f>ROUND(SUM(J113:J114),1)</f>
        <v>241.9</v>
      </c>
      <c r="L116" s="1447">
        <f>ROUND(SUM(L113:L114),1)</f>
        <v>30.7</v>
      </c>
      <c r="N116" s="1447">
        <f>ROUND(SUM(N113:N114),1)</f>
        <v>-16.8</v>
      </c>
      <c r="P116" s="1447">
        <f>ROUND(SUM(P113:P114),1)</f>
        <v>0</v>
      </c>
      <c r="R116" s="1447">
        <f>ROUND(SUM(R113:R114),1)</f>
        <v>0</v>
      </c>
      <c r="T116" s="2034">
        <f>ROUND(SUM(T113:T114),1)</f>
        <v>0</v>
      </c>
      <c r="V116" s="1447">
        <f>ROUND(SUM(V113:V114),1)</f>
        <v>0</v>
      </c>
      <c r="X116" s="1447">
        <f>ROUND(SUM(X113:X114),1)</f>
        <v>0</v>
      </c>
      <c r="Z116" s="1447">
        <f>ROUND(SUM(Z113:Z114),1)</f>
        <v>0</v>
      </c>
      <c r="AA116" s="1447"/>
      <c r="AB116" s="2536">
        <f>ROUND(SUM(AB113:AB114),1)</f>
        <v>0</v>
      </c>
      <c r="AC116" s="2024"/>
      <c r="AD116" s="2034">
        <f>ROUND(SUM(AD113:AD114),1)</f>
        <v>1034.4000000000001</v>
      </c>
      <c r="AE116" s="2034"/>
      <c r="AF116" s="2527"/>
      <c r="AG116" s="2034">
        <f>ROUND(SUM(AG113:AG114),1)</f>
        <v>429</v>
      </c>
      <c r="AH116" s="3442"/>
      <c r="AI116" s="1430"/>
      <c r="AJ116" s="2036">
        <f>ROUND(SUM(AD116-AG116),1)</f>
        <v>605.4</v>
      </c>
      <c r="AK116" s="2037"/>
      <c r="AL116" s="1422">
        <f>ROUND(SUM(+AJ116/AG116),3)</f>
        <v>1.411</v>
      </c>
    </row>
    <row r="117" spans="1:49" ht="15" customHeight="1">
      <c r="A117" s="2028"/>
      <c r="B117" s="2028"/>
      <c r="C117" s="2028"/>
      <c r="D117" s="1989"/>
      <c r="F117" s="1989"/>
      <c r="H117" s="1989"/>
      <c r="J117" s="1989"/>
      <c r="L117" s="1989"/>
      <c r="N117" s="1989"/>
      <c r="P117" s="1989"/>
      <c r="R117" s="1989"/>
      <c r="T117" s="2035"/>
      <c r="V117" s="1989"/>
      <c r="X117" s="1989"/>
      <c r="Z117" s="1989"/>
      <c r="AA117" s="1991"/>
      <c r="AB117" s="1990"/>
      <c r="AC117" s="2021"/>
      <c r="AD117" s="2035"/>
      <c r="AE117" s="1979"/>
      <c r="AF117" s="2023"/>
      <c r="AG117" s="2035"/>
      <c r="AH117" s="3439"/>
      <c r="AI117" s="1991"/>
      <c r="AJ117" s="1429"/>
      <c r="AL117" s="1418"/>
    </row>
    <row r="118" spans="1:49" ht="15" customHeight="1">
      <c r="A118" s="2028"/>
      <c r="B118" s="2401" t="s">
        <v>164</v>
      </c>
      <c r="C118" s="2028"/>
      <c r="D118" s="1990"/>
      <c r="F118" s="1990"/>
      <c r="H118" s="1990"/>
      <c r="J118" s="1990"/>
      <c r="L118" s="1990"/>
      <c r="N118" s="1990"/>
      <c r="P118" s="1990"/>
      <c r="R118" s="1990"/>
      <c r="T118" s="1979"/>
      <c r="V118" s="1990"/>
      <c r="X118" s="1990"/>
      <c r="Z118" s="1990"/>
      <c r="AA118" s="1990"/>
      <c r="AB118" s="1990"/>
      <c r="AC118" s="2021"/>
      <c r="AD118" s="1979"/>
      <c r="AE118" s="1979"/>
      <c r="AF118" s="2023"/>
      <c r="AG118" s="1979"/>
      <c r="AH118" s="3439"/>
      <c r="AI118" s="1991"/>
      <c r="AJ118" s="1429"/>
      <c r="AL118" s="1418"/>
    </row>
    <row r="119" spans="1:49" ht="15" customHeight="1">
      <c r="A119" s="2028"/>
      <c r="B119" s="2401" t="s">
        <v>165</v>
      </c>
      <c r="C119" s="2028"/>
      <c r="D119" s="1990"/>
      <c r="F119" s="1990"/>
      <c r="H119" s="1990"/>
      <c r="J119" s="1990"/>
      <c r="L119" s="1990"/>
      <c r="N119" s="1990"/>
      <c r="P119" s="1990"/>
      <c r="R119" s="1990"/>
      <c r="T119" s="1979"/>
      <c r="V119" s="1990"/>
      <c r="X119" s="1990"/>
      <c r="Z119" s="1990"/>
      <c r="AA119" s="1990"/>
      <c r="AB119" s="1990"/>
      <c r="AC119" s="2021"/>
      <c r="AD119" s="1979"/>
      <c r="AE119" s="1979"/>
      <c r="AF119" s="2023"/>
      <c r="AG119" s="1979"/>
      <c r="AH119" s="3439"/>
      <c r="AI119" s="1991"/>
      <c r="AJ119" s="1429"/>
      <c r="AL119" s="1418"/>
    </row>
    <row r="120" spans="1:49" ht="15" customHeight="1">
      <c r="A120" s="2028"/>
      <c r="B120" s="2401" t="s">
        <v>1091</v>
      </c>
      <c r="C120" s="2028"/>
      <c r="D120" s="1447">
        <f>ROUND(SUM(D110+D116),1)</f>
        <v>2960.6</v>
      </c>
      <c r="F120" s="1447">
        <f>ROUND(SUM(F110+F116),1)</f>
        <v>12872.8</v>
      </c>
      <c r="H120" s="1447">
        <f>ROUND(SUM(H110+H116),1)</f>
        <v>613.29999999999995</v>
      </c>
      <c r="J120" s="1447">
        <f>ROUND(SUM(J110+J116),1)</f>
        <v>165</v>
      </c>
      <c r="L120" s="1447">
        <f>ROUND(SUM(L110+L116),1)</f>
        <v>-581</v>
      </c>
      <c r="N120" s="1447">
        <f>ROUND(SUM(N110+N116),1)</f>
        <v>-1077.4000000000001</v>
      </c>
      <c r="P120" s="1447">
        <f>ROUND(SUM(P110+P116),1)</f>
        <v>0</v>
      </c>
      <c r="R120" s="1447">
        <f>ROUND(SUM(R110+R116),1)</f>
        <v>0</v>
      </c>
      <c r="T120" s="2034">
        <f>ROUND(SUM(T110+T116),1)</f>
        <v>0</v>
      </c>
      <c r="V120" s="1447">
        <f>ROUND(SUM(V110+V116),1)</f>
        <v>0</v>
      </c>
      <c r="X120" s="1447">
        <f>ROUND(SUM(X110+X116),1)</f>
        <v>0</v>
      </c>
      <c r="Z120" s="1447">
        <f>ROUND(SUM(Z110+Z116),1)</f>
        <v>0</v>
      </c>
      <c r="AA120" s="1447"/>
      <c r="AB120" s="2536">
        <f>ROUND(SUM(AB110+AB116),1)</f>
        <v>0</v>
      </c>
      <c r="AC120" s="2024"/>
      <c r="AD120" s="2034">
        <f>ROUND(SUM(AD110+AD116),1)</f>
        <v>14953.3</v>
      </c>
      <c r="AE120" s="2034"/>
      <c r="AF120" s="2527"/>
      <c r="AG120" s="2034">
        <f>ROUND(SUM(AG110+AG116),1)</f>
        <v>3198.2</v>
      </c>
      <c r="AH120" s="3442"/>
      <c r="AI120" s="1430"/>
      <c r="AJ120" s="2036">
        <f>ROUND(SUM(AD120-AG120),1)</f>
        <v>11755.1</v>
      </c>
      <c r="AK120" s="2402"/>
      <c r="AL120" s="1842">
        <f>ROUND(SUM(AJ120/ABS(AG120)),3)</f>
        <v>3.6760000000000002</v>
      </c>
    </row>
    <row r="121" spans="1:49" ht="15" customHeight="1">
      <c r="A121" s="2028"/>
      <c r="B121" s="2028"/>
      <c r="C121" s="2028"/>
      <c r="D121" s="2422"/>
      <c r="F121" s="2422"/>
      <c r="H121" s="2422"/>
      <c r="J121" s="2422"/>
      <c r="L121" s="2422"/>
      <c r="N121" s="2422"/>
      <c r="P121" s="2422"/>
      <c r="R121" s="2422"/>
      <c r="T121" s="3019"/>
      <c r="V121" s="2422"/>
      <c r="X121" s="2422"/>
      <c r="Z121" s="2422"/>
      <c r="AA121" s="2005"/>
      <c r="AC121" s="2513"/>
      <c r="AD121" s="3019"/>
      <c r="AF121" s="3415"/>
      <c r="AG121" s="3019"/>
      <c r="AH121" s="3438"/>
      <c r="AI121" s="2005"/>
      <c r="AJ121" s="1419"/>
      <c r="AL121" s="1418"/>
    </row>
    <row r="122" spans="1:49" ht="15" customHeight="1" thickBot="1">
      <c r="A122" s="2028"/>
      <c r="B122" s="2401" t="s">
        <v>1092</v>
      </c>
      <c r="C122" s="2028"/>
      <c r="D122" s="2429">
        <f>ROUND(SUM(D13+D120),1)</f>
        <v>13629.9</v>
      </c>
      <c r="F122" s="2429">
        <f>ROUND(SUM(F13+F120),1)</f>
        <v>26502.7</v>
      </c>
      <c r="H122" s="2429">
        <f>ROUND(SUM(H13+H120),1)</f>
        <v>27116</v>
      </c>
      <c r="J122" s="2429">
        <f>ROUND(SUM(J13+J120),1)</f>
        <v>27281</v>
      </c>
      <c r="L122" s="2429">
        <f>ROUND(SUM(L13+L120),1)</f>
        <v>26700</v>
      </c>
      <c r="N122" s="2429">
        <f>ROUND(SUM(N13+N120),1)</f>
        <v>25622.6</v>
      </c>
      <c r="P122" s="2429">
        <f>ROUND(SUM(P13+P120),1)</f>
        <v>0</v>
      </c>
      <c r="R122" s="2429">
        <f>ROUND(SUM(R13+R120),1)</f>
        <v>0</v>
      </c>
      <c r="T122" s="2013">
        <f>ROUND(SUM(T13+T120),1)</f>
        <v>0</v>
      </c>
      <c r="V122" s="2429">
        <f>ROUND(SUM(V13+V120),1)</f>
        <v>0</v>
      </c>
      <c r="X122" s="2429">
        <f>ROUND(SUM(X13+X120),1)</f>
        <v>0</v>
      </c>
      <c r="Z122" s="2429">
        <f>ROUND(SUM(Z13+Z120),1)</f>
        <v>0</v>
      </c>
      <c r="AA122" s="2429"/>
      <c r="AB122" s="2549">
        <f>ROUND(SUM(AB13+AB120),1)</f>
        <v>0</v>
      </c>
      <c r="AC122" s="2510"/>
      <c r="AD122" s="2013">
        <f>ROUND(SUM(AD13+AD120),1)</f>
        <v>25622.6</v>
      </c>
      <c r="AE122" s="2013"/>
      <c r="AF122" s="3414"/>
      <c r="AG122" s="2486">
        <f>ROUND(SUM(AG13+AG120),1)</f>
        <v>9510.2999999999993</v>
      </c>
      <c r="AH122" s="3437"/>
      <c r="AI122" s="2003"/>
      <c r="AJ122" s="2490">
        <f>ROUND(SUM(AD122-AG122),1)</f>
        <v>16112.3</v>
      </c>
      <c r="AK122" s="2489"/>
      <c r="AL122" s="2491">
        <f>ROUND(SUM(+AJ122/AG122),3)</f>
        <v>1.694</v>
      </c>
      <c r="AM122" s="2008"/>
      <c r="AN122" s="2008"/>
      <c r="AO122" s="2008"/>
      <c r="AP122" s="2008"/>
      <c r="AQ122" s="2008"/>
      <c r="AR122" s="2008"/>
      <c r="AS122" s="2008"/>
      <c r="AT122" s="2008"/>
      <c r="AU122" s="2008"/>
      <c r="AV122" s="2008"/>
      <c r="AW122" s="2008"/>
    </row>
    <row r="123" spans="1:49" ht="15" customHeight="1" thickTop="1">
      <c r="A123" s="2028"/>
      <c r="B123" s="2028"/>
      <c r="C123" s="2028"/>
      <c r="D123" s="2550"/>
      <c r="F123" s="2550"/>
      <c r="H123" s="2550"/>
      <c r="J123" s="2550"/>
      <c r="L123" s="2550"/>
      <c r="N123" s="2550"/>
      <c r="P123" s="2550"/>
      <c r="R123" s="2550"/>
      <c r="T123" s="3020"/>
      <c r="V123" s="2550"/>
      <c r="X123" s="2550"/>
      <c r="Z123" s="2550"/>
      <c r="AA123" s="2551"/>
      <c r="AB123" s="2008"/>
      <c r="AC123" s="2008"/>
      <c r="AD123" s="3020"/>
      <c r="AE123" s="2174"/>
      <c r="AF123" s="2174"/>
      <c r="AG123" s="3021"/>
      <c r="AH123" s="3021"/>
      <c r="AI123" s="2008"/>
      <c r="AJ123" s="2552"/>
      <c r="AK123" s="2008"/>
      <c r="AL123" s="1418"/>
      <c r="AM123" s="2008"/>
      <c r="AN123" s="2008"/>
      <c r="AO123" s="2008"/>
      <c r="AP123" s="2008"/>
      <c r="AQ123" s="2008"/>
      <c r="AR123" s="2008"/>
      <c r="AS123" s="2008"/>
      <c r="AT123" s="2008"/>
      <c r="AU123" s="2008"/>
      <c r="AV123" s="2008"/>
      <c r="AW123" s="2008"/>
    </row>
    <row r="124" spans="1:49" ht="15" customHeight="1">
      <c r="A124" s="2028"/>
      <c r="B124" s="2028"/>
      <c r="C124" s="2028"/>
      <c r="D124" s="2551"/>
      <c r="F124" s="2551"/>
      <c r="H124" s="2551"/>
      <c r="J124" s="2551"/>
      <c r="L124" s="2551"/>
      <c r="N124" s="2551"/>
      <c r="P124" s="2551"/>
      <c r="R124" s="2551"/>
      <c r="T124" s="3021"/>
      <c r="V124" s="2551"/>
      <c r="X124" s="2551"/>
      <c r="Z124" s="2551"/>
      <c r="AA124" s="2551"/>
      <c r="AB124" s="3727" t="s">
        <v>14</v>
      </c>
      <c r="AC124" s="2551"/>
      <c r="AD124" s="3021"/>
      <c r="AE124" s="3021"/>
      <c r="AF124" s="3021"/>
      <c r="AG124" s="3021"/>
      <c r="AH124" s="3021"/>
      <c r="AI124" s="2008"/>
      <c r="AJ124" s="2552"/>
      <c r="AK124" s="2008"/>
      <c r="AL124" s="1418"/>
      <c r="AM124" s="2008"/>
      <c r="AN124" s="2008"/>
      <c r="AO124" s="2008"/>
      <c r="AP124" s="2008"/>
      <c r="AQ124" s="2008"/>
      <c r="AR124" s="2008"/>
      <c r="AS124" s="2008"/>
      <c r="AT124" s="2008"/>
      <c r="AU124" s="2008"/>
      <c r="AV124" s="2008"/>
      <c r="AW124" s="2008"/>
    </row>
    <row r="125" spans="1:49" ht="15" customHeight="1">
      <c r="A125" s="2500"/>
      <c r="B125" s="1419" t="s">
        <v>1178</v>
      </c>
      <c r="D125" s="2008"/>
      <c r="F125" s="2008"/>
      <c r="H125" s="2008"/>
      <c r="J125" s="2008"/>
      <c r="L125" s="2008"/>
      <c r="N125" s="2008"/>
      <c r="P125" s="2008"/>
      <c r="R125" s="2008"/>
      <c r="T125" s="2174"/>
      <c r="V125" s="2008"/>
      <c r="X125" s="2008"/>
      <c r="Z125" s="2008"/>
      <c r="AA125" s="2008"/>
      <c r="AB125" s="2552" t="s">
        <v>14</v>
      </c>
      <c r="AC125" s="2008"/>
      <c r="AD125" s="2174"/>
      <c r="AE125" s="2174"/>
      <c r="AF125" s="2174"/>
      <c r="AG125" s="2174"/>
      <c r="AH125" s="2174"/>
      <c r="AI125" s="2008"/>
      <c r="AJ125" s="2552"/>
      <c r="AK125" s="2008"/>
      <c r="AL125" s="1418"/>
      <c r="AM125" s="2008"/>
      <c r="AN125" s="2008"/>
      <c r="AO125" s="2008"/>
      <c r="AP125" s="2008"/>
      <c r="AQ125" s="2008"/>
      <c r="AR125" s="2008"/>
      <c r="AS125" s="2008"/>
      <c r="AT125" s="2008"/>
      <c r="AU125" s="2008"/>
      <c r="AV125" s="2008"/>
      <c r="AW125" s="2008"/>
    </row>
    <row r="126" spans="1:49" ht="15" customHeight="1">
      <c r="D126" s="2008"/>
      <c r="F126" s="2008"/>
      <c r="H126" s="2008"/>
      <c r="J126" s="2008"/>
      <c r="L126" s="2008"/>
      <c r="N126" s="2008"/>
      <c r="P126" s="2008"/>
      <c r="R126" s="2008"/>
      <c r="T126" s="2174"/>
      <c r="V126" s="2008"/>
      <c r="X126" s="2008"/>
      <c r="Z126" s="2008"/>
      <c r="AA126" s="2008"/>
      <c r="AB126" s="2008"/>
      <c r="AC126" s="2008"/>
      <c r="AD126" s="2174"/>
      <c r="AE126" s="2174"/>
      <c r="AF126" s="2174"/>
      <c r="AG126" s="2174"/>
      <c r="AH126" s="2174"/>
      <c r="AI126" s="2008"/>
      <c r="AJ126" s="2552"/>
      <c r="AK126" s="2008"/>
      <c r="AL126" s="1418"/>
      <c r="AM126" s="2008"/>
      <c r="AN126" s="2008"/>
      <c r="AO126" s="2008"/>
      <c r="AP126" s="2008"/>
      <c r="AQ126" s="2008"/>
      <c r="AR126" s="2008"/>
      <c r="AS126" s="2008"/>
      <c r="AT126" s="2008"/>
      <c r="AU126" s="2008"/>
      <c r="AV126" s="2008"/>
      <c r="AW126" s="2008"/>
    </row>
    <row r="127" spans="1:49" ht="15" customHeight="1">
      <c r="AJ127" s="1419"/>
      <c r="AL127" s="1418"/>
    </row>
    <row r="128" spans="1:49" ht="15" customHeight="1">
      <c r="AJ128" s="1419"/>
      <c r="AL128" s="1418"/>
    </row>
    <row r="129" spans="36:38" ht="15" customHeight="1">
      <c r="AJ129" s="1419"/>
      <c r="AL129" s="1418"/>
    </row>
    <row r="130" spans="36:38" ht="15" customHeight="1">
      <c r="AJ130" s="1419"/>
      <c r="AL130" s="1418"/>
    </row>
    <row r="131" spans="36:38" ht="15" customHeight="1">
      <c r="AJ131" s="1419"/>
      <c r="AL131" s="1418"/>
    </row>
    <row r="132" spans="36:38" ht="15" customHeight="1">
      <c r="AJ132" s="1419"/>
      <c r="AL132" s="1418"/>
    </row>
    <row r="133" spans="36:38" ht="15" customHeight="1">
      <c r="AJ133" s="1419"/>
      <c r="AL133" s="1418"/>
    </row>
    <row r="134" spans="36:38" ht="15" customHeight="1">
      <c r="AJ134" s="1419"/>
      <c r="AL134" s="1418"/>
    </row>
    <row r="135" spans="36:38" ht="15" customHeight="1">
      <c r="AJ135" s="1419"/>
      <c r="AL135" s="1418"/>
    </row>
    <row r="136" spans="36:38" ht="15" customHeight="1">
      <c r="AJ136" s="1419"/>
      <c r="AL136" s="1418"/>
    </row>
    <row r="137" spans="36:38" ht="15" customHeight="1">
      <c r="AJ137" s="1419"/>
      <c r="AL137" s="1418"/>
    </row>
    <row r="138" spans="36:38" ht="15" customHeight="1">
      <c r="AJ138" s="1419"/>
      <c r="AL138" s="1418"/>
    </row>
    <row r="139" spans="36:38" ht="15" customHeight="1">
      <c r="AJ139" s="1419"/>
      <c r="AL139" s="1418"/>
    </row>
    <row r="140" spans="36:38" ht="15" customHeight="1">
      <c r="AJ140" s="1419"/>
      <c r="AL140" s="1418"/>
    </row>
    <row r="141" spans="36:38" ht="15" customHeight="1">
      <c r="AJ141" s="1419"/>
      <c r="AL141" s="1418"/>
    </row>
    <row r="142" spans="36:38" ht="15" customHeight="1">
      <c r="AJ142" s="1419"/>
      <c r="AL142" s="1418"/>
    </row>
    <row r="143" spans="36:38" ht="15" customHeight="1">
      <c r="AJ143" s="1419"/>
      <c r="AL143" s="1418"/>
    </row>
    <row r="144" spans="36:38" ht="15" customHeight="1">
      <c r="AJ144" s="1419"/>
      <c r="AL144" s="1418"/>
    </row>
    <row r="145" spans="36:38" ht="15" customHeight="1">
      <c r="AJ145" s="1419"/>
      <c r="AL145" s="1418"/>
    </row>
    <row r="146" spans="36:38" ht="15" customHeight="1">
      <c r="AJ146" s="1419"/>
      <c r="AL146" s="1418"/>
    </row>
    <row r="147" spans="36:38" ht="15" customHeight="1">
      <c r="AJ147" s="1419"/>
      <c r="AL147" s="1418"/>
    </row>
    <row r="148" spans="36:38" ht="15" customHeight="1">
      <c r="AJ148" s="1419"/>
      <c r="AL148" s="1418"/>
    </row>
    <row r="149" spans="36:38" ht="15" customHeight="1">
      <c r="AJ149" s="1419"/>
      <c r="AL149" s="1418"/>
    </row>
    <row r="150" spans="36:38" ht="15" customHeight="1">
      <c r="AJ150" s="1419"/>
      <c r="AL150" s="1418"/>
    </row>
    <row r="151" spans="36:38" ht="15" customHeight="1">
      <c r="AJ151" s="1419"/>
      <c r="AL151" s="1418"/>
    </row>
    <row r="152" spans="36:38" ht="15" customHeight="1">
      <c r="AJ152" s="1419"/>
      <c r="AL152" s="1418"/>
    </row>
    <row r="153" spans="36:38" ht="15" customHeight="1">
      <c r="AJ153" s="1419"/>
      <c r="AL153" s="1418"/>
    </row>
    <row r="154" spans="36:38" ht="15" customHeight="1">
      <c r="AJ154" s="1419"/>
      <c r="AL154" s="1418"/>
    </row>
    <row r="155" spans="36:38" ht="15" customHeight="1">
      <c r="AJ155" s="1419"/>
      <c r="AL155" s="1418"/>
    </row>
    <row r="156" spans="36:38" ht="15" customHeight="1">
      <c r="AJ156" s="1419"/>
      <c r="AL156" s="1418"/>
    </row>
    <row r="157" spans="36:38" ht="15" customHeight="1">
      <c r="AJ157" s="1419"/>
      <c r="AL157" s="1418"/>
    </row>
    <row r="158" spans="36:38" ht="15" customHeight="1">
      <c r="AJ158" s="1419"/>
      <c r="AL158" s="1418"/>
    </row>
    <row r="159" spans="36:38" ht="15" customHeight="1">
      <c r="AJ159" s="1419"/>
      <c r="AL159" s="1418"/>
    </row>
    <row r="160" spans="36:38" ht="15" customHeight="1">
      <c r="AJ160" s="1419"/>
      <c r="AL160" s="1418"/>
    </row>
    <row r="161" spans="36:38" ht="15" customHeight="1">
      <c r="AJ161" s="1419"/>
      <c r="AL161" s="1418"/>
    </row>
    <row r="162" spans="36:38" ht="15" customHeight="1">
      <c r="AJ162" s="1419"/>
      <c r="AL162" s="1418"/>
    </row>
    <row r="163" spans="36:38" ht="15" customHeight="1">
      <c r="AJ163" s="1419"/>
      <c r="AL163" s="1418"/>
    </row>
    <row r="164" spans="36:38" ht="15" customHeight="1">
      <c r="AJ164" s="1419"/>
      <c r="AL164" s="1418"/>
    </row>
    <row r="165" spans="36:38" ht="15" customHeight="1">
      <c r="AJ165" s="1419"/>
      <c r="AL165" s="1418"/>
    </row>
    <row r="166" spans="36:38" ht="15" customHeight="1">
      <c r="AJ166" s="1419"/>
      <c r="AL166" s="1418"/>
    </row>
    <row r="167" spans="36:38" ht="15" customHeight="1">
      <c r="AJ167" s="1419"/>
      <c r="AL167" s="1418"/>
    </row>
    <row r="168" spans="36:38" ht="15" customHeight="1">
      <c r="AJ168" s="1419"/>
      <c r="AL168" s="1418"/>
    </row>
    <row r="169" spans="36:38" ht="15" customHeight="1"/>
    <row r="170" spans="36:38" ht="15" customHeight="1"/>
    <row r="171" spans="36:38" ht="15" customHeight="1"/>
    <row r="172" spans="36:38" ht="15" customHeight="1"/>
    <row r="173" spans="36:38" ht="15" customHeight="1"/>
    <row r="174"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5" min="1" max="37" man="1"/>
  </rowBreaks>
  <ignoredErrors>
    <ignoredError sqref="AL108:AL109 AL117:AL119 AL121 AL123 AL49:AL50 AL24:AL25 AL76:AL83 AL85:AL88 AL99:AL102 AL111:AL113 AL19:AL20 AL106 AL65 AL28:AL32 AL115 AL90:AL91 AL34:AL45 AL22 AL52:AL55 AL66:AL67 AL93:AL95 AL47" unlockedFormula="1"/>
    <ignoredError sqref="AL73:AL75 AL71 AL59 AL57 AL61 AL64" formula="1" unlockedFormula="1"/>
    <ignoredError sqref="AJ23:AL23 AL51 AL69 AL58 AL62:AL63 AL60 AL89 AL72"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AN106"/>
  <sheetViews>
    <sheetView showGridLines="0" zoomScale="80" zoomScaleNormal="90" workbookViewId="0"/>
  </sheetViews>
  <sheetFormatPr defaultColWidth="8.84375" defaultRowHeight="10"/>
  <cols>
    <col min="1" max="1" width="35.07421875" style="2216" customWidth="1"/>
    <col min="2" max="2" width="9.07421875" style="2216" customWidth="1"/>
    <col min="3" max="3" width="5.53515625" style="2216" customWidth="1"/>
    <col min="4" max="4" width="12.84375" style="2217" bestFit="1" customWidth="1"/>
    <col min="5" max="5" width="1.84375" style="2216" customWidth="1"/>
    <col min="6" max="6" width="13.4609375" style="2216" customWidth="1"/>
    <col min="7" max="7" width="2.07421875" style="2216" customWidth="1"/>
    <col min="8" max="8" width="12.84375" style="2217" bestFit="1" customWidth="1"/>
    <col min="9" max="9" width="1.84375" style="2216" customWidth="1"/>
    <col min="10" max="10" width="13.84375" style="2216" customWidth="1"/>
    <col min="11" max="11" width="1.84375" style="2216" customWidth="1"/>
    <col min="12" max="12" width="11.84375" style="2217" customWidth="1"/>
    <col min="13" max="13" width="2" style="2216" customWidth="1"/>
    <col min="14" max="14" width="13.84375" style="2216" customWidth="1"/>
    <col min="15" max="15" width="1.84375" style="2216" customWidth="1"/>
    <col min="16" max="16" width="13" style="2216" customWidth="1"/>
    <col min="17" max="17" width="1.84375" style="2216" customWidth="1"/>
    <col min="18" max="18" width="13.07421875" style="2216" customWidth="1"/>
    <col min="19" max="21" width="1.07421875" style="2216" customWidth="1"/>
    <col min="22" max="22" width="12.84375" style="2217" bestFit="1" customWidth="1"/>
    <col min="23" max="23" width="1.84375" style="2216" customWidth="1"/>
    <col min="24" max="24" width="13.84375" style="2216" customWidth="1"/>
    <col min="25" max="27" width="1.07421875" style="2216" customWidth="1"/>
    <col min="28" max="28" width="12.07421875" style="3390" customWidth="1"/>
    <col min="29" max="29" width="3.3046875" style="2218" customWidth="1"/>
    <col min="30" max="30" width="13.84375" style="2218" customWidth="1"/>
    <col min="31" max="31" width="1" style="2218" customWidth="1"/>
    <col min="32" max="32" width="1" style="2216" customWidth="1"/>
    <col min="33" max="33" width="13.07421875" style="2216" bestFit="1" customWidth="1"/>
    <col min="34" max="34" width="1.84375" style="2216" customWidth="1"/>
    <col min="35" max="35" width="12.84375" style="2219" customWidth="1"/>
    <col min="36" max="36" width="19.07421875" style="2216" customWidth="1"/>
    <col min="37" max="16384" width="8.84375" style="2216"/>
  </cols>
  <sheetData>
    <row r="1" spans="1:38" ht="15.5">
      <c r="A1" s="2215" t="s">
        <v>882</v>
      </c>
    </row>
    <row r="2" spans="1:38" ht="15.5">
      <c r="A2" s="2215"/>
    </row>
    <row r="3" spans="1:38" ht="20">
      <c r="A3" s="2220" t="s">
        <v>0</v>
      </c>
      <c r="B3" s="2221"/>
      <c r="C3" s="2221"/>
      <c r="D3" s="2221"/>
      <c r="E3" s="2221"/>
      <c r="F3" s="2221"/>
      <c r="G3" s="2221"/>
      <c r="H3" s="2221"/>
      <c r="I3" s="2221"/>
      <c r="J3" s="2221"/>
      <c r="K3" s="2221"/>
      <c r="L3" s="2221"/>
      <c r="M3" s="2221"/>
      <c r="N3" s="2221"/>
      <c r="O3" s="2221"/>
      <c r="P3" s="2221"/>
      <c r="Q3" s="2221"/>
      <c r="R3" s="2221"/>
      <c r="S3" s="2221"/>
      <c r="T3" s="2221"/>
      <c r="U3" s="2221"/>
      <c r="V3" s="2221"/>
      <c r="W3" s="2221"/>
      <c r="X3" s="2221"/>
      <c r="Y3" s="2221"/>
      <c r="Z3" s="2221"/>
      <c r="AA3" s="2221"/>
      <c r="AB3" s="3349"/>
      <c r="AC3" s="3349"/>
      <c r="AD3" s="3349"/>
      <c r="AE3" s="2221"/>
      <c r="AF3" s="2221"/>
      <c r="AG3" s="2221"/>
      <c r="AH3" s="2221"/>
      <c r="AI3" s="2222" t="s">
        <v>1490</v>
      </c>
      <c r="AJ3" s="2223"/>
    </row>
    <row r="4" spans="1:38" ht="20.25" customHeight="1">
      <c r="A4" s="3939" t="s">
        <v>1</v>
      </c>
      <c r="B4" s="3940"/>
      <c r="C4" s="3940"/>
      <c r="D4" s="3940"/>
      <c r="E4" s="3940"/>
      <c r="F4" s="3940"/>
      <c r="G4" s="3940"/>
      <c r="H4" s="3940"/>
      <c r="I4" s="3940"/>
      <c r="J4" s="3940"/>
      <c r="K4" s="3940"/>
      <c r="L4" s="3940"/>
      <c r="M4" s="3940"/>
      <c r="N4" s="3940"/>
      <c r="O4" s="3940"/>
      <c r="P4" s="3940"/>
      <c r="Q4" s="3940"/>
      <c r="R4" s="3940"/>
      <c r="S4" s="3940"/>
      <c r="T4" s="3940"/>
      <c r="U4" s="3940"/>
      <c r="V4" s="3940"/>
      <c r="W4" s="3940"/>
      <c r="X4" s="3940"/>
      <c r="Y4" s="3940"/>
      <c r="Z4" s="3940"/>
      <c r="AA4" s="3940"/>
      <c r="AB4" s="3940"/>
      <c r="AC4" s="3940"/>
      <c r="AD4" s="3940"/>
      <c r="AE4" s="3940"/>
      <c r="AF4" s="3940"/>
      <c r="AG4" s="3940"/>
      <c r="AH4" s="3940"/>
      <c r="AI4" s="3940"/>
      <c r="AJ4" s="2223"/>
    </row>
    <row r="5" spans="1:38" ht="20">
      <c r="A5" s="3939" t="s">
        <v>794</v>
      </c>
      <c r="B5" s="3941"/>
      <c r="C5" s="3941"/>
      <c r="D5" s="3941"/>
      <c r="E5" s="3941"/>
      <c r="F5" s="3941"/>
      <c r="G5" s="3941"/>
      <c r="H5" s="3941"/>
      <c r="I5" s="3941"/>
      <c r="J5" s="3941"/>
      <c r="K5" s="3941"/>
      <c r="L5" s="3941"/>
      <c r="M5" s="3941"/>
      <c r="N5" s="3941"/>
      <c r="O5" s="3941"/>
      <c r="P5" s="3941"/>
      <c r="Q5" s="3941"/>
      <c r="R5" s="3941"/>
      <c r="S5" s="3941"/>
      <c r="T5" s="3941"/>
      <c r="U5" s="3941"/>
      <c r="V5" s="3941"/>
      <c r="W5" s="3941"/>
      <c r="X5" s="3941"/>
      <c r="Y5" s="3941"/>
      <c r="Z5" s="3941"/>
      <c r="AA5" s="3941"/>
      <c r="AB5" s="3941"/>
      <c r="AC5" s="3941"/>
      <c r="AD5" s="3941"/>
      <c r="AE5" s="3940"/>
      <c r="AF5" s="3940"/>
      <c r="AG5" s="3940"/>
      <c r="AH5" s="3940"/>
      <c r="AI5" s="3940"/>
      <c r="AJ5" s="2223"/>
    </row>
    <row r="6" spans="1:38" ht="21" customHeight="1">
      <c r="A6" s="3939" t="s">
        <v>1277</v>
      </c>
      <c r="B6" s="3940"/>
      <c r="C6" s="3940"/>
      <c r="D6" s="3940"/>
      <c r="E6" s="3940"/>
      <c r="F6" s="3940"/>
      <c r="G6" s="3940"/>
      <c r="H6" s="3940"/>
      <c r="I6" s="3940"/>
      <c r="J6" s="3940"/>
      <c r="K6" s="3940"/>
      <c r="L6" s="3940"/>
      <c r="M6" s="3940"/>
      <c r="N6" s="3940"/>
      <c r="O6" s="3940"/>
      <c r="P6" s="3940"/>
      <c r="Q6" s="3940"/>
      <c r="R6" s="3940"/>
      <c r="S6" s="3940"/>
      <c r="T6" s="3940"/>
      <c r="U6" s="3940"/>
      <c r="V6" s="3940"/>
      <c r="W6" s="3940"/>
      <c r="X6" s="3940"/>
      <c r="Y6" s="3940"/>
      <c r="Z6" s="3940"/>
      <c r="AA6" s="3940"/>
      <c r="AB6" s="3940"/>
      <c r="AC6" s="3940"/>
      <c r="AD6" s="3940"/>
      <c r="AE6" s="3940"/>
      <c r="AF6" s="3940"/>
      <c r="AG6" s="3940"/>
      <c r="AH6" s="3940"/>
      <c r="AI6" s="3940"/>
      <c r="AJ6" s="2223"/>
    </row>
    <row r="7" spans="1:38" ht="15.5">
      <c r="A7" s="1"/>
      <c r="B7" s="1"/>
      <c r="C7" s="1"/>
      <c r="D7" s="2224"/>
      <c r="E7" s="1"/>
      <c r="F7" s="1"/>
      <c r="G7" s="1"/>
      <c r="H7" s="2225"/>
      <c r="I7" s="2"/>
      <c r="J7" s="2"/>
      <c r="K7" s="2"/>
      <c r="L7" s="2225"/>
      <c r="M7" s="1"/>
      <c r="N7" s="2"/>
      <c r="O7" s="2"/>
      <c r="P7" s="2"/>
      <c r="Q7" s="2"/>
      <c r="R7" s="2"/>
      <c r="S7" s="1"/>
      <c r="T7" s="1"/>
      <c r="U7" s="1"/>
      <c r="V7" s="2224"/>
      <c r="W7" s="1"/>
      <c r="X7" s="1"/>
      <c r="Y7" s="1"/>
      <c r="Z7" s="1"/>
      <c r="AA7" s="1"/>
      <c r="AB7" s="3391"/>
      <c r="AC7" s="2231"/>
      <c r="AD7" s="2226"/>
      <c r="AE7" s="2226"/>
      <c r="AF7" s="2227"/>
      <c r="AG7" s="2227"/>
      <c r="AJ7" s="2223"/>
      <c r="AK7" s="2223"/>
      <c r="AL7" s="2223"/>
    </row>
    <row r="8" spans="1:38" ht="16.399999999999999" customHeight="1">
      <c r="A8" s="2"/>
      <c r="B8" s="1"/>
      <c r="C8" s="1"/>
      <c r="D8" s="2225"/>
      <c r="E8" s="1"/>
      <c r="F8" s="1"/>
      <c r="G8" s="1"/>
      <c r="H8" s="2225"/>
      <c r="I8" s="2"/>
      <c r="J8" s="2"/>
      <c r="K8" s="2"/>
      <c r="L8" s="2225"/>
      <c r="M8" s="1"/>
      <c r="N8" s="2"/>
      <c r="O8" s="2"/>
      <c r="P8" s="2"/>
      <c r="Q8" s="2"/>
      <c r="R8" s="2"/>
      <c r="S8" s="1"/>
      <c r="T8" s="1"/>
      <c r="U8" s="1"/>
      <c r="V8" s="2224"/>
      <c r="W8" s="1"/>
      <c r="X8" s="1"/>
      <c r="Y8" s="1"/>
      <c r="Z8" s="1"/>
      <c r="AA8" s="1"/>
      <c r="AB8" s="3391"/>
      <c r="AC8" s="2231"/>
      <c r="AD8" s="2228"/>
      <c r="AE8" s="2228"/>
      <c r="AF8" s="2229"/>
      <c r="AG8" s="2229"/>
      <c r="AI8" s="2223"/>
      <c r="AJ8" s="2223"/>
      <c r="AK8" s="2223"/>
      <c r="AL8" s="2223"/>
    </row>
    <row r="9" spans="1:38" ht="16.399999999999999" customHeight="1">
      <c r="A9" s="1"/>
      <c r="B9" s="1"/>
      <c r="C9" s="1"/>
      <c r="D9" s="1"/>
      <c r="E9" s="1"/>
      <c r="F9" s="1"/>
      <c r="G9" s="1"/>
      <c r="H9" s="2"/>
      <c r="I9" s="2"/>
      <c r="J9" s="2"/>
      <c r="K9" s="2"/>
      <c r="L9" s="2"/>
      <c r="M9" s="1"/>
      <c r="N9" s="2"/>
      <c r="O9" s="2"/>
      <c r="P9" s="2"/>
      <c r="Q9" s="2"/>
      <c r="R9" s="2"/>
      <c r="S9" s="1"/>
      <c r="T9" s="1"/>
      <c r="U9" s="2230"/>
      <c r="V9" s="1"/>
      <c r="W9" s="1"/>
      <c r="X9" s="1"/>
      <c r="Y9" s="1"/>
      <c r="Z9" s="1"/>
      <c r="AA9" s="1"/>
      <c r="AB9" s="2231"/>
      <c r="AC9" s="2231"/>
      <c r="AD9" s="2232"/>
      <c r="AE9" s="2232"/>
      <c r="AF9" s="2233"/>
      <c r="AG9" s="2233"/>
      <c r="AI9" s="2215"/>
      <c r="AJ9" s="2223"/>
      <c r="AK9" s="2223"/>
      <c r="AL9" s="2223"/>
    </row>
    <row r="10" spans="1:38" ht="16.399999999999999" customHeight="1">
      <c r="A10" s="2234"/>
      <c r="B10" s="2234"/>
      <c r="C10" s="2234"/>
      <c r="D10" s="3" t="s">
        <v>2</v>
      </c>
      <c r="E10" s="3"/>
      <c r="F10" s="3"/>
      <c r="G10" s="2233"/>
      <c r="H10" s="3" t="s">
        <v>3</v>
      </c>
      <c r="I10" s="3"/>
      <c r="J10" s="3"/>
      <c r="K10" s="2233"/>
      <c r="L10" s="3" t="s">
        <v>4</v>
      </c>
      <c r="M10" s="3"/>
      <c r="N10" s="3"/>
      <c r="O10" s="2233"/>
      <c r="P10" s="3" t="s">
        <v>5</v>
      </c>
      <c r="Q10" s="3"/>
      <c r="R10" s="3"/>
      <c r="S10" s="2233"/>
      <c r="T10" s="2235"/>
      <c r="U10" s="2235"/>
      <c r="V10" s="3942" t="s">
        <v>1396</v>
      </c>
      <c r="W10" s="3943"/>
      <c r="X10" s="3943"/>
      <c r="Y10" s="3943"/>
      <c r="Z10" s="3943"/>
      <c r="AA10" s="3943"/>
      <c r="AB10" s="3943"/>
      <c r="AC10" s="3943"/>
      <c r="AD10" s="3943"/>
      <c r="AE10" s="3943"/>
      <c r="AF10" s="3943"/>
      <c r="AG10" s="3943"/>
      <c r="AH10" s="3943"/>
      <c r="AI10" s="3943"/>
      <c r="AJ10" s="1415"/>
      <c r="AK10" s="2223"/>
      <c r="AL10" s="2223"/>
    </row>
    <row r="11" spans="1:38" ht="16.399999999999999" customHeight="1">
      <c r="A11" s="2234"/>
      <c r="B11" s="2234"/>
      <c r="C11" s="2234"/>
      <c r="D11" s="5" t="s">
        <v>6</v>
      </c>
      <c r="E11" s="5"/>
      <c r="F11" s="4" t="s">
        <v>1556</v>
      </c>
      <c r="G11" s="2229"/>
      <c r="H11" s="5" t="s">
        <v>6</v>
      </c>
      <c r="I11" s="5"/>
      <c r="J11" s="5" t="str">
        <f>F11</f>
        <v>6 MOS. ENDED</v>
      </c>
      <c r="K11" s="2229"/>
      <c r="L11" s="5" t="s">
        <v>6</v>
      </c>
      <c r="M11" s="5"/>
      <c r="N11" s="5" t="str">
        <f>F11</f>
        <v>6 MOS. ENDED</v>
      </c>
      <c r="O11" s="2229"/>
      <c r="P11" s="5" t="s">
        <v>6</v>
      </c>
      <c r="Q11" s="5"/>
      <c r="R11" s="5" t="str">
        <f>J11</f>
        <v>6 MOS. ENDED</v>
      </c>
      <c r="S11" s="2229"/>
      <c r="T11" s="2229"/>
      <c r="U11" s="2236"/>
      <c r="V11" s="5" t="s">
        <v>6</v>
      </c>
      <c r="W11" s="5"/>
      <c r="X11" s="5" t="str">
        <f>F11</f>
        <v>6 MOS. ENDED</v>
      </c>
      <c r="Y11" s="5"/>
      <c r="Z11" s="5"/>
      <c r="AA11" s="5"/>
      <c r="AB11" s="3894" t="s">
        <v>6</v>
      </c>
      <c r="AC11" s="3894"/>
      <c r="AD11" s="3894" t="str">
        <f>F11</f>
        <v>6 MOS. ENDED</v>
      </c>
      <c r="AE11" s="2237"/>
      <c r="AF11" s="5"/>
      <c r="AG11" s="5" t="s">
        <v>7</v>
      </c>
      <c r="AH11" s="2238"/>
      <c r="AI11" s="5" t="s">
        <v>8</v>
      </c>
      <c r="AJ11" s="2223"/>
      <c r="AK11" s="2223"/>
      <c r="AL11" s="2223"/>
    </row>
    <row r="12" spans="1:38" ht="16.399999999999999" customHeight="1">
      <c r="A12" s="2234"/>
      <c r="B12" s="2234"/>
      <c r="C12" s="2234"/>
      <c r="D12" s="893" t="s">
        <v>1555</v>
      </c>
      <c r="E12" s="2229"/>
      <c r="F12" s="893" t="s">
        <v>1557</v>
      </c>
      <c r="G12" s="2229"/>
      <c r="H12" s="6" t="str">
        <f>D12</f>
        <v>SEP. 2021</v>
      </c>
      <c r="I12" s="2229"/>
      <c r="J12" s="6" t="str">
        <f>F12</f>
        <v>SEP. 30, 2021</v>
      </c>
      <c r="K12" s="2229"/>
      <c r="L12" s="6" t="str">
        <f>D12</f>
        <v>SEP. 2021</v>
      </c>
      <c r="M12" s="2229"/>
      <c r="N12" s="6" t="str">
        <f>F12</f>
        <v>SEP. 30, 2021</v>
      </c>
      <c r="O12" s="2229"/>
      <c r="P12" s="6" t="str">
        <f>D12</f>
        <v>SEP. 2021</v>
      </c>
      <c r="Q12" s="2229"/>
      <c r="R12" s="6" t="str">
        <f>J12</f>
        <v>SEP. 30, 2021</v>
      </c>
      <c r="S12" s="2229"/>
      <c r="T12" s="2229"/>
      <c r="U12" s="2239"/>
      <c r="V12" s="6" t="str">
        <f>D12</f>
        <v>SEP. 2021</v>
      </c>
      <c r="W12" s="2229"/>
      <c r="X12" s="6" t="str">
        <f>F12</f>
        <v>SEP. 30, 2021</v>
      </c>
      <c r="Y12" s="2229"/>
      <c r="Z12" s="2229"/>
      <c r="AA12" s="2229"/>
      <c r="AB12" s="3388" t="s">
        <v>1558</v>
      </c>
      <c r="AC12" s="2335"/>
      <c r="AD12" s="3388" t="s">
        <v>1559</v>
      </c>
      <c r="AE12" s="4"/>
      <c r="AF12" s="4"/>
      <c r="AG12" s="6" t="s">
        <v>11</v>
      </c>
      <c r="AH12" s="2215"/>
      <c r="AI12" s="893" t="s">
        <v>12</v>
      </c>
      <c r="AJ12" s="1415"/>
      <c r="AK12" s="2223"/>
      <c r="AL12" s="2223"/>
    </row>
    <row r="13" spans="1:38" ht="16.399999999999999" customHeight="1">
      <c r="A13" s="2233" t="s">
        <v>13</v>
      </c>
      <c r="B13" s="2234"/>
      <c r="C13" s="2234"/>
      <c r="D13" s="2240" t="s">
        <v>14</v>
      </c>
      <c r="E13" s="2234"/>
      <c r="F13" s="7"/>
      <c r="G13" s="2234"/>
      <c r="H13" s="2240" t="s">
        <v>14</v>
      </c>
      <c r="I13" s="2234"/>
      <c r="J13" s="7"/>
      <c r="K13" s="2234"/>
      <c r="L13" s="2240" t="s">
        <v>14</v>
      </c>
      <c r="M13" s="2234"/>
      <c r="N13" s="7"/>
      <c r="O13" s="2234"/>
      <c r="P13" s="606" t="s">
        <v>14</v>
      </c>
      <c r="Q13" s="2241"/>
      <c r="R13" s="606"/>
      <c r="S13" s="2242"/>
      <c r="T13" s="2242"/>
      <c r="U13" s="7"/>
      <c r="V13" s="2240"/>
      <c r="W13" s="2234"/>
      <c r="X13" s="7"/>
      <c r="Y13" s="2242"/>
      <c r="Z13" s="2243"/>
      <c r="AA13" s="7"/>
      <c r="AB13" s="3392"/>
      <c r="AC13" s="2279"/>
      <c r="AD13" s="2244"/>
      <c r="AE13" s="2244"/>
      <c r="AF13" s="2245"/>
      <c r="AG13" s="7"/>
      <c r="AI13" s="1415"/>
      <c r="AJ13" s="1415"/>
      <c r="AK13" s="2223"/>
      <c r="AL13" s="2223"/>
    </row>
    <row r="14" spans="1:38" ht="18" customHeight="1">
      <c r="A14" s="2234" t="s">
        <v>1487</v>
      </c>
      <c r="B14" s="2246"/>
      <c r="C14" s="2234"/>
      <c r="D14" s="1351">
        <f>+'Exhibit F'!N26</f>
        <v>3224.9</v>
      </c>
      <c r="E14" s="2247" t="s">
        <v>14</v>
      </c>
      <c r="F14" s="647">
        <f>+'Exhibit F'!AC26</f>
        <v>17897.599999999999</v>
      </c>
      <c r="G14" s="2247"/>
      <c r="H14" s="1351">
        <f>'Exhibit G'!N17</f>
        <v>0</v>
      </c>
      <c r="I14" s="2248"/>
      <c r="J14" s="647">
        <f>'Exhibit G'!AD17</f>
        <v>0</v>
      </c>
      <c r="K14" s="2247"/>
      <c r="L14" s="1409">
        <f>+'Exhibit H'!L16</f>
        <v>3224.8999999999978</v>
      </c>
      <c r="M14" s="647"/>
      <c r="N14" s="647">
        <f>+'Exhibit H'!AA16</f>
        <v>17897.599999999999</v>
      </c>
      <c r="O14" s="647"/>
      <c r="P14" s="663">
        <v>0</v>
      </c>
      <c r="Q14" s="1351"/>
      <c r="R14" s="663">
        <v>0</v>
      </c>
      <c r="S14" s="2249"/>
      <c r="T14" s="2249"/>
      <c r="U14" s="2250"/>
      <c r="V14" s="1772">
        <f>ROUND(SUM(D14)+SUM(H14)+SUM(L14)+SUM(P14),1)</f>
        <v>6449.8</v>
      </c>
      <c r="W14" s="2346" t="s">
        <v>14</v>
      </c>
      <c r="X14" s="2346">
        <f>ROUND(SUM(F14)+SUM(J14)+SUM(N14)+SUM(R14),1)</f>
        <v>35795.199999999997</v>
      </c>
      <c r="Y14" s="3919"/>
      <c r="Z14" s="2251"/>
      <c r="AA14" s="2252"/>
      <c r="AB14" s="3393">
        <v>5271.4</v>
      </c>
      <c r="AC14" s="3350"/>
      <c r="AD14" s="1791">
        <f>'Exhibit F'!AF26+'Exhibit G'!AG17+'Exhibit H'!AD16</f>
        <v>26859</v>
      </c>
      <c r="AE14" s="1791"/>
      <c r="AF14" s="2253"/>
      <c r="AG14" s="2247">
        <f t="shared" ref="AG14:AG19" si="0">ROUND(SUM(X14-AD14),1)</f>
        <v>8936.2000000000007</v>
      </c>
      <c r="AH14" s="2254"/>
      <c r="AI14" s="1412">
        <f t="shared" ref="AI14:AI19" si="1">ROUND(SUM((+X14-AD14)/ABS(AD14)),3)</f>
        <v>0.33300000000000002</v>
      </c>
      <c r="AJ14" s="2255"/>
      <c r="AK14" s="2223"/>
      <c r="AL14" s="2223"/>
    </row>
    <row r="15" spans="1:38" ht="18" customHeight="1">
      <c r="A15" s="2234" t="s">
        <v>16</v>
      </c>
      <c r="B15" s="2246" t="s">
        <v>14</v>
      </c>
      <c r="C15" s="2234"/>
      <c r="D15" s="608">
        <f>+'Exhibit F'!N36</f>
        <v>460</v>
      </c>
      <c r="E15" s="9"/>
      <c r="F15" s="9">
        <f>+'Exhibit F'!AC36</f>
        <v>2353.1999999999998</v>
      </c>
      <c r="G15" s="9"/>
      <c r="H15" s="608">
        <f>'Exhibit G'!N28</f>
        <v>191.9</v>
      </c>
      <c r="I15" s="9"/>
      <c r="J15" s="9">
        <f>+'Exhibit G'!AD28</f>
        <v>1024.5999999999999</v>
      </c>
      <c r="K15" s="9"/>
      <c r="L15" s="1408">
        <f>'Exhibit H'!L20</f>
        <v>1222.7</v>
      </c>
      <c r="M15" s="9"/>
      <c r="N15" s="9">
        <f>+'Exhibit H'!AA20</f>
        <v>6120.1</v>
      </c>
      <c r="O15" s="9"/>
      <c r="P15" s="1408">
        <f>'Exhibit I'!O23</f>
        <v>74.5</v>
      </c>
      <c r="Q15" s="608"/>
      <c r="R15" s="1408">
        <f>+'Exhibit I'!AF23</f>
        <v>322.8</v>
      </c>
      <c r="S15" s="2257"/>
      <c r="T15" s="2257"/>
      <c r="U15" s="14"/>
      <c r="V15" s="612">
        <f>ROUND(SUM(D15)+SUM(H15)+SUM(L15)+SUM(P15),1)</f>
        <v>1949.1</v>
      </c>
      <c r="W15" s="19" t="s">
        <v>14</v>
      </c>
      <c r="X15" s="19">
        <f t="shared" ref="X15:X19" si="2">ROUND(SUM(F15)+SUM(J15)+SUM(N15)+SUM(R15),1)</f>
        <v>9820.7000000000007</v>
      </c>
      <c r="Y15" s="2284"/>
      <c r="Z15" s="2258"/>
      <c r="AA15" s="14"/>
      <c r="AB15" s="2025">
        <v>1744.1000000000001</v>
      </c>
      <c r="AC15" s="19"/>
      <c r="AD15" s="2244">
        <f>'Exhibit F'!AF36+'Exhibit G'!AG28+'Exhibit H'!AD20+'Exhibit I'!AI23</f>
        <v>7725.2</v>
      </c>
      <c r="AE15" s="1411"/>
      <c r="AF15" s="2259"/>
      <c r="AG15" s="9">
        <f t="shared" si="0"/>
        <v>2095.5</v>
      </c>
      <c r="AI15" s="1412">
        <f t="shared" si="1"/>
        <v>0.27100000000000002</v>
      </c>
      <c r="AJ15" s="2255"/>
      <c r="AK15" s="2223"/>
      <c r="AL15" s="2223"/>
    </row>
    <row r="16" spans="1:38" ht="18" customHeight="1">
      <c r="A16" s="2234" t="s">
        <v>17</v>
      </c>
      <c r="B16" s="2260"/>
      <c r="C16" s="2234"/>
      <c r="D16" s="608">
        <f>+'Exhibit F'!N43</f>
        <v>1707.9</v>
      </c>
      <c r="E16" s="9"/>
      <c r="F16" s="9">
        <f>+'Exhibit F'!AC43</f>
        <v>4424.2</v>
      </c>
      <c r="G16" s="9"/>
      <c r="H16" s="608">
        <f>'Exhibit G'!N35</f>
        <v>358.9</v>
      </c>
      <c r="I16" s="9"/>
      <c r="J16" s="9">
        <f>'Exhibit G'!AD35</f>
        <v>1163.3</v>
      </c>
      <c r="K16" s="9"/>
      <c r="L16" s="611">
        <v>0</v>
      </c>
      <c r="M16" s="9"/>
      <c r="N16" s="10">
        <v>0</v>
      </c>
      <c r="O16" s="9"/>
      <c r="P16" s="1408">
        <f>'Exhibit I'!O28</f>
        <v>44.9</v>
      </c>
      <c r="Q16" s="608"/>
      <c r="R16" s="1408">
        <f>'Exhibit I'!AF28</f>
        <v>297.3</v>
      </c>
      <c r="S16" s="2257"/>
      <c r="T16" s="2257"/>
      <c r="U16" s="14"/>
      <c r="V16" s="612">
        <f t="shared" ref="V16:V19" si="3">ROUND(SUM(D16)+SUM(H16)+SUM(L16)+SUM(P16),1)</f>
        <v>2111.6999999999998</v>
      </c>
      <c r="W16" s="19" t="s">
        <v>14</v>
      </c>
      <c r="X16" s="19">
        <f t="shared" si="2"/>
        <v>5884.8</v>
      </c>
      <c r="Y16" s="2284"/>
      <c r="Z16" s="2258"/>
      <c r="AA16" s="14"/>
      <c r="AB16" s="2025">
        <v>1612.4</v>
      </c>
      <c r="AC16" s="19"/>
      <c r="AD16" s="2244">
        <f>'Exhibit F'!AF43+'Exhibit G'!AG35+'Exhibit I'!AI28</f>
        <v>4025.2999999999997</v>
      </c>
      <c r="AE16" s="1411"/>
      <c r="AF16" s="2259"/>
      <c r="AG16" s="9">
        <f t="shared" si="0"/>
        <v>1859.5</v>
      </c>
      <c r="AI16" s="1412">
        <f t="shared" si="1"/>
        <v>0.46200000000000002</v>
      </c>
      <c r="AJ16" s="2255"/>
      <c r="AK16" s="2223"/>
      <c r="AL16" s="2223"/>
    </row>
    <row r="17" spans="1:38" ht="18" customHeight="1">
      <c r="A17" s="2234" t="s">
        <v>18</v>
      </c>
      <c r="B17" s="2246" t="s">
        <v>14</v>
      </c>
      <c r="C17" s="2234"/>
      <c r="D17" s="608">
        <f>+'Exhibit F'!N51</f>
        <v>110.8</v>
      </c>
      <c r="E17" s="9"/>
      <c r="F17" s="9">
        <f>+'Exhibit F'!AC51</f>
        <v>667.6</v>
      </c>
      <c r="G17" s="9"/>
      <c r="H17" s="608">
        <v>0</v>
      </c>
      <c r="I17" s="9"/>
      <c r="J17" s="9">
        <v>0</v>
      </c>
      <c r="K17" s="9"/>
      <c r="L17" s="1408">
        <f>'Exhibit H'!L24</f>
        <v>133.4</v>
      </c>
      <c r="M17" s="9"/>
      <c r="N17" s="9">
        <f>+'Exhibit H'!AA24</f>
        <v>728.59999999999991</v>
      </c>
      <c r="O17" s="9"/>
      <c r="P17" s="1408">
        <f>'Exhibit I'!O31</f>
        <v>12</v>
      </c>
      <c r="Q17" s="608"/>
      <c r="R17" s="1408">
        <f>'Exhibit I'!AF31</f>
        <v>47.7</v>
      </c>
      <c r="S17" s="2257"/>
      <c r="T17" s="2257"/>
      <c r="U17" s="14"/>
      <c r="V17" s="612">
        <f t="shared" si="3"/>
        <v>256.2</v>
      </c>
      <c r="W17" s="19" t="s">
        <v>14</v>
      </c>
      <c r="X17" s="19">
        <f t="shared" si="2"/>
        <v>1443.9</v>
      </c>
      <c r="Y17" s="2284"/>
      <c r="Z17" s="2258"/>
      <c r="AA17" s="14"/>
      <c r="AB17" s="2025">
        <v>174.4</v>
      </c>
      <c r="AC17" s="19"/>
      <c r="AD17" s="1411">
        <f>'Exhibit F'!AF51+'Exhibit H'!AD24+'Exhibit I'!AI31</f>
        <v>943.30000000000007</v>
      </c>
      <c r="AE17" s="1411"/>
      <c r="AF17" s="2259"/>
      <c r="AG17" s="9">
        <f t="shared" si="0"/>
        <v>500.6</v>
      </c>
      <c r="AI17" s="1412">
        <f t="shared" si="1"/>
        <v>0.53100000000000003</v>
      </c>
      <c r="AJ17" s="3914"/>
      <c r="AK17" s="2223"/>
      <c r="AL17" s="2223"/>
    </row>
    <row r="18" spans="1:38" ht="18" customHeight="1">
      <c r="A18" s="2234" t="s">
        <v>19</v>
      </c>
      <c r="B18" s="2246" t="s">
        <v>14</v>
      </c>
      <c r="C18" s="2234"/>
      <c r="D18" s="608">
        <f>+'Exhibit F'!N92</f>
        <v>256.5</v>
      </c>
      <c r="E18" s="9"/>
      <c r="F18" s="9">
        <f>+'Exhibit F'!AC92</f>
        <v>976.6</v>
      </c>
      <c r="G18" s="9"/>
      <c r="H18" s="608">
        <f>'Exhibit G'!N80</f>
        <v>1881.9</v>
      </c>
      <c r="I18" s="9"/>
      <c r="J18" s="19">
        <f>+'Exhibit G'!AD80</f>
        <v>9033.4</v>
      </c>
      <c r="K18" s="19"/>
      <c r="L18" s="3454">
        <f>+'Exhibit H'!L47</f>
        <v>43.1</v>
      </c>
      <c r="M18" s="19"/>
      <c r="N18" s="19">
        <f>+'Exhibit H'!AA47</f>
        <v>222.1</v>
      </c>
      <c r="O18" s="19"/>
      <c r="P18" s="3454">
        <f>+'Exhibit I'!O61</f>
        <v>436.7</v>
      </c>
      <c r="Q18" s="612"/>
      <c r="R18" s="612">
        <f>+'Exhibit I'!AF61</f>
        <v>1262.5999999999999</v>
      </c>
      <c r="S18" s="2284"/>
      <c r="T18" s="2284"/>
      <c r="U18" s="1411"/>
      <c r="V18" s="612">
        <f>ROUND(SUM(D18)+SUM(H18)+SUM(L18)+SUM(P18),1)</f>
        <v>2618.1999999999998</v>
      </c>
      <c r="W18" s="19" t="s">
        <v>14</v>
      </c>
      <c r="X18" s="19">
        <f t="shared" si="2"/>
        <v>11494.7</v>
      </c>
      <c r="Y18" s="2284"/>
      <c r="Z18" s="2285"/>
      <c r="AA18" s="1411"/>
      <c r="AB18" s="2025">
        <v>2444.4</v>
      </c>
      <c r="AC18" s="19"/>
      <c r="AD18" s="1411">
        <f>'Exhibit F'!AF92+'Exhibit G'!AG80+'Exhibit H'!AD47+'Exhibit I'!AI61</f>
        <v>16608.5</v>
      </c>
      <c r="AE18" s="1411"/>
      <c r="AF18" s="2259"/>
      <c r="AG18" s="9">
        <f t="shared" si="0"/>
        <v>-5113.8</v>
      </c>
      <c r="AI18" s="1412">
        <f t="shared" si="1"/>
        <v>-0.308</v>
      </c>
      <c r="AJ18" s="3914"/>
      <c r="AK18" s="2223"/>
      <c r="AL18" s="2223"/>
    </row>
    <row r="19" spans="1:38" ht="18" customHeight="1">
      <c r="A19" s="2234" t="s">
        <v>20</v>
      </c>
      <c r="B19" s="2261"/>
      <c r="C19" s="2234"/>
      <c r="D19" s="608">
        <f>+'Exhibit F'!N94</f>
        <v>-0.30000000000000004</v>
      </c>
      <c r="E19" s="14"/>
      <c r="F19" s="9">
        <f>+'Exhibit F'!AC94</f>
        <v>0</v>
      </c>
      <c r="G19" s="9"/>
      <c r="H19" s="608">
        <f>'Exhibit G'!N82</f>
        <v>7398.0999999999985</v>
      </c>
      <c r="I19" s="9"/>
      <c r="J19" s="19">
        <f>+'Exhibit G'!AD82</f>
        <v>51678.7</v>
      </c>
      <c r="K19" s="19"/>
      <c r="L19" s="3454">
        <f>+'Exhibit H'!L49</f>
        <v>0</v>
      </c>
      <c r="M19" s="1411"/>
      <c r="N19" s="19">
        <f>+'Exhibit H'!AA49</f>
        <v>30.2</v>
      </c>
      <c r="O19" s="19"/>
      <c r="P19" s="3454">
        <f>+'Exhibit I'!O63</f>
        <v>139.89999999999998</v>
      </c>
      <c r="Q19" s="612"/>
      <c r="R19" s="612">
        <f>+'Exhibit I'!AF63</f>
        <v>591.5</v>
      </c>
      <c r="S19" s="2284"/>
      <c r="T19" s="2284"/>
      <c r="U19" s="1411"/>
      <c r="V19" s="1407">
        <f t="shared" si="3"/>
        <v>7537.7</v>
      </c>
      <c r="W19" s="19" t="s">
        <v>14</v>
      </c>
      <c r="X19" s="1411">
        <f t="shared" si="2"/>
        <v>52300.4</v>
      </c>
      <c r="Y19" s="2284"/>
      <c r="Z19" s="2285"/>
      <c r="AA19" s="1411"/>
      <c r="AB19" s="2025">
        <v>10136.1</v>
      </c>
      <c r="AC19" s="19"/>
      <c r="AD19" s="1411">
        <f>'Exhibit F'!AF94+'Exhibit G'!AG82+'Exhibit H'!AD49+'Exhibit I'!AI63</f>
        <v>42740.800000000003</v>
      </c>
      <c r="AE19" s="1411"/>
      <c r="AF19" s="2259"/>
      <c r="AG19" s="9">
        <f t="shared" si="0"/>
        <v>9559.6</v>
      </c>
      <c r="AI19" s="1412">
        <f t="shared" si="1"/>
        <v>0.224</v>
      </c>
      <c r="AJ19" s="2255"/>
      <c r="AK19" s="2223"/>
      <c r="AL19" s="2223"/>
    </row>
    <row r="20" spans="1:38" ht="18" customHeight="1">
      <c r="A20" s="2233" t="s">
        <v>21</v>
      </c>
      <c r="B20" s="2234"/>
      <c r="C20" s="2234"/>
      <c r="D20" s="11">
        <f>ROUND(SUM(D14:D19),1)</f>
        <v>5759.8</v>
      </c>
      <c r="E20" s="2262"/>
      <c r="F20" s="11">
        <f>ROUND(SUM(F14:F19),1)</f>
        <v>26319.200000000001</v>
      </c>
      <c r="G20" s="1352"/>
      <c r="H20" s="12">
        <f>ROUND(SUM(H14:H19),1)</f>
        <v>9830.7999999999993</v>
      </c>
      <c r="I20" s="1352"/>
      <c r="J20" s="1543">
        <f>ROUND(SUM(J14:J19),1)</f>
        <v>62900</v>
      </c>
      <c r="K20" s="20"/>
      <c r="L20" s="3928">
        <f>ROUND(SUM(L14:L19),1)</f>
        <v>4624.1000000000004</v>
      </c>
      <c r="M20" s="20"/>
      <c r="N20" s="1543">
        <f>ROUND(SUM(N14:N19),1)</f>
        <v>24998.6</v>
      </c>
      <c r="O20" s="20"/>
      <c r="P20" s="1543">
        <f>ROUND(SUM(P14:P19),1)</f>
        <v>708</v>
      </c>
      <c r="Q20" s="20"/>
      <c r="R20" s="1543">
        <f>ROUND(SUM(R14:R19),1)</f>
        <v>2521.9</v>
      </c>
      <c r="S20" s="2288"/>
      <c r="T20" s="2288"/>
      <c r="U20" s="1464"/>
      <c r="V20" s="1543">
        <f>ROUND(SUM(V14:V19),1)</f>
        <v>20922.7</v>
      </c>
      <c r="W20" s="20"/>
      <c r="X20" s="1543">
        <f>ROUND(SUM(X14:X19),1)</f>
        <v>116739.7</v>
      </c>
      <c r="Y20" s="2288"/>
      <c r="Z20" s="2289"/>
      <c r="AA20" s="1464"/>
      <c r="AB20" s="1543">
        <f>ROUND(SUM(AB14:AB19),1)</f>
        <v>21382.799999999999</v>
      </c>
      <c r="AC20" s="20"/>
      <c r="AD20" s="1543">
        <f>ROUND(SUM(AD14:AD19),1)</f>
        <v>98902.1</v>
      </c>
      <c r="AE20" s="1464"/>
      <c r="AF20" s="2264"/>
      <c r="AG20" s="12">
        <f>ROUND(SUM(AG14:AG19),1)</f>
        <v>17837.599999999999</v>
      </c>
      <c r="AH20" s="2265"/>
      <c r="AI20" s="1428">
        <f>(+X20-AD20)/ABS(AD20)</f>
        <v>0.18035612995072894</v>
      </c>
      <c r="AJ20" s="2266"/>
      <c r="AK20" s="2223"/>
      <c r="AL20" s="2223"/>
    </row>
    <row r="21" spans="1:38" ht="16.399999999999999" customHeight="1">
      <c r="A21" s="2233"/>
      <c r="B21" s="2234"/>
      <c r="C21" s="2234"/>
      <c r="D21" s="609"/>
      <c r="E21" s="14"/>
      <c r="F21" s="14"/>
      <c r="G21" s="9"/>
      <c r="H21" s="609"/>
      <c r="I21" s="9"/>
      <c r="J21" s="1411"/>
      <c r="K21" s="19"/>
      <c r="L21" s="1407"/>
      <c r="M21" s="19"/>
      <c r="N21" s="1411"/>
      <c r="O21" s="19"/>
      <c r="P21" s="1407"/>
      <c r="Q21" s="612"/>
      <c r="R21" s="1407" t="s">
        <v>14</v>
      </c>
      <c r="S21" s="2284"/>
      <c r="T21" s="2284"/>
      <c r="U21" s="1411"/>
      <c r="V21" s="1407"/>
      <c r="W21" s="19"/>
      <c r="X21" s="1411"/>
      <c r="Y21" s="2284"/>
      <c r="Z21" s="2285"/>
      <c r="AA21" s="1411"/>
      <c r="AB21" s="1407"/>
      <c r="AC21" s="19"/>
      <c r="AD21" s="1411"/>
      <c r="AE21" s="1411"/>
      <c r="AF21" s="2259"/>
      <c r="AG21" s="14"/>
      <c r="AI21" s="1415"/>
      <c r="AJ21" s="7"/>
      <c r="AK21" s="2223"/>
      <c r="AL21" s="2223"/>
    </row>
    <row r="22" spans="1:38" ht="16.399999999999999" customHeight="1">
      <c r="A22" s="2233" t="s">
        <v>22</v>
      </c>
      <c r="B22" s="2234"/>
      <c r="C22" s="2234"/>
      <c r="D22" s="608"/>
      <c r="E22" s="9"/>
      <c r="F22" s="9"/>
      <c r="G22" s="9"/>
      <c r="H22" s="608"/>
      <c r="I22" s="9"/>
      <c r="J22" s="19"/>
      <c r="K22" s="19"/>
      <c r="L22" s="612"/>
      <c r="M22" s="19"/>
      <c r="N22" s="19"/>
      <c r="O22" s="19"/>
      <c r="P22" s="612"/>
      <c r="Q22" s="612"/>
      <c r="R22" s="612" t="s">
        <v>14</v>
      </c>
      <c r="S22" s="2284"/>
      <c r="T22" s="2284"/>
      <c r="U22" s="1411"/>
      <c r="V22" s="612"/>
      <c r="W22" s="19"/>
      <c r="X22" s="19"/>
      <c r="Y22" s="2284"/>
      <c r="Z22" s="2285"/>
      <c r="AA22" s="1411"/>
      <c r="AB22" s="612"/>
      <c r="AC22" s="19"/>
      <c r="AD22" s="1411"/>
      <c r="AE22" s="1411"/>
      <c r="AF22" s="2259"/>
      <c r="AG22" s="9"/>
      <c r="AI22" s="1415"/>
      <c r="AJ22" s="7"/>
      <c r="AK22" s="2223"/>
      <c r="AL22" s="2223"/>
    </row>
    <row r="23" spans="1:38" ht="16.399999999999999" customHeight="1">
      <c r="A23" s="2234" t="s">
        <v>23</v>
      </c>
      <c r="B23" s="2267" t="s">
        <v>14</v>
      </c>
      <c r="C23" s="2234"/>
      <c r="D23" s="611" t="s">
        <v>14</v>
      </c>
      <c r="E23" s="9"/>
      <c r="F23" s="10" t="s">
        <v>14</v>
      </c>
      <c r="G23" s="9"/>
      <c r="H23" s="610"/>
      <c r="I23" s="9"/>
      <c r="J23" s="2363"/>
      <c r="K23" s="19"/>
      <c r="L23" s="1774"/>
      <c r="M23" s="19"/>
      <c r="N23" s="2363"/>
      <c r="O23" s="19"/>
      <c r="P23" s="1774"/>
      <c r="Q23" s="612"/>
      <c r="R23" s="1774"/>
      <c r="S23" s="2284"/>
      <c r="T23" s="2284"/>
      <c r="U23" s="1411"/>
      <c r="V23" s="1774"/>
      <c r="W23" s="19"/>
      <c r="X23" s="2363"/>
      <c r="Y23" s="2284"/>
      <c r="Z23" s="2285"/>
      <c r="AA23" s="1411"/>
      <c r="AB23" s="1774"/>
      <c r="AC23" s="19"/>
      <c r="AD23" s="2363"/>
      <c r="AE23" s="1411"/>
      <c r="AF23" s="2259"/>
      <c r="AG23" s="15"/>
      <c r="AI23" s="2268"/>
      <c r="AJ23" s="7"/>
      <c r="AK23" s="2223"/>
      <c r="AL23" s="2223"/>
    </row>
    <row r="24" spans="1:38" ht="18" customHeight="1">
      <c r="A24" s="2269" t="s">
        <v>24</v>
      </c>
      <c r="B24" s="2234"/>
      <c r="C24" s="2234"/>
      <c r="D24" s="1355">
        <f>+'Exhibit F'!N100</f>
        <v>1656.900000000001</v>
      </c>
      <c r="E24" s="9"/>
      <c r="F24" s="9">
        <f>+'Exhibit F'!AC100</f>
        <v>11143.6</v>
      </c>
      <c r="G24" s="9"/>
      <c r="H24" s="1408">
        <f>'Exhibit G'!N88</f>
        <v>2704.5000000000005</v>
      </c>
      <c r="I24" s="9"/>
      <c r="J24" s="19">
        <f>+'Exhibit G'!AD88</f>
        <v>5720.4</v>
      </c>
      <c r="K24" s="19"/>
      <c r="L24" s="1775">
        <v>0</v>
      </c>
      <c r="M24" s="1411"/>
      <c r="N24" s="3797">
        <v>0</v>
      </c>
      <c r="O24" s="19"/>
      <c r="P24" s="3454">
        <f>'Exhibit I'!O69</f>
        <v>8.2999999999999972</v>
      </c>
      <c r="Q24" s="3454"/>
      <c r="R24" s="612">
        <f>+'Exhibit I'!AF69</f>
        <v>115.7</v>
      </c>
      <c r="S24" s="2284"/>
      <c r="T24" s="2284"/>
      <c r="U24" s="1411"/>
      <c r="V24" s="612">
        <f>ROUND(SUM(D24)+SUM(H24)+SUM(L24)+SUM(P24),1)</f>
        <v>4369.7</v>
      </c>
      <c r="W24" s="19" t="s">
        <v>14</v>
      </c>
      <c r="X24" s="19">
        <f>ROUND(SUM(F24)+SUM(J24)+SUM(N24)+SUM(R24),1)</f>
        <v>16979.7</v>
      </c>
      <c r="Y24" s="2284"/>
      <c r="Z24" s="2285"/>
      <c r="AA24" s="1411"/>
      <c r="AB24" s="2025">
        <v>4157.3</v>
      </c>
      <c r="AC24" s="19"/>
      <c r="AD24" s="1411">
        <f>'Exhibit F'!AF100+'Exhibit G'!AG88+'Exhibit I'!AI69</f>
        <v>15273.8</v>
      </c>
      <c r="AE24" s="3929"/>
      <c r="AF24" s="2270"/>
      <c r="AG24" s="9">
        <f>ROUND(SUM(X24-AD24),1)</f>
        <v>1705.9</v>
      </c>
      <c r="AI24" s="1412">
        <f>ROUND(SUM((+X24-AD24)/ABS(AD24)),3)</f>
        <v>0.112</v>
      </c>
      <c r="AJ24" s="606"/>
      <c r="AK24" s="2223"/>
      <c r="AL24" s="2223"/>
    </row>
    <row r="25" spans="1:38" ht="18" customHeight="1">
      <c r="A25" s="2269" t="s">
        <v>25</v>
      </c>
      <c r="B25" s="2271"/>
      <c r="C25" s="2234"/>
      <c r="D25" s="1355">
        <f>+'Exhibit F'!N101</f>
        <v>0</v>
      </c>
      <c r="E25" s="9"/>
      <c r="F25" s="9">
        <f>+'Exhibit F'!AC101</f>
        <v>5.9</v>
      </c>
      <c r="G25" s="9"/>
      <c r="H25" s="1408">
        <f>'Exhibit G'!N89</f>
        <v>0.19999999999999996</v>
      </c>
      <c r="I25" s="9"/>
      <c r="J25" s="19">
        <f>+'Exhibit G'!AD89</f>
        <v>2.4</v>
      </c>
      <c r="K25" s="19"/>
      <c r="L25" s="1775">
        <v>0</v>
      </c>
      <c r="M25" s="1411"/>
      <c r="N25" s="3797">
        <v>0</v>
      </c>
      <c r="O25" s="19"/>
      <c r="P25" s="3454">
        <f>'Exhibit I'!O70</f>
        <v>15.600000000000016</v>
      </c>
      <c r="Q25" s="3454"/>
      <c r="R25" s="612">
        <f>+'Exhibit I'!AF70</f>
        <v>115</v>
      </c>
      <c r="S25" s="2284"/>
      <c r="T25" s="2284"/>
      <c r="U25" s="1411"/>
      <c r="V25" s="612">
        <f t="shared" ref="V25:V32" si="4">ROUND(SUM(D25)+SUM(H25)+SUM(L25)+SUM(P25),1)</f>
        <v>15.8</v>
      </c>
      <c r="W25" s="19" t="s">
        <v>14</v>
      </c>
      <c r="X25" s="19">
        <f t="shared" ref="X25:X32" si="5">ROUND(SUM(F25)+SUM(J25)+SUM(N25)+SUM(R25),1)</f>
        <v>123.3</v>
      </c>
      <c r="Y25" s="2284"/>
      <c r="Z25" s="2285"/>
      <c r="AA25" s="1411"/>
      <c r="AB25" s="2025">
        <v>15.6</v>
      </c>
      <c r="AC25" s="3351"/>
      <c r="AD25" s="1411">
        <f>'Exhibit F'!AF101+'Exhibit G'!AG89+'Exhibit I'!AI70</f>
        <v>71.3</v>
      </c>
      <c r="AE25" s="1411"/>
      <c r="AF25" s="2259"/>
      <c r="AG25" s="9">
        <f t="shared" ref="AG25:AG33" si="6">ROUND(SUM(X25-AD25),1)</f>
        <v>52</v>
      </c>
      <c r="AI25" s="1412">
        <f t="shared" ref="AI25:AI32" si="7">ROUND(SUM((+X25-AD25)/ABS(AD25)),3)</f>
        <v>0.72899999999999998</v>
      </c>
      <c r="AJ25" s="7"/>
      <c r="AK25" s="2223"/>
      <c r="AL25" s="2223"/>
    </row>
    <row r="26" spans="1:38" ht="18" customHeight="1">
      <c r="A26" s="2269" t="s">
        <v>26</v>
      </c>
      <c r="B26" s="2272"/>
      <c r="C26" s="2234"/>
      <c r="D26" s="1355">
        <f>+'Exhibit F'!N102</f>
        <v>109.40000000000003</v>
      </c>
      <c r="E26" s="9"/>
      <c r="F26" s="9">
        <f>+'Exhibit F'!AC102</f>
        <v>608.9</v>
      </c>
      <c r="G26" s="9"/>
      <c r="H26" s="1408">
        <f>'Exhibit G'!N90</f>
        <v>25.999999999999972</v>
      </c>
      <c r="I26" s="9"/>
      <c r="J26" s="19">
        <f>+'Exhibit G'!AD90</f>
        <v>593.9</v>
      </c>
      <c r="K26" s="19"/>
      <c r="L26" s="1775">
        <v>0</v>
      </c>
      <c r="M26" s="1411"/>
      <c r="N26" s="3797">
        <v>0</v>
      </c>
      <c r="O26" s="19"/>
      <c r="P26" s="3454">
        <f>'Exhibit I'!O71</f>
        <v>59.899999999999991</v>
      </c>
      <c r="Q26" s="3454"/>
      <c r="R26" s="612">
        <f>+'Exhibit I'!AF71</f>
        <v>205.2</v>
      </c>
      <c r="S26" s="2284"/>
      <c r="T26" s="2284"/>
      <c r="U26" s="1411"/>
      <c r="V26" s="612">
        <f t="shared" si="4"/>
        <v>195.3</v>
      </c>
      <c r="W26" s="19" t="s">
        <v>14</v>
      </c>
      <c r="X26" s="19">
        <f t="shared" si="5"/>
        <v>1408</v>
      </c>
      <c r="Y26" s="2284"/>
      <c r="Z26" s="2285"/>
      <c r="AA26" s="1411"/>
      <c r="AB26" s="2025">
        <v>3937.2</v>
      </c>
      <c r="AC26" s="19"/>
      <c r="AD26" s="1411">
        <f>'Exhibit F'!AF102+'Exhibit G'!AG90+'Exhibit I'!AI71</f>
        <v>4723.5</v>
      </c>
      <c r="AE26" s="1411"/>
      <c r="AF26" s="2259"/>
      <c r="AG26" s="9">
        <f t="shared" si="6"/>
        <v>-3315.5</v>
      </c>
      <c r="AI26" s="1412">
        <f t="shared" si="7"/>
        <v>-0.70199999999999996</v>
      </c>
      <c r="AJ26" s="606"/>
      <c r="AK26" s="2223"/>
      <c r="AL26" s="2223"/>
    </row>
    <row r="27" spans="1:38" ht="18" customHeight="1">
      <c r="A27" s="2269" t="s">
        <v>27</v>
      </c>
      <c r="B27" s="2273"/>
      <c r="C27" s="2234"/>
      <c r="D27" s="608"/>
      <c r="E27" s="9"/>
      <c r="F27" s="9"/>
      <c r="G27" s="9"/>
      <c r="H27" s="1408"/>
      <c r="I27" s="9"/>
      <c r="J27" s="19" t="s">
        <v>14</v>
      </c>
      <c r="K27" s="19"/>
      <c r="L27" s="3930" t="s">
        <v>14</v>
      </c>
      <c r="M27" s="1411"/>
      <c r="N27" s="2358" t="s">
        <v>14</v>
      </c>
      <c r="O27" s="19"/>
      <c r="P27" s="3454"/>
      <c r="Q27" s="3454"/>
      <c r="R27" s="612"/>
      <c r="S27" s="2284"/>
      <c r="T27" s="2284"/>
      <c r="U27" s="1411"/>
      <c r="V27" s="612" t="s">
        <v>14</v>
      </c>
      <c r="W27" s="19"/>
      <c r="X27" s="612" t="s">
        <v>14</v>
      </c>
      <c r="Y27" s="2284"/>
      <c r="Z27" s="2285"/>
      <c r="AA27" s="1411"/>
      <c r="AB27" s="612"/>
      <c r="AC27" s="19"/>
      <c r="AD27" s="19"/>
      <c r="AE27" s="1411"/>
      <c r="AF27" s="2259"/>
      <c r="AG27" s="9"/>
      <c r="AI27" s="1424" t="s">
        <v>14</v>
      </c>
      <c r="AJ27" s="7"/>
      <c r="AK27" s="2223"/>
      <c r="AL27" s="2223"/>
    </row>
    <row r="28" spans="1:38" ht="18" customHeight="1">
      <c r="A28" s="2274" t="s">
        <v>28</v>
      </c>
      <c r="B28" s="2256"/>
      <c r="C28" s="2234"/>
      <c r="D28" s="1355">
        <f>+'Exhibit F'!N104</f>
        <v>1322.6000000000004</v>
      </c>
      <c r="E28" s="9"/>
      <c r="F28" s="9">
        <f>+'Exhibit F'!AC104</f>
        <v>9783.7000000000007</v>
      </c>
      <c r="G28" s="9"/>
      <c r="H28" s="1408">
        <f>'Exhibit G'!N92</f>
        <v>4182.7999999999993</v>
      </c>
      <c r="I28" s="9"/>
      <c r="J28" s="19">
        <f>+'Exhibit G'!AD92</f>
        <v>25041.1</v>
      </c>
      <c r="K28" s="19"/>
      <c r="L28" s="1775">
        <v>0</v>
      </c>
      <c r="M28" s="1411"/>
      <c r="N28" s="3797">
        <v>0</v>
      </c>
      <c r="O28" s="19"/>
      <c r="P28" s="3454">
        <f>'Exhibit I'!O73</f>
        <v>0</v>
      </c>
      <c r="Q28" s="3454"/>
      <c r="R28" s="1774">
        <f>+'Exhibit I'!AF73</f>
        <v>0</v>
      </c>
      <c r="S28" s="2284"/>
      <c r="T28" s="2284"/>
      <c r="U28" s="1411"/>
      <c r="V28" s="612">
        <f t="shared" si="4"/>
        <v>5505.4</v>
      </c>
      <c r="W28" s="19" t="s">
        <v>14</v>
      </c>
      <c r="X28" s="19">
        <f t="shared" si="5"/>
        <v>34824.800000000003</v>
      </c>
      <c r="Y28" s="2284"/>
      <c r="Z28" s="2285"/>
      <c r="AA28" s="1411"/>
      <c r="AB28" s="2025">
        <v>7004.6</v>
      </c>
      <c r="AC28" s="19"/>
      <c r="AD28" s="1411">
        <f>'Exhibit F'!AF104+'Exhibit G'!AG92+'Exhibit I'!AI73</f>
        <v>34247.399999999994</v>
      </c>
      <c r="AE28" s="1411"/>
      <c r="AF28" s="2259"/>
      <c r="AG28" s="9">
        <f t="shared" si="6"/>
        <v>577.4</v>
      </c>
      <c r="AI28" s="1412">
        <f t="shared" si="7"/>
        <v>1.7000000000000001E-2</v>
      </c>
      <c r="AJ28" s="606"/>
      <c r="AK28" s="2275"/>
      <c r="AL28" s="2223"/>
    </row>
    <row r="29" spans="1:38" ht="18" customHeight="1">
      <c r="A29" s="2269" t="s">
        <v>29</v>
      </c>
      <c r="B29" s="2256"/>
      <c r="C29" s="2234"/>
      <c r="D29" s="1355">
        <f>+'Exhibit F'!N105</f>
        <v>317.49999999999989</v>
      </c>
      <c r="E29" s="9"/>
      <c r="F29" s="9">
        <f>+'Exhibit F'!AC105</f>
        <v>1138.3</v>
      </c>
      <c r="G29" s="9"/>
      <c r="H29" s="1408">
        <f>'Exhibit G'!N93</f>
        <v>864.30000000000041</v>
      </c>
      <c r="I29" s="9"/>
      <c r="J29" s="19">
        <f>+'Exhibit G'!AD93</f>
        <v>4359.8999999999996</v>
      </c>
      <c r="K29" s="19"/>
      <c r="L29" s="1775">
        <v>0</v>
      </c>
      <c r="M29" s="1411"/>
      <c r="N29" s="3797">
        <v>0</v>
      </c>
      <c r="O29" s="19"/>
      <c r="P29" s="3454">
        <f>'Exhibit I'!O74</f>
        <v>36.79999999999999</v>
      </c>
      <c r="Q29" s="3454"/>
      <c r="R29" s="612">
        <f>+'Exhibit I'!AF74</f>
        <v>269.2</v>
      </c>
      <c r="S29" s="2284"/>
      <c r="T29" s="2284"/>
      <c r="U29" s="1411"/>
      <c r="V29" s="612">
        <f t="shared" si="4"/>
        <v>1218.5999999999999</v>
      </c>
      <c r="W29" s="19" t="s">
        <v>14</v>
      </c>
      <c r="X29" s="19">
        <f t="shared" si="5"/>
        <v>5767.4</v>
      </c>
      <c r="Y29" s="2284"/>
      <c r="Z29" s="2285"/>
      <c r="AA29" s="1411"/>
      <c r="AB29" s="2025">
        <v>1078.5</v>
      </c>
      <c r="AC29" s="19"/>
      <c r="AD29" s="1411">
        <f>'Exhibit F'!AF105+'Exhibit G'!AG93+'Exhibit I'!AI74</f>
        <v>5030.3000000000011</v>
      </c>
      <c r="AE29" s="1411"/>
      <c r="AF29" s="2259"/>
      <c r="AG29" s="9">
        <f t="shared" si="6"/>
        <v>737.1</v>
      </c>
      <c r="AI29" s="1412">
        <f t="shared" si="7"/>
        <v>0.14699999999999999</v>
      </c>
      <c r="AJ29" s="7"/>
      <c r="AK29" s="2223"/>
      <c r="AL29" s="2223"/>
    </row>
    <row r="30" spans="1:38" ht="18" customHeight="1">
      <c r="A30" s="2269" t="s">
        <v>30</v>
      </c>
      <c r="B30" s="2273"/>
      <c r="C30" s="2234"/>
      <c r="D30" s="1355">
        <f>+'Exhibit F'!N106</f>
        <v>19.400000000000006</v>
      </c>
      <c r="E30" s="9"/>
      <c r="F30" s="9">
        <f>+'Exhibit F'!AC106</f>
        <v>79.7</v>
      </c>
      <c r="G30" s="9"/>
      <c r="H30" s="1408">
        <f>'Exhibit G'!N94</f>
        <v>205.2</v>
      </c>
      <c r="I30" s="9"/>
      <c r="J30" s="19">
        <f>+'Exhibit G'!AD94</f>
        <v>889</v>
      </c>
      <c r="K30" s="19"/>
      <c r="L30" s="1775">
        <v>0</v>
      </c>
      <c r="M30" s="1411"/>
      <c r="N30" s="3797">
        <v>0</v>
      </c>
      <c r="O30" s="19"/>
      <c r="P30" s="3454">
        <f>'Exhibit I'!O75</f>
        <v>0.70000000000000284</v>
      </c>
      <c r="Q30" s="3454"/>
      <c r="R30" s="1774">
        <f>+'Exhibit I'!AF75</f>
        <v>38.799999999999997</v>
      </c>
      <c r="S30" s="2284"/>
      <c r="T30" s="2284"/>
      <c r="U30" s="1411"/>
      <c r="V30" s="612">
        <f t="shared" si="4"/>
        <v>225.3</v>
      </c>
      <c r="W30" s="19" t="s">
        <v>14</v>
      </c>
      <c r="X30" s="19">
        <f t="shared" si="5"/>
        <v>1007.5</v>
      </c>
      <c r="Y30" s="2284"/>
      <c r="Z30" s="2285"/>
      <c r="AA30" s="1411"/>
      <c r="AB30" s="2025">
        <v>151</v>
      </c>
      <c r="AC30" s="19"/>
      <c r="AD30" s="1411">
        <f>'Exhibit F'!AF106+'Exhibit G'!AG94+'Exhibit I'!AI75</f>
        <v>809.6</v>
      </c>
      <c r="AE30" s="1411"/>
      <c r="AF30" s="2259"/>
      <c r="AG30" s="9">
        <f t="shared" si="6"/>
        <v>197.9</v>
      </c>
      <c r="AI30" s="1412">
        <f t="shared" si="7"/>
        <v>0.24399999999999999</v>
      </c>
      <c r="AJ30" s="7"/>
      <c r="AK30" s="2223"/>
      <c r="AL30" s="2223"/>
    </row>
    <row r="31" spans="1:38" ht="18" customHeight="1">
      <c r="A31" s="2269" t="s">
        <v>31</v>
      </c>
      <c r="B31" s="2234"/>
      <c r="C31" s="2234"/>
      <c r="D31" s="1355">
        <f>+'Exhibit F'!N107</f>
        <v>943.2</v>
      </c>
      <c r="E31" s="9"/>
      <c r="F31" s="9">
        <f>+'Exhibit F'!AC107</f>
        <v>2032.6</v>
      </c>
      <c r="G31" s="9"/>
      <c r="H31" s="1408">
        <f>'Exhibit G'!N95</f>
        <v>1389.6000000000001</v>
      </c>
      <c r="I31" s="9"/>
      <c r="J31" s="19">
        <f>+'Exhibit G'!AD95</f>
        <v>3568.6</v>
      </c>
      <c r="K31" s="19"/>
      <c r="L31" s="1775">
        <v>0</v>
      </c>
      <c r="M31" s="1411"/>
      <c r="N31" s="3797">
        <v>0</v>
      </c>
      <c r="O31" s="19"/>
      <c r="P31" s="3454">
        <f>'Exhibit I'!O76</f>
        <v>39.400000000000034</v>
      </c>
      <c r="Q31" s="3454"/>
      <c r="R31" s="612">
        <f>+'Exhibit I'!AF76</f>
        <v>315.10000000000002</v>
      </c>
      <c r="S31" s="2284"/>
      <c r="T31" s="2284"/>
      <c r="U31" s="1411"/>
      <c r="V31" s="612">
        <f t="shared" si="4"/>
        <v>2372.1999999999998</v>
      </c>
      <c r="W31" s="19" t="s">
        <v>14</v>
      </c>
      <c r="X31" s="19">
        <f t="shared" si="5"/>
        <v>5916.3</v>
      </c>
      <c r="Y31" s="2284"/>
      <c r="Z31" s="2285"/>
      <c r="AA31" s="1411"/>
      <c r="AB31" s="2025">
        <v>1487.5</v>
      </c>
      <c r="AC31" s="19"/>
      <c r="AD31" s="1411">
        <f>'Exhibit F'!AF107+'Exhibit G'!AG95+'Exhibit I'!AI76</f>
        <v>3520.5999999999995</v>
      </c>
      <c r="AE31" s="1411"/>
      <c r="AF31" s="2259"/>
      <c r="AG31" s="9">
        <f t="shared" si="6"/>
        <v>2395.6999999999998</v>
      </c>
      <c r="AI31" s="1412">
        <f t="shared" si="7"/>
        <v>0.68</v>
      </c>
      <c r="AJ31" s="7"/>
      <c r="AK31" s="2223"/>
      <c r="AL31" s="2223"/>
    </row>
    <row r="32" spans="1:38" ht="18" customHeight="1">
      <c r="A32" s="2269" t="s">
        <v>32</v>
      </c>
      <c r="B32" s="2273"/>
      <c r="C32" s="2234"/>
      <c r="D32" s="1355">
        <f>+'Exhibit F'!N108</f>
        <v>13.100000000000023</v>
      </c>
      <c r="E32" s="9"/>
      <c r="F32" s="9">
        <f>+'Exhibit F'!AC108</f>
        <v>272.5</v>
      </c>
      <c r="G32" s="9"/>
      <c r="H32" s="1408">
        <f>'Exhibit G'!N96</f>
        <v>14.9</v>
      </c>
      <c r="I32" s="9"/>
      <c r="J32" s="19">
        <f>+'Exhibit G'!AD96</f>
        <v>28.3</v>
      </c>
      <c r="K32" s="19"/>
      <c r="L32" s="1775">
        <v>0</v>
      </c>
      <c r="M32" s="1411" t="s">
        <v>14</v>
      </c>
      <c r="N32" s="3797">
        <v>0</v>
      </c>
      <c r="O32" s="19"/>
      <c r="P32" s="3454">
        <f>'Exhibit I'!O77</f>
        <v>104.80000000000001</v>
      </c>
      <c r="Q32" s="3454"/>
      <c r="R32" s="612">
        <f>+'Exhibit I'!AF77</f>
        <v>400.2</v>
      </c>
      <c r="S32" s="2284"/>
      <c r="T32" s="2284"/>
      <c r="U32" s="1411"/>
      <c r="V32" s="612">
        <f t="shared" si="4"/>
        <v>132.80000000000001</v>
      </c>
      <c r="W32" s="19" t="s">
        <v>14</v>
      </c>
      <c r="X32" s="19">
        <f t="shared" si="5"/>
        <v>701</v>
      </c>
      <c r="Y32" s="2284"/>
      <c r="Z32" s="2285"/>
      <c r="AA32" s="1411"/>
      <c r="AB32" s="2025">
        <v>22.299999999999997</v>
      </c>
      <c r="AC32" s="19"/>
      <c r="AD32" s="1411">
        <f>'Exhibit F'!AF108+'Exhibit G'!AG96+'Exhibit I'!AI77</f>
        <v>232.6</v>
      </c>
      <c r="AE32" s="1411"/>
      <c r="AF32" s="2259"/>
      <c r="AG32" s="9">
        <f t="shared" si="6"/>
        <v>468.4</v>
      </c>
      <c r="AI32" s="1412">
        <f t="shared" si="7"/>
        <v>2.0139999999999998</v>
      </c>
      <c r="AJ32" s="7"/>
      <c r="AK32" s="2223"/>
      <c r="AL32" s="2223"/>
    </row>
    <row r="33" spans="1:38" ht="18" customHeight="1">
      <c r="A33" s="2269" t="s">
        <v>33</v>
      </c>
      <c r="B33" s="2234"/>
      <c r="C33" s="2234"/>
      <c r="D33" s="1355">
        <f>+'Exhibit F'!N109</f>
        <v>0.10000000000000853</v>
      </c>
      <c r="E33" s="9"/>
      <c r="F33" s="9">
        <f>+'Exhibit F'!AC109</f>
        <v>72.400000000000006</v>
      </c>
      <c r="G33" s="9"/>
      <c r="H33" s="1408">
        <f>'Exhibit G'!N97</f>
        <v>277.50000000000028</v>
      </c>
      <c r="I33" s="9"/>
      <c r="J33" s="19">
        <f>+'Exhibit G'!AD97</f>
        <v>1896.2</v>
      </c>
      <c r="K33" s="19"/>
      <c r="L33" s="1775">
        <v>0</v>
      </c>
      <c r="M33" s="1411"/>
      <c r="N33" s="3797">
        <v>0</v>
      </c>
      <c r="O33" s="19"/>
      <c r="P33" s="3454">
        <f>'Exhibit I'!O78</f>
        <v>346.20000000000016</v>
      </c>
      <c r="Q33" s="3454"/>
      <c r="R33" s="612">
        <f>+'Exhibit I'!AF78</f>
        <v>1315.2</v>
      </c>
      <c r="S33" s="2284"/>
      <c r="T33" s="2284"/>
      <c r="U33" s="1411"/>
      <c r="V33" s="612">
        <f>ROUND(SUM(D33)+SUM(H33)+SUM(L33)+SUM(P33),1)</f>
        <v>623.79999999999995</v>
      </c>
      <c r="W33" s="19" t="s">
        <v>14</v>
      </c>
      <c r="X33" s="19">
        <f>ROUND(SUM(F33)+SUM(J33)+SUM(N33)+SUM(R33),1)</f>
        <v>3283.8</v>
      </c>
      <c r="Y33" s="2284"/>
      <c r="Z33" s="2285"/>
      <c r="AA33" s="1411"/>
      <c r="AB33" s="2025">
        <v>618.1</v>
      </c>
      <c r="AC33" s="19"/>
      <c r="AD33" s="1411">
        <f>'Exhibit F'!AF109+'Exhibit G'!AG97+'Exhibit I'!AI78</f>
        <v>2206.6999999999998</v>
      </c>
      <c r="AE33" s="1411"/>
      <c r="AF33" s="2259"/>
      <c r="AG33" s="9">
        <f t="shared" si="6"/>
        <v>1077.0999999999999</v>
      </c>
      <c r="AI33" s="1412">
        <f>ROUND(SUM((+X33-AD33)/ABS(AD33)),3)</f>
        <v>0.48799999999999999</v>
      </c>
      <c r="AJ33" s="606"/>
      <c r="AK33" s="2223"/>
      <c r="AL33" s="2223"/>
    </row>
    <row r="34" spans="1:38" ht="18" customHeight="1">
      <c r="A34" s="2233" t="s">
        <v>34</v>
      </c>
      <c r="B34" s="2234"/>
      <c r="C34" s="2234"/>
      <c r="D34" s="12">
        <f>ROUND(SUM(D24:D33),1)</f>
        <v>4382.2</v>
      </c>
      <c r="E34" s="2263"/>
      <c r="F34" s="12">
        <f>ROUND(SUM(F24:F33),1)</f>
        <v>25137.599999999999</v>
      </c>
      <c r="G34" s="1352"/>
      <c r="H34" s="12">
        <f>ROUND(SUM(H24:H33),1)</f>
        <v>9665</v>
      </c>
      <c r="I34" s="1352"/>
      <c r="J34" s="1543">
        <f>ROUND(SUM(J24:J33),1)</f>
        <v>42099.8</v>
      </c>
      <c r="K34" s="20"/>
      <c r="L34" s="1543">
        <f>ROUND(SUM(L24:L33),1)</f>
        <v>0</v>
      </c>
      <c r="M34" s="20"/>
      <c r="N34" s="3931">
        <f>ROUND(SUM(N24:N33),1)</f>
        <v>0</v>
      </c>
      <c r="O34" s="20"/>
      <c r="P34" s="3928">
        <f>ROUND(SUM(P24:P33),1)</f>
        <v>611.70000000000005</v>
      </c>
      <c r="Q34" s="20"/>
      <c r="R34" s="3928">
        <f>ROUND(SUM(R24:R33),1)</f>
        <v>2774.4</v>
      </c>
      <c r="S34" s="2288"/>
      <c r="T34" s="2288"/>
      <c r="U34" s="1464"/>
      <c r="V34" s="1543">
        <f>ROUND(SUM(V24:V33),1)</f>
        <v>14658.9</v>
      </c>
      <c r="W34" s="20"/>
      <c r="X34" s="1543">
        <f>ROUND(SUM(X24:X33),1)</f>
        <v>70011.8</v>
      </c>
      <c r="Y34" s="2288"/>
      <c r="Z34" s="2289"/>
      <c r="AA34" s="1464"/>
      <c r="AB34" s="1543">
        <f>ROUND(SUM(AB23:AB33),1)</f>
        <v>18472.099999999999</v>
      </c>
      <c r="AC34" s="20"/>
      <c r="AD34" s="1543">
        <f>ROUND(SUM(AD23:AD33),1)</f>
        <v>66115.8</v>
      </c>
      <c r="AE34" s="1464"/>
      <c r="AF34" s="2264"/>
      <c r="AG34" s="12">
        <f>ROUND(SUM(AG24:AG33),1)</f>
        <v>3896</v>
      </c>
      <c r="AH34" s="2265"/>
      <c r="AI34" s="1428">
        <f>ROUND(SUM((+X34-AD34)/ABS(AD34)),3)</f>
        <v>5.8999999999999997E-2</v>
      </c>
      <c r="AJ34" s="2235"/>
      <c r="AK34" s="2223"/>
      <c r="AL34" s="2223"/>
    </row>
    <row r="35" spans="1:38" ht="18" customHeight="1">
      <c r="A35" s="2234" t="s">
        <v>35</v>
      </c>
      <c r="B35" s="2272"/>
      <c r="C35" s="2234"/>
      <c r="D35" s="608"/>
      <c r="E35" s="9"/>
      <c r="F35" s="9"/>
      <c r="G35" s="9"/>
      <c r="H35" s="608"/>
      <c r="I35" s="9"/>
      <c r="J35" s="19"/>
      <c r="K35" s="19"/>
      <c r="L35" s="612"/>
      <c r="M35" s="19"/>
      <c r="N35" s="19"/>
      <c r="O35" s="19"/>
      <c r="P35" s="612"/>
      <c r="Q35" s="612"/>
      <c r="R35" s="612"/>
      <c r="S35" s="2284"/>
      <c r="T35" s="2284"/>
      <c r="U35" s="1411"/>
      <c r="V35" s="612"/>
      <c r="W35" s="19"/>
      <c r="X35" s="19"/>
      <c r="Y35" s="2284"/>
      <c r="Z35" s="2285"/>
      <c r="AA35" s="1411"/>
      <c r="AB35" s="612"/>
      <c r="AC35" s="19"/>
      <c r="AD35" s="1411"/>
      <c r="AE35" s="1411"/>
      <c r="AF35" s="2259"/>
      <c r="AG35" s="9"/>
      <c r="AI35" s="1415"/>
      <c r="AJ35" s="7"/>
      <c r="AK35" s="2223"/>
      <c r="AL35" s="2223"/>
    </row>
    <row r="36" spans="1:38" ht="18" customHeight="1">
      <c r="A36" s="2234" t="s">
        <v>36</v>
      </c>
      <c r="B36" s="2271"/>
      <c r="C36" s="2234"/>
      <c r="D36" s="608">
        <f>+'Exhibit F'!N112</f>
        <v>820.1999999999997</v>
      </c>
      <c r="E36" s="9"/>
      <c r="F36" s="9">
        <f>+'Exhibit F'!AC112</f>
        <v>4172</v>
      </c>
      <c r="G36" s="9"/>
      <c r="H36" s="1408">
        <f>'Exhibit G'!N100</f>
        <v>666.10000000000014</v>
      </c>
      <c r="I36" s="9"/>
      <c r="J36" s="19">
        <f>+'Exhibit G'!AD100</f>
        <v>3272.3</v>
      </c>
      <c r="K36" s="19"/>
      <c r="L36" s="1406">
        <v>0</v>
      </c>
      <c r="M36" s="19"/>
      <c r="N36" s="18">
        <v>0</v>
      </c>
      <c r="O36" s="19"/>
      <c r="P36" s="1406">
        <f>'Exhibit I'!O81</f>
        <v>0</v>
      </c>
      <c r="Q36" s="612"/>
      <c r="R36" s="1406">
        <f>+'Exhibit I'!AF81</f>
        <v>0</v>
      </c>
      <c r="S36" s="2284"/>
      <c r="T36" s="2284"/>
      <c r="U36" s="1411"/>
      <c r="V36" s="612">
        <f>ROUND(SUM(D36)+SUM(H36)+SUM(L36)+SUM(P36),1)</f>
        <v>1486.3</v>
      </c>
      <c r="W36" s="19" t="s">
        <v>14</v>
      </c>
      <c r="X36" s="19">
        <f>ROUND(SUM(F36)+SUM(J36)+SUM(N36)+SUM(R36),1)</f>
        <v>7444.3</v>
      </c>
      <c r="Y36" s="2284"/>
      <c r="Z36" s="2285"/>
      <c r="AA36" s="1411"/>
      <c r="AB36" s="2025">
        <v>1527</v>
      </c>
      <c r="AC36" s="3352"/>
      <c r="AD36" s="19">
        <f>'Exhibit F'!AF112+'Exhibit G'!AG100+'Exhibit I'!AI81</f>
        <v>7681.5</v>
      </c>
      <c r="AE36" s="1411"/>
      <c r="AF36" s="2259"/>
      <c r="AG36" s="9">
        <f>ROUND(SUM(X36-AD36),1)</f>
        <v>-237.2</v>
      </c>
      <c r="AI36" s="1412">
        <f>ROUND(SUM((+X36-AD36)/ABS(AD36)),3)</f>
        <v>-3.1E-2</v>
      </c>
      <c r="AJ36" s="7"/>
      <c r="AK36" s="2223"/>
      <c r="AL36" s="2223"/>
    </row>
    <row r="37" spans="1:38" ht="18" customHeight="1">
      <c r="A37" s="2234" t="s">
        <v>37</v>
      </c>
      <c r="B37" s="2272"/>
      <c r="C37" s="2234"/>
      <c r="D37" s="608">
        <f>+'Exhibit F'!N113</f>
        <v>248.09999999999985</v>
      </c>
      <c r="E37" s="9"/>
      <c r="F37" s="9">
        <f>+'Exhibit F'!AC113</f>
        <v>1161.8</v>
      </c>
      <c r="G37" s="9"/>
      <c r="H37" s="1408">
        <f>'Exhibit G'!N101</f>
        <v>440.29999999999995</v>
      </c>
      <c r="I37" s="9"/>
      <c r="J37" s="19">
        <f>+'Exhibit G'!AD101</f>
        <v>2705.4</v>
      </c>
      <c r="K37" s="19"/>
      <c r="L37" s="3454">
        <f>+'Exhibit H'!L55</f>
        <v>2.1999999999999993</v>
      </c>
      <c r="M37" s="19"/>
      <c r="N37" s="19">
        <f>+'Exhibit H'!AA55</f>
        <v>0.8</v>
      </c>
      <c r="O37" s="19" t="s">
        <v>14</v>
      </c>
      <c r="P37" s="1406">
        <f>'Exhibit I'!O82</f>
        <v>0</v>
      </c>
      <c r="Q37" s="612"/>
      <c r="R37" s="1406">
        <f>+'Exhibit I'!AF82</f>
        <v>0</v>
      </c>
      <c r="S37" s="2284"/>
      <c r="T37" s="2284"/>
      <c r="U37" s="1411"/>
      <c r="V37" s="612">
        <f>ROUND(SUM(D37)+SUM(H37)+SUM(L37)+SUM(P37),1)</f>
        <v>690.6</v>
      </c>
      <c r="W37" s="19" t="s">
        <v>14</v>
      </c>
      <c r="X37" s="19">
        <f>ROUND(SUM(F37)+SUM(J37)+SUM(N37)+SUM(R37),1)</f>
        <v>3868</v>
      </c>
      <c r="Y37" s="2284"/>
      <c r="Z37" s="2285"/>
      <c r="AA37" s="1411"/>
      <c r="AB37" s="2025">
        <v>756.7</v>
      </c>
      <c r="AC37" s="3352"/>
      <c r="AD37" s="19">
        <f>'Exhibit F'!AF113+'Exhibit G'!AG101+'Exhibit I'!AI82+'Exhibit H'!AD55</f>
        <v>3445.2000000000003</v>
      </c>
      <c r="AE37" s="1411"/>
      <c r="AF37" s="2259"/>
      <c r="AG37" s="9">
        <f>ROUND(SUM(X37-AD37),1)</f>
        <v>422.8</v>
      </c>
      <c r="AI37" s="1412">
        <f>ROUND(SUM((+X37-AD37)/ABS(AD37)),3)</f>
        <v>0.123</v>
      </c>
      <c r="AJ37" s="606"/>
      <c r="AK37" s="2215"/>
      <c r="AL37" s="2223"/>
    </row>
    <row r="38" spans="1:38" ht="18" customHeight="1">
      <c r="A38" s="2234" t="s">
        <v>38</v>
      </c>
      <c r="B38" s="2273"/>
      <c r="C38" s="2234"/>
      <c r="D38" s="608">
        <f>+'Exhibit F'!N114</f>
        <v>611.89999999999964</v>
      </c>
      <c r="E38" s="9"/>
      <c r="F38" s="9">
        <f>+'Exhibit F'!AC114</f>
        <v>4912.7</v>
      </c>
      <c r="G38" s="2276"/>
      <c r="H38" s="1408">
        <f>'Exhibit G'!N102</f>
        <v>119.99999999999997</v>
      </c>
      <c r="I38" s="9"/>
      <c r="J38" s="19">
        <f>+'Exhibit G'!AD102</f>
        <v>861.3</v>
      </c>
      <c r="K38" s="19"/>
      <c r="L38" s="1406">
        <v>0</v>
      </c>
      <c r="M38" s="19"/>
      <c r="N38" s="18">
        <v>0</v>
      </c>
      <c r="O38" s="19"/>
      <c r="P38" s="1406">
        <f>'Exhibit I'!O83</f>
        <v>0</v>
      </c>
      <c r="Q38" s="612"/>
      <c r="R38" s="1406">
        <f>+'Exhibit I'!AF83</f>
        <v>0</v>
      </c>
      <c r="S38" s="2284"/>
      <c r="T38" s="2284"/>
      <c r="U38" s="1411"/>
      <c r="V38" s="612">
        <f>ROUND(SUM(D38)+SUM(H38)+SUM(L38)+SUM(P38),1)</f>
        <v>731.9</v>
      </c>
      <c r="W38" s="19" t="s">
        <v>14</v>
      </c>
      <c r="X38" s="19">
        <f>ROUND(SUM(F38)+SUM(J38)+SUM(N38)+SUM(R38),1)</f>
        <v>5774</v>
      </c>
      <c r="Y38" s="2284"/>
      <c r="Z38" s="2285"/>
      <c r="AA38" s="1411"/>
      <c r="AB38" s="2025">
        <v>616.1</v>
      </c>
      <c r="AC38" s="19"/>
      <c r="AD38" s="19">
        <f>'Exhibit F'!AF114+'Exhibit G'!AG102+'Exhibit I'!AI83</f>
        <v>5053.7</v>
      </c>
      <c r="AE38" s="1411"/>
      <c r="AF38" s="2259"/>
      <c r="AG38" s="9">
        <f>ROUND(SUM(X38-AD38),1)</f>
        <v>720.3</v>
      </c>
      <c r="AI38" s="1412">
        <f>ROUND(SUM((+X38-AD38)/ABS(AD38)),3)</f>
        <v>0.14299999999999999</v>
      </c>
      <c r="AJ38" s="7"/>
      <c r="AK38" s="2223"/>
      <c r="AL38" s="2223"/>
    </row>
    <row r="39" spans="1:38" ht="18" customHeight="1">
      <c r="A39" s="2234" t="s">
        <v>39</v>
      </c>
      <c r="B39" s="2234"/>
      <c r="C39" s="2234"/>
      <c r="D39" s="608"/>
      <c r="E39" s="9"/>
      <c r="F39" s="9"/>
      <c r="G39" s="9"/>
      <c r="H39" s="608"/>
      <c r="I39" s="9"/>
      <c r="J39" s="3932"/>
      <c r="K39" s="19"/>
      <c r="L39" s="612"/>
      <c r="M39" s="19"/>
      <c r="N39" s="19"/>
      <c r="O39" s="19"/>
      <c r="P39" s="1406"/>
      <c r="Q39" s="612"/>
      <c r="R39" s="612"/>
      <c r="S39" s="2284"/>
      <c r="T39" s="2284"/>
      <c r="U39" s="1411"/>
      <c r="V39" s="612"/>
      <c r="W39" s="19"/>
      <c r="X39" s="19"/>
      <c r="Y39" s="2284"/>
      <c r="Z39" s="2285"/>
      <c r="AA39" s="1411"/>
      <c r="AB39" s="612"/>
      <c r="AC39" s="19"/>
      <c r="AD39" s="1411"/>
      <c r="AE39" s="1411"/>
      <c r="AF39" s="2259"/>
      <c r="AG39" s="9"/>
      <c r="AI39" s="1412"/>
      <c r="AJ39" s="7"/>
      <c r="AK39" s="2223"/>
      <c r="AL39" s="2223"/>
    </row>
    <row r="40" spans="1:38" ht="18" customHeight="1">
      <c r="A40" s="2234" t="s">
        <v>40</v>
      </c>
      <c r="B40" s="2267"/>
      <c r="C40" s="2234"/>
      <c r="D40" s="611">
        <v>0</v>
      </c>
      <c r="E40" s="9"/>
      <c r="F40" s="10">
        <v>0</v>
      </c>
      <c r="G40" s="9"/>
      <c r="H40" s="1408">
        <f>'Exhibit G'!N104</f>
        <v>0</v>
      </c>
      <c r="I40" s="9"/>
      <c r="J40" s="18">
        <f>'Exhibit G'!AD104</f>
        <v>42.3</v>
      </c>
      <c r="K40" s="19"/>
      <c r="L40" s="612">
        <f>+'Exhibit H'!L57</f>
        <v>742.19999999999982</v>
      </c>
      <c r="M40" s="19"/>
      <c r="N40" s="19">
        <f>+'Exhibit H'!AA57</f>
        <v>1198.2</v>
      </c>
      <c r="O40" s="19" t="s">
        <v>14</v>
      </c>
      <c r="P40" s="1406">
        <v>0</v>
      </c>
      <c r="Q40" s="612"/>
      <c r="R40" s="1406">
        <v>0</v>
      </c>
      <c r="S40" s="2284"/>
      <c r="T40" s="2284"/>
      <c r="U40" s="1411"/>
      <c r="V40" s="612">
        <f>ROUND(SUM(D40)+SUM(H40)+SUM(L40)+SUM(P40),1)</f>
        <v>742.2</v>
      </c>
      <c r="W40" s="19" t="s">
        <v>14</v>
      </c>
      <c r="X40" s="19">
        <f>ROUND(SUM(F40)+SUM(J40)+SUM(N40)+SUM(R40),1)</f>
        <v>1240.5</v>
      </c>
      <c r="Y40" s="2284"/>
      <c r="Z40" s="2285"/>
      <c r="AA40" s="1411"/>
      <c r="AB40" s="2025">
        <v>841.8</v>
      </c>
      <c r="AC40" s="19"/>
      <c r="AD40" s="1411">
        <f>'Exhibit H'!AD57</f>
        <v>1279</v>
      </c>
      <c r="AE40" s="1411"/>
      <c r="AF40" s="2259"/>
      <c r="AG40" s="9">
        <f>ROUND(SUM(X40-AD40),1)</f>
        <v>-38.5</v>
      </c>
      <c r="AI40" s="1412">
        <f>ROUND(SUM((+X40-AD40)/ABS(AD40)),3)</f>
        <v>-0.03</v>
      </c>
      <c r="AJ40" s="2277"/>
      <c r="AK40" s="2223"/>
      <c r="AL40" s="2223"/>
    </row>
    <row r="41" spans="1:38" ht="18" customHeight="1">
      <c r="A41" s="2234" t="s">
        <v>41</v>
      </c>
      <c r="B41" s="2273" t="s">
        <v>868</v>
      </c>
      <c r="C41" s="2234"/>
      <c r="D41" s="1405">
        <v>0</v>
      </c>
      <c r="E41" s="9"/>
      <c r="F41" s="16">
        <v>0</v>
      </c>
      <c r="G41" s="9"/>
      <c r="H41" s="1408">
        <f>'Exhibit G'!N105</f>
        <v>0</v>
      </c>
      <c r="I41" s="9"/>
      <c r="J41" s="19">
        <f>+'Exhibit G'!AD105</f>
        <v>0</v>
      </c>
      <c r="K41" s="19"/>
      <c r="L41" s="3930">
        <v>0</v>
      </c>
      <c r="M41" s="19"/>
      <c r="N41" s="2358">
        <v>0</v>
      </c>
      <c r="O41" s="19"/>
      <c r="P41" s="3454">
        <f>'Exhibit I'!O84</f>
        <v>710.0999999999998</v>
      </c>
      <c r="Q41" s="612"/>
      <c r="R41" s="3933">
        <f>+'Exhibit I'!AF84</f>
        <v>3507.6</v>
      </c>
      <c r="S41" s="2284"/>
      <c r="T41" s="2284"/>
      <c r="U41" s="1411"/>
      <c r="V41" s="612">
        <f>ROUND(SUM(D41)+SUM(H41)+SUM(L41)+SUM(P41),1)</f>
        <v>710.1</v>
      </c>
      <c r="W41" s="19" t="s">
        <v>14</v>
      </c>
      <c r="X41" s="19">
        <f>ROUND(SUM(F41)+SUM(J41)+SUM(N41)+SUM(R41),1)</f>
        <v>3507.6</v>
      </c>
      <c r="Y41" s="2284"/>
      <c r="Z41" s="2285"/>
      <c r="AA41" s="1411"/>
      <c r="AB41" s="2025">
        <v>706.7</v>
      </c>
      <c r="AC41" s="19"/>
      <c r="AD41" s="1411">
        <f>'Exhibit G'!AG105+'Exhibit I'!AI84</f>
        <v>3613.4</v>
      </c>
      <c r="AE41" s="1411"/>
      <c r="AF41" s="2259"/>
      <c r="AG41" s="9">
        <f>ROUND(SUM(X41-AD41),1)</f>
        <v>-105.8</v>
      </c>
      <c r="AI41" s="1412">
        <f>ROUND(SUM((+X41-AD41)/ABS(AD41)),3)</f>
        <v>-2.9000000000000001E-2</v>
      </c>
      <c r="AJ41" s="2277"/>
      <c r="AK41" s="2223"/>
      <c r="AL41" s="2223"/>
    </row>
    <row r="42" spans="1:38" ht="18" customHeight="1">
      <c r="A42" s="2233" t="s">
        <v>42</v>
      </c>
      <c r="B42" s="2234"/>
      <c r="C42" s="2234"/>
      <c r="D42" s="12">
        <f>ROUND(SUM(D34:D41),1)</f>
        <v>6062.4</v>
      </c>
      <c r="E42" s="1352"/>
      <c r="F42" s="12">
        <f>ROUND(SUM(F34:F41),1)</f>
        <v>35384.1</v>
      </c>
      <c r="G42" s="1352"/>
      <c r="H42" s="12">
        <f>ROUND(SUM(H34:H41),1)</f>
        <v>10891.4</v>
      </c>
      <c r="I42" s="1352"/>
      <c r="J42" s="1543">
        <f>ROUND(SUM(J34:J41),1)</f>
        <v>48981.1</v>
      </c>
      <c r="K42" s="20"/>
      <c r="L42" s="1543">
        <f>ROUND(SUM(L34:L41),1)</f>
        <v>744.4</v>
      </c>
      <c r="M42" s="20"/>
      <c r="N42" s="1543">
        <f>ROUND(SUM(N34:N41),1)</f>
        <v>1199</v>
      </c>
      <c r="O42" s="20"/>
      <c r="P42" s="1543">
        <f>ROUND(SUM(P34:P41),1)</f>
        <v>1321.8</v>
      </c>
      <c r="Q42" s="20"/>
      <c r="R42" s="1543">
        <f>ROUND(SUM(R34:R41),1)</f>
        <v>6282</v>
      </c>
      <c r="S42" s="2288"/>
      <c r="T42" s="2288"/>
      <c r="U42" s="1464"/>
      <c r="V42" s="1543">
        <f>ROUND(SUM(V34:V41),1)</f>
        <v>19020</v>
      </c>
      <c r="W42" s="20"/>
      <c r="X42" s="1543">
        <f>ROUND(SUM(X34:X41),1)</f>
        <v>91846.2</v>
      </c>
      <c r="Y42" s="2288"/>
      <c r="Z42" s="2289"/>
      <c r="AA42" s="1464"/>
      <c r="AB42" s="1543">
        <f>ROUND(SUM(AB34:AB41),1)</f>
        <v>22920.400000000001</v>
      </c>
      <c r="AC42" s="20"/>
      <c r="AD42" s="1543">
        <f>ROUND(SUM(AD34:AD41),1)</f>
        <v>87188.6</v>
      </c>
      <c r="AE42" s="1464"/>
      <c r="AF42" s="2264"/>
      <c r="AG42" s="12">
        <f>ROUND(SUM(AG34:AG41),1)</f>
        <v>4657.6000000000004</v>
      </c>
      <c r="AH42" s="2265"/>
      <c r="AI42" s="1428">
        <f>ROUND(SUM((+X42-AD42)/ABS(AD42)),3)</f>
        <v>5.2999999999999999E-2</v>
      </c>
      <c r="AJ42" s="2235"/>
      <c r="AK42" s="2223"/>
      <c r="AL42" s="2223"/>
    </row>
    <row r="43" spans="1:38" ht="16.399999999999999" customHeight="1">
      <c r="A43" s="2233"/>
      <c r="B43" s="2234"/>
      <c r="C43" s="2234"/>
      <c r="D43" s="609"/>
      <c r="E43" s="9"/>
      <c r="F43" s="14"/>
      <c r="G43" s="9"/>
      <c r="H43" s="609"/>
      <c r="I43" s="9"/>
      <c r="J43" s="1411"/>
      <c r="K43" s="19"/>
      <c r="L43" s="1407"/>
      <c r="M43" s="19"/>
      <c r="N43" s="1411"/>
      <c r="O43" s="19"/>
      <c r="P43" s="3564"/>
      <c r="Q43" s="612"/>
      <c r="R43" s="1407"/>
      <c r="S43" s="2284"/>
      <c r="T43" s="2284"/>
      <c r="U43" s="1411"/>
      <c r="V43" s="1407"/>
      <c r="W43" s="19"/>
      <c r="X43" s="1411"/>
      <c r="Y43" s="2284"/>
      <c r="Z43" s="2285"/>
      <c r="AA43" s="1411"/>
      <c r="AB43" s="1407" t="s">
        <v>14</v>
      </c>
      <c r="AC43" s="19"/>
      <c r="AD43" s="1411"/>
      <c r="AE43" s="1411"/>
      <c r="AF43" s="2259"/>
      <c r="AG43" s="14"/>
      <c r="AI43" s="1415"/>
      <c r="AJ43" s="7"/>
      <c r="AK43" s="2223"/>
      <c r="AL43" s="2223"/>
    </row>
    <row r="44" spans="1:38" ht="16.399999999999999" customHeight="1">
      <c r="A44" s="2233" t="s">
        <v>43</v>
      </c>
      <c r="B44" s="2233"/>
      <c r="C44" s="2234"/>
      <c r="D44" s="608"/>
      <c r="E44" s="9"/>
      <c r="F44" s="9"/>
      <c r="G44" s="9"/>
      <c r="H44" s="608"/>
      <c r="I44" s="9"/>
      <c r="J44" s="19"/>
      <c r="K44" s="19"/>
      <c r="L44" s="612" t="s">
        <v>14</v>
      </c>
      <c r="M44" s="19"/>
      <c r="N44" s="19"/>
      <c r="O44" s="19"/>
      <c r="P44" s="3454"/>
      <c r="Q44" s="612"/>
      <c r="R44" s="612"/>
      <c r="S44" s="2284"/>
      <c r="T44" s="2284"/>
      <c r="U44" s="1411"/>
      <c r="V44" s="612"/>
      <c r="W44" s="19"/>
      <c r="X44" s="19"/>
      <c r="Y44" s="2284"/>
      <c r="Z44" s="2285"/>
      <c r="AA44" s="1411"/>
      <c r="AB44" s="612"/>
      <c r="AC44" s="19"/>
      <c r="AD44" s="1411"/>
      <c r="AE44" s="1411"/>
      <c r="AF44" s="2259"/>
      <c r="AG44" s="9"/>
      <c r="AI44" s="1415"/>
      <c r="AJ44" s="7"/>
      <c r="AK44" s="2223"/>
      <c r="AL44" s="2223"/>
    </row>
    <row r="45" spans="1:38" ht="16.399999999999999" customHeight="1">
      <c r="A45" s="2233" t="s">
        <v>44</v>
      </c>
      <c r="B45" s="2233"/>
      <c r="C45" s="2234"/>
      <c r="D45" s="17">
        <f>ROUND(SUM(D20-D42),1)</f>
        <v>-302.60000000000002</v>
      </c>
      <c r="E45" s="1352"/>
      <c r="F45" s="17">
        <f>ROUND(SUM(F20-F42),1)</f>
        <v>-9064.9</v>
      </c>
      <c r="G45" s="1352"/>
      <c r="H45" s="17">
        <f>ROUND(SUM(H20-H42),1)</f>
        <v>-1060.5999999999999</v>
      </c>
      <c r="I45" s="1352"/>
      <c r="J45" s="1636">
        <f>ROUND(SUM(J20-J42),1)</f>
        <v>13918.9</v>
      </c>
      <c r="K45" s="20"/>
      <c r="L45" s="1636">
        <f>ROUND(SUM(L20-L42),1)</f>
        <v>3879.7</v>
      </c>
      <c r="M45" s="20" t="s">
        <v>14</v>
      </c>
      <c r="N45" s="1636">
        <f>ROUND(SUM(N20-N42),1)</f>
        <v>23799.599999999999</v>
      </c>
      <c r="O45" s="20" t="s">
        <v>14</v>
      </c>
      <c r="P45" s="3934">
        <f>ROUND(SUM(P20-P42),1)</f>
        <v>-613.79999999999995</v>
      </c>
      <c r="Q45" s="20" t="s">
        <v>14</v>
      </c>
      <c r="R45" s="3934">
        <f>ROUND(SUM(R20-R42),1)</f>
        <v>-3760.1</v>
      </c>
      <c r="S45" s="2288"/>
      <c r="T45" s="2288"/>
      <c r="U45" s="1464"/>
      <c r="V45" s="1636">
        <f>ROUND(SUM(V20-V42),1)</f>
        <v>1902.7</v>
      </c>
      <c r="W45" s="20" t="s">
        <v>14</v>
      </c>
      <c r="X45" s="1636">
        <f>ROUND(SUM(X20-X42),1)</f>
        <v>24893.5</v>
      </c>
      <c r="Y45" s="2288"/>
      <c r="Z45" s="2289"/>
      <c r="AA45" s="1464"/>
      <c r="AB45" s="1636">
        <f>ROUND(SUM(AB20-AB42),1)</f>
        <v>-1537.6</v>
      </c>
      <c r="AC45" s="20"/>
      <c r="AD45" s="1636">
        <f>ROUND(SUM(AD20-AD42),1)</f>
        <v>11713.5</v>
      </c>
      <c r="AE45" s="1464"/>
      <c r="AF45" s="2264"/>
      <c r="AG45" s="17">
        <f>ROUND(SUM(X45-AD45),1)</f>
        <v>13180</v>
      </c>
      <c r="AH45" s="2278"/>
      <c r="AI45" s="1414">
        <f>ROUND(SUM((+X45-AD45)/ABS(AD45)),3)</f>
        <v>1.125</v>
      </c>
      <c r="AJ45" s="2235"/>
      <c r="AK45" s="2223"/>
      <c r="AL45" s="2223"/>
    </row>
    <row r="46" spans="1:38" ht="16.399999999999999" customHeight="1">
      <c r="A46" s="2234"/>
      <c r="B46" s="2234"/>
      <c r="C46" s="2234"/>
      <c r="D46" s="609"/>
      <c r="E46" s="9"/>
      <c r="F46" s="14"/>
      <c r="G46" s="9"/>
      <c r="H46" s="1407"/>
      <c r="I46" s="9"/>
      <c r="J46" s="1411"/>
      <c r="K46" s="19"/>
      <c r="L46" s="1407"/>
      <c r="M46" s="19"/>
      <c r="N46" s="1411"/>
      <c r="O46" s="19"/>
      <c r="P46" s="3564"/>
      <c r="Q46" s="612"/>
      <c r="R46" s="1407"/>
      <c r="S46" s="2284"/>
      <c r="T46" s="2284"/>
      <c r="U46" s="1411"/>
      <c r="V46" s="1407"/>
      <c r="W46" s="19"/>
      <c r="X46" s="1411"/>
      <c r="Y46" s="2284"/>
      <c r="Z46" s="2285"/>
      <c r="AA46" s="1411"/>
      <c r="AB46" s="1407"/>
      <c r="AC46" s="19"/>
      <c r="AD46" s="1411"/>
      <c r="AE46" s="1411"/>
      <c r="AF46" s="2259"/>
      <c r="AG46" s="14"/>
      <c r="AI46" s="1415"/>
      <c r="AJ46" s="7"/>
      <c r="AK46" s="2223"/>
      <c r="AL46" s="2223"/>
    </row>
    <row r="47" spans="1:38" ht="16.399999999999999" customHeight="1">
      <c r="A47" s="2233" t="s">
        <v>45</v>
      </c>
      <c r="B47" s="2233"/>
      <c r="C47" s="2234"/>
      <c r="D47" s="608"/>
      <c r="E47" s="9"/>
      <c r="F47" s="19"/>
      <c r="G47" s="19"/>
      <c r="H47" s="612"/>
      <c r="I47" s="19"/>
      <c r="J47" s="19"/>
      <c r="K47" s="19"/>
      <c r="L47" s="612"/>
      <c r="M47" s="19"/>
      <c r="N47" s="19"/>
      <c r="O47" s="19"/>
      <c r="P47" s="3454"/>
      <c r="Q47" s="612"/>
      <c r="R47" s="1407"/>
      <c r="S47" s="2284"/>
      <c r="T47" s="2284"/>
      <c r="U47" s="1411"/>
      <c r="V47" s="612"/>
      <c r="W47" s="19"/>
      <c r="X47" s="19"/>
      <c r="Y47" s="2284"/>
      <c r="Z47" s="2285"/>
      <c r="AA47" s="1411"/>
      <c r="AB47" s="612"/>
      <c r="AC47" s="19"/>
      <c r="AD47" s="1411"/>
      <c r="AE47" s="1411"/>
      <c r="AF47" s="2259"/>
      <c r="AG47" s="9"/>
      <c r="AI47" s="1415"/>
      <c r="AJ47" s="7"/>
      <c r="AK47" s="2223"/>
      <c r="AL47" s="2223"/>
    </row>
    <row r="48" spans="1:38" ht="18" customHeight="1">
      <c r="A48" s="3642" t="s">
        <v>1382</v>
      </c>
      <c r="B48" s="2234"/>
      <c r="C48" s="2234"/>
      <c r="D48" s="1406">
        <v>0</v>
      </c>
      <c r="E48" s="9"/>
      <c r="F48" s="18">
        <v>0</v>
      </c>
      <c r="G48" s="19"/>
      <c r="H48" s="1406">
        <v>0</v>
      </c>
      <c r="I48" s="19"/>
      <c r="J48" s="18">
        <v>0</v>
      </c>
      <c r="K48" s="19"/>
      <c r="L48" s="1406">
        <v>0</v>
      </c>
      <c r="M48" s="1411"/>
      <c r="N48" s="18">
        <v>0</v>
      </c>
      <c r="O48" s="1411"/>
      <c r="P48" s="1406">
        <f>+'Exhibit I'!O92</f>
        <v>0</v>
      </c>
      <c r="Q48" s="1407"/>
      <c r="R48" s="1406">
        <f>'Exhibit I'!AF92</f>
        <v>0</v>
      </c>
      <c r="S48" s="2284"/>
      <c r="T48" s="2284"/>
      <c r="U48" s="1411"/>
      <c r="V48" s="612">
        <f>ROUND(SUM(D48)+SUM(H48)+SUM(L48)+SUM(P48),1)</f>
        <v>0</v>
      </c>
      <c r="W48" s="2358"/>
      <c r="X48" s="19">
        <f>ROUND(SUM(F48)+SUM(J48)+SUM(N48)+SUM(R48),1)</f>
        <v>0</v>
      </c>
      <c r="Y48" s="2284"/>
      <c r="Z48" s="2285"/>
      <c r="AA48" s="1411"/>
      <c r="AB48" s="2025">
        <v>0</v>
      </c>
      <c r="AC48" s="18"/>
      <c r="AD48" s="3797">
        <f>'Exhibit I'!AI92</f>
        <v>0</v>
      </c>
      <c r="AE48" s="2358"/>
      <c r="AF48" s="2280"/>
      <c r="AG48" s="14">
        <f>X48-AD48</f>
        <v>0</v>
      </c>
      <c r="AH48" s="2281"/>
      <c r="AI48" s="1412">
        <f>ROUND(IF(AD48=0,0,AG48/ABS(AD48)),3)</f>
        <v>0</v>
      </c>
      <c r="AJ48" s="2282"/>
      <c r="AK48" s="2223"/>
      <c r="AL48" s="2223"/>
    </row>
    <row r="49" spans="1:40" ht="18" customHeight="1">
      <c r="A49" s="2279" t="s">
        <v>46</v>
      </c>
      <c r="B49" s="2283" t="s">
        <v>1159</v>
      </c>
      <c r="C49" s="2279"/>
      <c r="D49" s="612">
        <f>+'Exhibit F'!N123+'Exhibit F'!N124+'Exhibit F'!N125+'Exhibit F'!N126</f>
        <v>5073.3999999999978</v>
      </c>
      <c r="E49" s="9"/>
      <c r="F49" s="19">
        <f>+'Exhibit F'!AC123+'Exhibit F'!AC124+'Exhibit F'!AC125+'Exhibit F'!AC126</f>
        <v>24799.4</v>
      </c>
      <c r="G49" s="19"/>
      <c r="H49" s="612">
        <f>'Exhibit G'!N113-14.8</f>
        <v>168.2</v>
      </c>
      <c r="I49" s="19"/>
      <c r="J49" s="19">
        <f>+'Exhibit G'!AD113</f>
        <v>1788.5</v>
      </c>
      <c r="K49" s="1411"/>
      <c r="L49" s="1407">
        <f>+'Exhibit H'!L66</f>
        <v>94.600000000000023</v>
      </c>
      <c r="M49" s="1411"/>
      <c r="N49" s="19">
        <f>+'Exhibit H'!AA66</f>
        <v>767.4</v>
      </c>
      <c r="O49" s="1411"/>
      <c r="P49" s="1406">
        <f>'Exhibit I'!O93</f>
        <v>434.1</v>
      </c>
      <c r="Q49" s="1407"/>
      <c r="R49" s="1407">
        <f>+'Exhibit I'!AF93</f>
        <v>2983.7</v>
      </c>
      <c r="S49" s="2284"/>
      <c r="T49" s="2284"/>
      <c r="U49" s="1411"/>
      <c r="V49" s="612">
        <f>ROUND(SUM(D49)+SUM(H49)+SUM(L49)+SUM(P49),1)</f>
        <v>5770.3</v>
      </c>
      <c r="W49" s="19" t="s">
        <v>14</v>
      </c>
      <c r="X49" s="19">
        <f>ROUND(SUM(F49)+SUM(J49)+SUM(N49)+SUM(R49),1)</f>
        <v>30339</v>
      </c>
      <c r="Y49" s="2284"/>
      <c r="Z49" s="2285"/>
      <c r="AA49" s="1411"/>
      <c r="AB49" s="2025">
        <v>3319.7</v>
      </c>
      <c r="AC49" s="19"/>
      <c r="AD49" s="1411">
        <f>'Exhibit F'!AF123+'Exhibit F'!AF124+'Exhibit F'!AF125+'Exhibit F'!AF126+'Exhibit G'!AG113+'Exhibit H'!AD66+'Exhibit I'!AI93</f>
        <v>18167.000000000004</v>
      </c>
      <c r="AE49" s="1411"/>
      <c r="AF49" s="2259"/>
      <c r="AG49" s="14">
        <f>ROUND(SUM(X49-AD49),1)</f>
        <v>12172</v>
      </c>
      <c r="AH49" s="2281"/>
      <c r="AI49" s="1412">
        <f>ROUND(SUM((+X49-AD49)/ABS(AD49)),3)</f>
        <v>0.67</v>
      </c>
      <c r="AJ49" s="7"/>
      <c r="AK49" s="2223"/>
      <c r="AL49" s="2223"/>
    </row>
    <row r="50" spans="1:40" ht="18" customHeight="1">
      <c r="A50" s="2279" t="s">
        <v>47</v>
      </c>
      <c r="B50" s="2283" t="s">
        <v>1159</v>
      </c>
      <c r="C50" s="2279"/>
      <c r="D50" s="1407">
        <f>+'Exhibit F'!N127+'Exhibit F'!N129+'Exhibit F'!N130+'Exhibit F'!N128</f>
        <v>-606.40000000000009</v>
      </c>
      <c r="E50" s="19"/>
      <c r="F50" s="19">
        <f>+'Exhibit F'!AC127+'Exhibit F'!AC129+'Exhibit F'!AC130+'Exhibit F'!AC128</f>
        <v>-4941.6000000000004</v>
      </c>
      <c r="G50" s="19"/>
      <c r="H50" s="612">
        <f>'Exhibit G'!N114+14.8</f>
        <v>-185.00000000000006</v>
      </c>
      <c r="I50" s="19"/>
      <c r="J50" s="19">
        <f>+'Exhibit G'!AD114</f>
        <v>-754.1</v>
      </c>
      <c r="K50" s="19"/>
      <c r="L50" s="1407">
        <f>+'Exhibit H'!L67</f>
        <v>-4772.1999999999989</v>
      </c>
      <c r="M50" s="1411"/>
      <c r="N50" s="19">
        <f>+'Exhibit H'!AA67</f>
        <v>-24447.8</v>
      </c>
      <c r="O50" s="1411"/>
      <c r="P50" s="3922">
        <f>'Exhibit I'!O94</f>
        <v>-211.4</v>
      </c>
      <c r="Q50" s="612"/>
      <c r="R50" s="1407">
        <f>+'Exhibit I'!AF94</f>
        <v>-269.3</v>
      </c>
      <c r="S50" s="2284"/>
      <c r="T50" s="2284"/>
      <c r="U50" s="1411"/>
      <c r="V50" s="612">
        <f>ROUND(SUM(D50)+SUM(H50)+SUM(L50)+SUM(P50),1)</f>
        <v>-5775</v>
      </c>
      <c r="W50" s="19" t="s">
        <v>14</v>
      </c>
      <c r="X50" s="19">
        <f>ROUND(SUM(F50)+SUM(J50)+SUM(N50)+SUM(R50),1)</f>
        <v>-30412.799999999999</v>
      </c>
      <c r="Y50" s="2284"/>
      <c r="Z50" s="2285"/>
      <c r="AA50" s="1411"/>
      <c r="AB50" s="2025">
        <v>-3438.7999999999997</v>
      </c>
      <c r="AC50" s="19"/>
      <c r="AD50" s="1411">
        <f>'Exhibit F'!AF127+'Exhibit F'!AF128+'Exhibit F'!AF129+'Exhibit F'!AF130+'Exhibit G'!AG114+'Exhibit H'!AD67+'Exhibit I'!AI94</f>
        <v>-18364.800000000003</v>
      </c>
      <c r="AE50" s="1411"/>
      <c r="AF50" s="2259"/>
      <c r="AG50" s="2286">
        <f>ROUND(SUM(X50-AD50),1)*-1</f>
        <v>12048</v>
      </c>
      <c r="AI50" s="1413">
        <f>-ROUND(SUM((+X50-AD50)/ABS(AD50)),3)</f>
        <v>0.65600000000000003</v>
      </c>
      <c r="AJ50" s="7"/>
      <c r="AK50" s="2223"/>
      <c r="AL50" s="2223"/>
    </row>
    <row r="51" spans="1:40" ht="18" customHeight="1">
      <c r="A51" s="2233" t="s">
        <v>48</v>
      </c>
      <c r="B51" s="2233"/>
      <c r="C51" s="2234"/>
      <c r="D51" s="12">
        <f>ROUND(SUM(D48:D50),1)</f>
        <v>4467</v>
      </c>
      <c r="E51" s="9"/>
      <c r="F51" s="1543">
        <f>ROUND(SUM(F48:F50),1)</f>
        <v>19857.8</v>
      </c>
      <c r="G51" s="20"/>
      <c r="H51" s="1543">
        <f>ROUND(SUM(H48:H50),1)</f>
        <v>-16.8</v>
      </c>
      <c r="I51" s="20"/>
      <c r="J51" s="1543">
        <f>ROUND(SUM(J48:J50),1)</f>
        <v>1034.4000000000001</v>
      </c>
      <c r="K51" s="20"/>
      <c r="L51" s="1543">
        <f>ROUND(SUM(L48:L50),1)</f>
        <v>-4677.6000000000004</v>
      </c>
      <c r="M51" s="20"/>
      <c r="N51" s="1543">
        <f>ROUND(SUM(N48:N50),1)</f>
        <v>-23680.400000000001</v>
      </c>
      <c r="O51" s="20"/>
      <c r="P51" s="1543">
        <f>ROUND(SUM(P48:P50),1)</f>
        <v>222.7</v>
      </c>
      <c r="Q51" s="20"/>
      <c r="R51" s="1543">
        <f>ROUND(SUM(R48:R50),1)</f>
        <v>2714.4</v>
      </c>
      <c r="S51" s="2288"/>
      <c r="T51" s="2288"/>
      <c r="U51" s="1464"/>
      <c r="V51" s="2287">
        <f>ROUND(SUM(V48+V49+V50),1)</f>
        <v>-4.7</v>
      </c>
      <c r="W51" s="20"/>
      <c r="X51" s="2287">
        <f>ROUND(SUM(+X48+X49+X50),1)</f>
        <v>-73.8</v>
      </c>
      <c r="Y51" s="2288"/>
      <c r="Z51" s="2289"/>
      <c r="AA51" s="1464"/>
      <c r="AB51" s="2287">
        <f>ROUND(SUM(+AB48+AB49+AB50),1)</f>
        <v>-119.1</v>
      </c>
      <c r="AC51" s="20"/>
      <c r="AD51" s="2287">
        <f>ROUND(SUM(+AD48+AD49+AD50),1)</f>
        <v>-197.8</v>
      </c>
      <c r="AE51" s="3935"/>
      <c r="AF51" s="2264"/>
      <c r="AG51" s="11">
        <f>ROUND(SUM(+AG49-AG50+AG48),1)</f>
        <v>124</v>
      </c>
      <c r="AH51" s="2265"/>
      <c r="AI51" s="1414">
        <f>-ROUND(SUM(AG51/AD51),3)</f>
        <v>0.627</v>
      </c>
      <c r="AJ51" s="2235"/>
      <c r="AK51" s="2223"/>
      <c r="AL51" s="2223"/>
    </row>
    <row r="52" spans="1:40" ht="16.399999999999999" customHeight="1">
      <c r="A52" s="2234"/>
      <c r="B52" s="2234"/>
      <c r="C52" s="2234"/>
      <c r="D52" s="609"/>
      <c r="E52" s="9"/>
      <c r="F52" s="1407" t="s">
        <v>14</v>
      </c>
      <c r="G52" s="19"/>
      <c r="H52" s="1407" t="s">
        <v>14</v>
      </c>
      <c r="I52" s="19"/>
      <c r="J52" s="1411"/>
      <c r="K52" s="19"/>
      <c r="L52" s="1407" t="s">
        <v>14</v>
      </c>
      <c r="M52" s="19"/>
      <c r="N52" s="1411"/>
      <c r="O52" s="19"/>
      <c r="P52" s="1407" t="s">
        <v>14</v>
      </c>
      <c r="Q52" s="612"/>
      <c r="R52" s="1407" t="s">
        <v>14</v>
      </c>
      <c r="S52" s="2284"/>
      <c r="T52" s="2284"/>
      <c r="U52" s="1411"/>
      <c r="V52" s="1407"/>
      <c r="W52" s="19"/>
      <c r="X52" s="1411"/>
      <c r="Y52" s="2284"/>
      <c r="Z52" s="2285"/>
      <c r="AA52" s="1411"/>
      <c r="AB52" s="1407"/>
      <c r="AC52" s="19"/>
      <c r="AD52" s="1411"/>
      <c r="AE52" s="1411"/>
      <c r="AF52" s="2259"/>
      <c r="AG52" s="14"/>
      <c r="AI52" s="1415"/>
      <c r="AJ52" s="7"/>
      <c r="AK52" s="2223"/>
      <c r="AL52" s="2223"/>
    </row>
    <row r="53" spans="1:40" ht="18" customHeight="1">
      <c r="A53" s="2232" t="s">
        <v>43</v>
      </c>
      <c r="B53" s="2233"/>
      <c r="C53" s="2234"/>
      <c r="D53" s="608" t="s">
        <v>14</v>
      </c>
      <c r="E53" s="9"/>
      <c r="F53" s="608" t="s">
        <v>14</v>
      </c>
      <c r="G53" s="9"/>
      <c r="H53" s="608" t="s">
        <v>14</v>
      </c>
      <c r="I53" s="9"/>
      <c r="J53" s="19"/>
      <c r="K53" s="19"/>
      <c r="L53" s="612" t="s">
        <v>14</v>
      </c>
      <c r="M53" s="19"/>
      <c r="N53" s="19"/>
      <c r="O53" s="19"/>
      <c r="P53" s="612" t="s">
        <v>14</v>
      </c>
      <c r="Q53" s="612"/>
      <c r="R53" s="612"/>
      <c r="S53" s="2284"/>
      <c r="T53" s="2284"/>
      <c r="U53" s="1411"/>
      <c r="V53" s="612" t="s">
        <v>14</v>
      </c>
      <c r="W53" s="19"/>
      <c r="X53" s="19"/>
      <c r="Y53" s="2284"/>
      <c r="Z53" s="2285"/>
      <c r="AA53" s="1411"/>
      <c r="AB53" s="612"/>
      <c r="AC53" s="19"/>
      <c r="AD53" s="1411"/>
      <c r="AE53" s="1411"/>
      <c r="AF53" s="2259"/>
      <c r="AG53" s="9"/>
      <c r="AI53" s="1416"/>
      <c r="AJ53" s="7"/>
      <c r="AK53" s="2223"/>
      <c r="AL53" s="2223"/>
    </row>
    <row r="54" spans="1:40" ht="18" customHeight="1">
      <c r="A54" s="2232" t="s">
        <v>49</v>
      </c>
      <c r="B54" s="2232"/>
      <c r="C54" s="2279"/>
      <c r="D54" s="612"/>
      <c r="E54" s="19"/>
      <c r="F54" s="19"/>
      <c r="G54" s="19"/>
      <c r="H54" s="608"/>
      <c r="I54" s="9"/>
      <c r="J54" s="19"/>
      <c r="K54" s="19"/>
      <c r="L54" s="612"/>
      <c r="M54" s="19"/>
      <c r="N54" s="19"/>
      <c r="O54" s="19"/>
      <c r="P54" s="612"/>
      <c r="Q54" s="612"/>
      <c r="R54" s="612"/>
      <c r="S54" s="2284"/>
      <c r="T54" s="2284"/>
      <c r="U54" s="1411"/>
      <c r="V54" s="612" t="s">
        <v>14</v>
      </c>
      <c r="W54" s="19"/>
      <c r="X54" s="19"/>
      <c r="Y54" s="2284"/>
      <c r="Z54" s="2285"/>
      <c r="AA54" s="1411"/>
      <c r="AB54" s="612"/>
      <c r="AC54" s="19"/>
      <c r="AD54" s="1411"/>
      <c r="AE54" s="1411"/>
      <c r="AF54" s="2259"/>
      <c r="AG54" s="9"/>
      <c r="AI54" s="1415"/>
      <c r="AJ54" s="7"/>
      <c r="AK54" s="2223"/>
      <c r="AL54" s="2223"/>
    </row>
    <row r="55" spans="1:40" ht="18" customHeight="1">
      <c r="A55" s="2232" t="s">
        <v>50</v>
      </c>
      <c r="B55" s="2232"/>
      <c r="C55" s="2279"/>
      <c r="D55" s="20">
        <f>ROUND(SUM(D45+D51),1)</f>
        <v>4164.3999999999996</v>
      </c>
      <c r="E55" s="20"/>
      <c r="F55" s="20">
        <f>ROUND(SUM(F45)+SUM(F51),1)</f>
        <v>10792.9</v>
      </c>
      <c r="G55" s="20"/>
      <c r="H55" s="20">
        <f>ROUND(SUM(H45+H51),1)</f>
        <v>-1077.4000000000001</v>
      </c>
      <c r="I55" s="20"/>
      <c r="J55" s="20">
        <f>ROUND(SUM(J45)+SUM(J51),1)</f>
        <v>14953.3</v>
      </c>
      <c r="K55" s="20"/>
      <c r="L55" s="20">
        <f>ROUND(SUM(L45+L51),1)</f>
        <v>-797.9</v>
      </c>
      <c r="M55" s="20"/>
      <c r="N55" s="20">
        <f>ROUND(SUM(N45+N51),1)</f>
        <v>119.2</v>
      </c>
      <c r="O55" s="20"/>
      <c r="P55" s="20">
        <f>ROUND(SUM(P45+P51),1)</f>
        <v>-391.1</v>
      </c>
      <c r="Q55" s="20"/>
      <c r="R55" s="20">
        <f>ROUND(SUM(R45+R51),1)</f>
        <v>-1045.7</v>
      </c>
      <c r="S55" s="2288"/>
      <c r="T55" s="2288"/>
      <c r="U55" s="1464"/>
      <c r="V55" s="20">
        <f>ROUND(SUM(V45)+SUM(V51),1)</f>
        <v>1898</v>
      </c>
      <c r="W55" s="20"/>
      <c r="X55" s="20">
        <f>ROUND(SUM(X45)+SUM(X51),1)</f>
        <v>24819.7</v>
      </c>
      <c r="Y55" s="2288"/>
      <c r="Z55" s="2289"/>
      <c r="AA55" s="1464"/>
      <c r="AB55" s="20">
        <f>ROUND(SUM(AB45)+SUM(AB51),1)</f>
        <v>-1656.7</v>
      </c>
      <c r="AC55" s="20"/>
      <c r="AD55" s="20">
        <f>ROUND(SUM(AD45)+SUM(AD51),1)</f>
        <v>11515.7</v>
      </c>
      <c r="AE55" s="1464"/>
      <c r="AF55" s="2264"/>
      <c r="AG55" s="2263">
        <f>ROUND(SUM(+AG45+AG51),1)</f>
        <v>13304</v>
      </c>
      <c r="AH55" s="2265"/>
      <c r="AI55" s="1476">
        <f>ROUND(SUM((+X55-AD55)/ABS(AD55)),3)</f>
        <v>1.155</v>
      </c>
      <c r="AJ55" s="2290"/>
      <c r="AK55" s="2291"/>
      <c r="AL55" s="2223"/>
    </row>
    <row r="56" spans="1:40" ht="16.399999999999999" customHeight="1">
      <c r="A56" s="2233"/>
      <c r="B56" s="2232"/>
      <c r="C56" s="2279"/>
      <c r="D56" s="612"/>
      <c r="E56" s="19"/>
      <c r="F56" s="1411"/>
      <c r="G56" s="19"/>
      <c r="H56" s="612"/>
      <c r="I56" s="19"/>
      <c r="J56" s="19"/>
      <c r="K56" s="19"/>
      <c r="L56" s="612"/>
      <c r="M56" s="19"/>
      <c r="N56" s="19"/>
      <c r="O56" s="19"/>
      <c r="P56" s="1407"/>
      <c r="Q56" s="612"/>
      <c r="R56" s="612"/>
      <c r="S56" s="2284"/>
      <c r="T56" s="2284"/>
      <c r="U56" s="1411"/>
      <c r="V56" s="612"/>
      <c r="W56" s="19"/>
      <c r="X56" s="19"/>
      <c r="Y56" s="2284"/>
      <c r="Z56" s="2285"/>
      <c r="AA56" s="1411"/>
      <c r="AB56" s="612"/>
      <c r="AC56" s="19"/>
      <c r="AD56" s="1411"/>
      <c r="AE56" s="1411"/>
      <c r="AF56" s="2259"/>
      <c r="AG56" s="9"/>
      <c r="AI56" s="1415"/>
      <c r="AJ56" s="7"/>
      <c r="AK56" s="2223"/>
      <c r="AL56" s="2223"/>
    </row>
    <row r="57" spans="1:40" s="2218" customFormat="1" ht="18" customHeight="1">
      <c r="A57" s="2293" t="s">
        <v>51</v>
      </c>
      <c r="B57" s="3070" t="s">
        <v>1497</v>
      </c>
      <c r="C57" s="2279"/>
      <c r="D57" s="1636">
        <f>+'Exhibit F'!N12</f>
        <v>15789.3</v>
      </c>
      <c r="E57" s="20"/>
      <c r="F57" s="1636">
        <f>'Exhibit F'!D12</f>
        <v>9160.7999999999993</v>
      </c>
      <c r="G57" s="20"/>
      <c r="H57" s="1636">
        <f>+'Exhibit G'!N13</f>
        <v>26700</v>
      </c>
      <c r="I57" s="20"/>
      <c r="J57" s="1636">
        <f>'Exhibit G'!D13</f>
        <v>10669.3</v>
      </c>
      <c r="K57" s="20"/>
      <c r="L57" s="1636">
        <f>'Exhibit H'!L12</f>
        <v>982.1</v>
      </c>
      <c r="M57" s="20"/>
      <c r="N57" s="1636">
        <f>'Exhibit H'!B12</f>
        <v>65</v>
      </c>
      <c r="O57" s="1464"/>
      <c r="P57" s="1636">
        <f>+'Exhibit I'!O15</f>
        <v>-1798.6</v>
      </c>
      <c r="Q57" s="1464"/>
      <c r="R57" s="1636">
        <f>'Exhibit I'!E15</f>
        <v>-1144</v>
      </c>
      <c r="S57" s="2288"/>
      <c r="T57" s="2288"/>
      <c r="U57" s="1464"/>
      <c r="V57" s="1636">
        <f>D57+H57+L57+P57</f>
        <v>41672.800000000003</v>
      </c>
      <c r="W57" s="20"/>
      <c r="X57" s="1636">
        <f>F57+J57+N57+R57</f>
        <v>18751.099999999999</v>
      </c>
      <c r="Y57" s="2288"/>
      <c r="Z57" s="2289"/>
      <c r="AA57" s="1464"/>
      <c r="AB57" s="3850">
        <v>27457.200000000001</v>
      </c>
      <c r="AC57" s="20"/>
      <c r="AD57" s="1636">
        <f>'Exhibit F'!AF12+'Exhibit G'!AG13+'Exhibit H'!AD12+'Exhibit I'!AI15</f>
        <v>14284.800000000001</v>
      </c>
      <c r="AE57" s="1464"/>
      <c r="AF57" s="3046"/>
      <c r="AG57" s="1636">
        <f>ROUND(SUM(X57-AD57),1)</f>
        <v>4466.3</v>
      </c>
      <c r="AH57" s="3037"/>
      <c r="AI57" s="3047">
        <f>ROUND(SUM((+X57-AD57)/ABS(AD57)),3)</f>
        <v>0.313</v>
      </c>
      <c r="AJ57" s="2290"/>
      <c r="AK57" s="3044"/>
      <c r="AL57" s="3044"/>
    </row>
    <row r="58" spans="1:40" s="2218" customFormat="1" ht="16.399999999999999" customHeight="1">
      <c r="A58" s="2279"/>
      <c r="B58" s="2279"/>
      <c r="C58" s="2279"/>
      <c r="D58" s="1407"/>
      <c r="E58" s="19"/>
      <c r="F58" s="1411"/>
      <c r="G58" s="19"/>
      <c r="H58" s="1407"/>
      <c r="I58" s="19"/>
      <c r="J58" s="1411"/>
      <c r="K58" s="19"/>
      <c r="L58" s="1407"/>
      <c r="M58" s="19"/>
      <c r="N58" s="1411"/>
      <c r="O58" s="19"/>
      <c r="P58" s="1407"/>
      <c r="Q58" s="612"/>
      <c r="R58" s="1407"/>
      <c r="S58" s="2284"/>
      <c r="T58" s="2284"/>
      <c r="U58" s="1411"/>
      <c r="V58" s="1407"/>
      <c r="W58" s="19"/>
      <c r="X58" s="1411"/>
      <c r="Y58" s="2284"/>
      <c r="Z58" s="2285"/>
      <c r="AA58" s="1411"/>
      <c r="AB58" s="1407"/>
      <c r="AC58" s="19"/>
      <c r="AD58" s="1411"/>
      <c r="AE58" s="1411"/>
      <c r="AF58" s="3045"/>
      <c r="AG58" s="1411"/>
      <c r="AI58" s="3043"/>
      <c r="AJ58" s="2244"/>
      <c r="AK58" s="3044"/>
      <c r="AL58" s="3044"/>
    </row>
    <row r="59" spans="1:40" s="2218" customFormat="1" ht="18" customHeight="1" thickBot="1">
      <c r="A59" s="2293" t="s">
        <v>52</v>
      </c>
      <c r="B59" s="2294"/>
      <c r="C59" s="3035"/>
      <c r="D59" s="22">
        <f>ROUND(SUM(D55+D57),1)</f>
        <v>19953.7</v>
      </c>
      <c r="E59" s="2295"/>
      <c r="F59" s="22">
        <f>ROUND(SUM(F55+F57),1)</f>
        <v>19953.7</v>
      </c>
      <c r="G59" s="2295"/>
      <c r="H59" s="22">
        <f>ROUND(SUM(H55+H57),1)</f>
        <v>25622.6</v>
      </c>
      <c r="I59" s="2295"/>
      <c r="J59" s="22">
        <f>ROUND(SUM(J55)+SUM(J57),1)</f>
        <v>25622.6</v>
      </c>
      <c r="K59" s="2295"/>
      <c r="L59" s="22">
        <f>ROUND(SUM(L55+L57),1)</f>
        <v>184.2</v>
      </c>
      <c r="M59" s="2295"/>
      <c r="N59" s="22">
        <f>ROUND(SUM(N55+N57),1)</f>
        <v>184.2</v>
      </c>
      <c r="O59" s="2295"/>
      <c r="P59" s="22">
        <f>ROUND(SUM(P55+P57),1)</f>
        <v>-2189.6999999999998</v>
      </c>
      <c r="Q59" s="2295"/>
      <c r="R59" s="22">
        <f>ROUND(SUM(R55+R57),1)</f>
        <v>-2189.6999999999998</v>
      </c>
      <c r="S59" s="2296"/>
      <c r="T59" s="2296"/>
      <c r="U59" s="2297"/>
      <c r="V59" s="22">
        <f>ROUND(SUM(V55+V57),1)</f>
        <v>43570.8</v>
      </c>
      <c r="W59" s="2295"/>
      <c r="X59" s="22">
        <f>ROUND(SUM(X55+X57),1)</f>
        <v>43570.8</v>
      </c>
      <c r="Y59" s="2296"/>
      <c r="Z59" s="2298"/>
      <c r="AA59" s="2297"/>
      <c r="AB59" s="22">
        <f>ROUND(SUM(AB55+AB57),1)</f>
        <v>25800.5</v>
      </c>
      <c r="AC59" s="2295"/>
      <c r="AD59" s="22">
        <f>ROUND(SUM(AD55+AD57),1)</f>
        <v>25800.5</v>
      </c>
      <c r="AE59" s="2297"/>
      <c r="AF59" s="3036"/>
      <c r="AG59" s="22">
        <f>ROUND(SUM(AG55+AG57),1)</f>
        <v>17770.3</v>
      </c>
      <c r="AH59" s="3037"/>
      <c r="AI59" s="3038">
        <f>ROUND(SUM((+X59-AD59)/ABS(AD59)),3)</f>
        <v>0.68899999999999995</v>
      </c>
      <c r="AJ59" s="2300"/>
      <c r="AK59" s="3039"/>
      <c r="AL59" s="3039"/>
      <c r="AM59" s="3040"/>
      <c r="AN59" s="3037"/>
    </row>
    <row r="60" spans="1:40" s="2218" customFormat="1" ht="16" thickTop="1">
      <c r="A60" s="3041"/>
      <c r="B60" s="3041"/>
      <c r="C60" s="3041"/>
      <c r="D60" s="3392"/>
      <c r="E60" s="2380"/>
      <c r="F60" s="2380"/>
      <c r="G60" s="2380"/>
      <c r="H60" s="3392"/>
      <c r="I60" s="2380"/>
      <c r="J60" s="2380"/>
      <c r="K60" s="2380"/>
      <c r="L60" s="3392"/>
      <c r="M60" s="2380"/>
      <c r="N60" s="2380"/>
      <c r="O60" s="2380"/>
      <c r="P60" s="2380"/>
      <c r="Q60" s="2380"/>
      <c r="R60" s="2380"/>
      <c r="S60" s="2305"/>
      <c r="T60" s="2305"/>
      <c r="U60" s="2305"/>
      <c r="V60" s="2304"/>
      <c r="W60" s="2305"/>
      <c r="X60" s="2380"/>
      <c r="Y60" s="2305"/>
      <c r="Z60" s="2305"/>
      <c r="AA60" s="2305"/>
      <c r="AB60" s="2304"/>
      <c r="AC60" s="3353"/>
      <c r="AD60" s="2305"/>
      <c r="AE60" s="2305"/>
      <c r="AF60" s="2305"/>
      <c r="AG60" s="2305"/>
      <c r="AI60" s="3042"/>
      <c r="AJ60" s="3043"/>
      <c r="AK60" s="3044"/>
      <c r="AL60" s="3044"/>
    </row>
    <row r="61" spans="1:40" ht="15.5">
      <c r="A61" s="2307"/>
      <c r="B61" s="3798"/>
      <c r="C61" s="3798"/>
      <c r="D61" s="2309"/>
      <c r="E61" s="2318"/>
      <c r="F61" s="2318"/>
      <c r="G61" s="2318"/>
      <c r="H61" s="2309"/>
      <c r="I61" s="2318"/>
      <c r="J61" s="2318"/>
      <c r="K61" s="2318"/>
      <c r="L61" s="2309"/>
      <c r="M61" s="2318"/>
      <c r="N61" s="2318"/>
      <c r="O61" s="2318"/>
      <c r="P61" s="3337"/>
      <c r="Q61" s="2318"/>
      <c r="R61" s="2318"/>
      <c r="S61" s="2318"/>
      <c r="T61" s="2318" t="s">
        <v>14</v>
      </c>
      <c r="U61" s="2318"/>
      <c r="V61" s="2309"/>
      <c r="W61" s="2318"/>
      <c r="X61" s="2318"/>
      <c r="Y61" s="2318"/>
      <c r="Z61" s="2318"/>
      <c r="AA61" s="2318"/>
      <c r="AB61" s="2309"/>
      <c r="AC61" s="2318"/>
      <c r="AI61" s="2306"/>
      <c r="AJ61" s="1415"/>
      <c r="AK61" s="2223"/>
      <c r="AL61" s="2223"/>
    </row>
    <row r="62" spans="1:40" ht="15.5">
      <c r="A62" s="2281"/>
      <c r="B62" s="2318"/>
      <c r="C62" s="2318"/>
      <c r="D62" s="2309" t="s">
        <v>14</v>
      </c>
      <c r="E62" s="2318"/>
      <c r="F62" s="2318"/>
      <c r="G62" s="2318"/>
      <c r="H62" s="2309"/>
      <c r="I62" s="2318"/>
      <c r="J62" s="2318"/>
      <c r="K62" s="2318"/>
      <c r="L62" s="2309"/>
      <c r="M62" s="2318"/>
      <c r="N62" s="2318"/>
      <c r="O62" s="2318"/>
      <c r="P62" s="2318"/>
      <c r="Q62" s="2318"/>
      <c r="R62" s="2318"/>
      <c r="S62" s="2318"/>
      <c r="T62" s="2318"/>
      <c r="U62" s="2318"/>
      <c r="V62" s="2309"/>
      <c r="W62" s="2318"/>
      <c r="X62" s="2318"/>
      <c r="Y62" s="2318"/>
      <c r="Z62" s="2318"/>
      <c r="AA62" s="2318"/>
      <c r="AB62" s="3394"/>
      <c r="AC62" s="2318"/>
      <c r="AD62" s="2310"/>
      <c r="AI62" s="2306"/>
      <c r="AJ62" s="1415"/>
      <c r="AK62" s="2223"/>
      <c r="AL62" s="2223"/>
    </row>
    <row r="63" spans="1:40" ht="15.5">
      <c r="A63" s="2281"/>
      <c r="B63" s="2318"/>
      <c r="C63" s="2318"/>
      <c r="D63" s="2309"/>
      <c r="E63" s="2318"/>
      <c r="F63" s="2318"/>
      <c r="G63" s="2318"/>
      <c r="H63" s="2309"/>
      <c r="I63" s="2318"/>
      <c r="J63" s="2318"/>
      <c r="K63" s="2318"/>
      <c r="L63" s="2309"/>
      <c r="M63" s="2318"/>
      <c r="N63" s="2318"/>
      <c r="O63" s="2318"/>
      <c r="P63" s="2318"/>
      <c r="Q63" s="2318"/>
      <c r="R63" s="2318"/>
      <c r="S63" s="2318"/>
      <c r="T63" s="2318"/>
      <c r="U63" s="2318"/>
      <c r="V63" s="2309" t="s">
        <v>14</v>
      </c>
      <c r="W63" s="2318"/>
      <c r="X63" s="2318"/>
      <c r="Y63" s="2318"/>
      <c r="Z63" s="2318"/>
      <c r="AA63" s="2318"/>
      <c r="AB63" s="3394"/>
      <c r="AC63" s="2318"/>
      <c r="AI63" s="2311"/>
      <c r="AJ63" s="1415"/>
      <c r="AK63" s="2223"/>
      <c r="AL63" s="2223"/>
    </row>
    <row r="64" spans="1:40" ht="15.5">
      <c r="A64" s="2312"/>
      <c r="B64" s="2318"/>
      <c r="C64" s="2318"/>
      <c r="D64" s="2309"/>
      <c r="E64" s="2318"/>
      <c r="F64" s="2318"/>
      <c r="G64" s="2318"/>
      <c r="H64" s="2309"/>
      <c r="I64" s="2318"/>
      <c r="J64" s="2318"/>
      <c r="K64" s="2318"/>
      <c r="L64" s="2309"/>
      <c r="M64" s="2318"/>
      <c r="N64" s="2318"/>
      <c r="O64" s="2318"/>
      <c r="P64" s="2318"/>
      <c r="Q64" s="2318"/>
      <c r="R64" s="2318"/>
      <c r="S64" s="2318"/>
      <c r="T64" s="2318"/>
      <c r="U64" s="2318"/>
      <c r="V64" s="2309"/>
      <c r="W64" s="2318"/>
      <c r="X64" s="2318"/>
      <c r="Y64" s="2318"/>
      <c r="Z64" s="2318"/>
      <c r="AA64" s="2318"/>
      <c r="AB64" s="2309"/>
      <c r="AC64" s="2318"/>
      <c r="AI64" s="2311"/>
      <c r="AJ64" s="2223"/>
      <c r="AK64" s="2223"/>
      <c r="AL64" s="2223"/>
    </row>
    <row r="65" spans="1:38" ht="15.5">
      <c r="A65" s="2312"/>
      <c r="B65" s="2318"/>
      <c r="C65" s="2318"/>
      <c r="D65" s="2309"/>
      <c r="E65" s="2318"/>
      <c r="F65" s="2318"/>
      <c r="G65" s="2318"/>
      <c r="H65" s="2309"/>
      <c r="I65" s="2318"/>
      <c r="J65" s="2318"/>
      <c r="K65" s="2318"/>
      <c r="L65" s="2309"/>
      <c r="M65" s="2318"/>
      <c r="N65" s="2318"/>
      <c r="O65" s="2318"/>
      <c r="P65" s="2318"/>
      <c r="Q65" s="2318"/>
      <c r="R65" s="2318"/>
      <c r="S65" s="2318"/>
      <c r="T65" s="2318"/>
      <c r="U65" s="2318"/>
      <c r="V65" s="2309"/>
      <c r="W65" s="2318"/>
      <c r="X65" s="2318"/>
      <c r="Y65" s="2318"/>
      <c r="Z65" s="2318"/>
      <c r="AA65" s="2318"/>
      <c r="AB65" s="3394"/>
      <c r="AC65" s="2318"/>
      <c r="AI65" s="2311"/>
      <c r="AJ65" s="2223"/>
      <c r="AK65" s="2223"/>
      <c r="AL65" s="2223"/>
    </row>
    <row r="66" spans="1:38" ht="15.5">
      <c r="A66" s="2313"/>
      <c r="B66" s="3799"/>
      <c r="C66" s="3337"/>
      <c r="D66" s="3800"/>
      <c r="E66" s="3801"/>
      <c r="F66" s="3801"/>
      <c r="G66" s="3801"/>
      <c r="H66" s="3800"/>
      <c r="I66" s="3801"/>
      <c r="J66" s="3801"/>
      <c r="K66" s="3801"/>
      <c r="L66" s="3800"/>
      <c r="M66" s="2318"/>
      <c r="N66" s="2318"/>
      <c r="O66" s="2318"/>
      <c r="P66" s="2318"/>
      <c r="Q66" s="2318"/>
      <c r="R66" s="2318"/>
      <c r="S66" s="2318"/>
      <c r="T66" s="2318"/>
      <c r="U66" s="2318"/>
      <c r="V66" s="2309"/>
      <c r="W66" s="2318"/>
      <c r="X66" s="2318"/>
      <c r="Y66" s="2318"/>
      <c r="Z66" s="2318"/>
      <c r="AA66" s="2318"/>
      <c r="AB66" s="2309"/>
      <c r="AC66" s="2318"/>
      <c r="AI66" s="2311"/>
      <c r="AJ66" s="2223"/>
      <c r="AK66" s="2223"/>
      <c r="AL66" s="2223"/>
    </row>
    <row r="67" spans="1:38" ht="15.5">
      <c r="A67" s="1415"/>
      <c r="B67" s="1415"/>
      <c r="C67" s="1415"/>
      <c r="D67" s="2317"/>
      <c r="E67" s="1415"/>
      <c r="F67" s="1415"/>
      <c r="G67" s="1415"/>
      <c r="H67" s="2317"/>
      <c r="I67" s="1415"/>
      <c r="J67" s="1415"/>
      <c r="K67" s="1415"/>
      <c r="L67" s="2317"/>
      <c r="M67" s="2281"/>
      <c r="N67" s="2281" t="s">
        <v>14</v>
      </c>
      <c r="O67" s="2281"/>
      <c r="P67" s="2281"/>
      <c r="Q67" s="2281"/>
      <c r="R67" s="2281"/>
      <c r="S67" s="2281"/>
      <c r="T67" s="2281"/>
      <c r="U67" s="2281"/>
      <c r="V67" s="2308"/>
      <c r="W67" s="2281"/>
      <c r="X67" s="2281"/>
      <c r="Y67" s="2281"/>
      <c r="Z67" s="2281"/>
      <c r="AA67" s="2281"/>
      <c r="AB67" s="2309"/>
      <c r="AC67" s="2318"/>
      <c r="AI67" s="2311"/>
      <c r="AJ67" s="2223"/>
      <c r="AK67" s="2223"/>
      <c r="AL67" s="2223"/>
    </row>
    <row r="68" spans="1:38" ht="15.5">
      <c r="A68" s="1415"/>
      <c r="B68" s="1415"/>
      <c r="C68" s="1415"/>
      <c r="D68" s="2317"/>
      <c r="E68" s="1415"/>
      <c r="F68" s="1415"/>
      <c r="G68" s="1415"/>
      <c r="H68" s="2317"/>
      <c r="I68" s="1415"/>
      <c r="J68" s="1415"/>
      <c r="K68" s="1415"/>
      <c r="L68" s="2317"/>
      <c r="M68" s="2281"/>
      <c r="N68" s="2281" t="s">
        <v>14</v>
      </c>
      <c r="O68" s="2281"/>
      <c r="P68" s="2281"/>
      <c r="Q68" s="2281"/>
      <c r="R68" s="2281"/>
      <c r="S68" s="2281"/>
      <c r="T68" s="2281"/>
      <c r="U68" s="2281"/>
      <c r="V68" s="2308"/>
      <c r="W68" s="2281"/>
      <c r="X68" s="2281"/>
      <c r="Y68" s="2281"/>
      <c r="Z68" s="2281"/>
      <c r="AA68" s="2281"/>
      <c r="AB68" s="2309"/>
      <c r="AC68" s="2318"/>
      <c r="AI68" s="2311"/>
      <c r="AJ68" s="2223"/>
      <c r="AK68" s="2223"/>
      <c r="AL68" s="2223"/>
    </row>
    <row r="69" spans="1:38" ht="15.5">
      <c r="A69" s="1415"/>
      <c r="B69" s="1415"/>
      <c r="C69" s="1415"/>
      <c r="D69" s="2317"/>
      <c r="E69" s="1415"/>
      <c r="F69" s="1415"/>
      <c r="G69" s="1415"/>
      <c r="H69" s="2317"/>
      <c r="I69" s="1415"/>
      <c r="J69" s="1415"/>
      <c r="K69" s="1415"/>
      <c r="L69" s="2317"/>
      <c r="M69" s="2281"/>
      <c r="N69" s="2281"/>
      <c r="O69" s="2281"/>
      <c r="P69" s="2281"/>
      <c r="Q69" s="2281"/>
      <c r="R69" s="2281"/>
      <c r="S69" s="2281"/>
      <c r="T69" s="2281"/>
      <c r="U69" s="2281"/>
      <c r="V69" s="2308"/>
      <c r="W69" s="2281"/>
      <c r="X69" s="2281"/>
      <c r="Y69" s="2281"/>
      <c r="Z69" s="2281"/>
      <c r="AA69" s="2281"/>
      <c r="AB69" s="2309"/>
      <c r="AI69" s="2311"/>
      <c r="AJ69" s="2223"/>
      <c r="AK69" s="2223"/>
      <c r="AL69" s="2223"/>
    </row>
    <row r="70" spans="1:38" ht="15.5">
      <c r="AI70" s="2311"/>
      <c r="AJ70" s="2223"/>
      <c r="AK70" s="2223"/>
      <c r="AL70" s="2223"/>
    </row>
    <row r="71" spans="1:38" ht="15.5">
      <c r="AI71" s="2311"/>
      <c r="AJ71" s="2223"/>
      <c r="AK71" s="2223"/>
      <c r="AL71" s="2223"/>
    </row>
    <row r="72" spans="1:38" ht="15.5">
      <c r="AI72" s="2311"/>
      <c r="AJ72" s="2223"/>
      <c r="AK72" s="2223"/>
      <c r="AL72" s="2223"/>
    </row>
    <row r="73" spans="1:38" ht="15.5">
      <c r="AI73" s="2311"/>
      <c r="AJ73" s="2223"/>
      <c r="AK73" s="2223"/>
      <c r="AL73" s="2223"/>
    </row>
    <row r="74" spans="1:38" ht="15.5">
      <c r="AI74" s="2311"/>
      <c r="AJ74" s="2223"/>
      <c r="AK74" s="2223"/>
      <c r="AL74" s="2223"/>
    </row>
    <row r="75" spans="1:38" ht="15.5">
      <c r="AI75" s="2311"/>
      <c r="AJ75" s="2223"/>
      <c r="AK75" s="2223"/>
      <c r="AL75" s="2223"/>
    </row>
    <row r="76" spans="1:38" ht="15.5">
      <c r="AI76" s="2311"/>
      <c r="AJ76" s="2223"/>
      <c r="AK76" s="2223"/>
      <c r="AL76" s="2223"/>
    </row>
    <row r="77" spans="1:38" ht="15.5">
      <c r="AI77" s="2311"/>
      <c r="AJ77" s="2223"/>
      <c r="AK77" s="2223"/>
      <c r="AL77" s="2223"/>
    </row>
    <row r="78" spans="1:38" ht="15.5">
      <c r="AI78" s="2311"/>
      <c r="AJ78" s="2223"/>
      <c r="AK78" s="2223"/>
      <c r="AL78" s="2223"/>
    </row>
    <row r="79" spans="1:38" ht="15.5">
      <c r="AI79" s="2311"/>
      <c r="AJ79" s="2223"/>
      <c r="AK79" s="2223"/>
      <c r="AL79" s="2223"/>
    </row>
    <row r="80" spans="1:38" ht="15.5">
      <c r="AI80" s="2311"/>
      <c r="AJ80" s="2223"/>
      <c r="AK80" s="2223"/>
      <c r="AL80" s="2223"/>
    </row>
    <row r="81" spans="35:38" ht="15.5">
      <c r="AI81" s="2311"/>
      <c r="AJ81" s="2223"/>
      <c r="AK81" s="2223"/>
      <c r="AL81" s="2223"/>
    </row>
    <row r="82" spans="35:38" ht="15.5">
      <c r="AI82" s="2311"/>
      <c r="AJ82" s="2223"/>
      <c r="AK82" s="2223"/>
      <c r="AL82" s="2223"/>
    </row>
    <row r="83" spans="35:38" ht="15.5">
      <c r="AI83" s="2311"/>
      <c r="AJ83" s="2223"/>
      <c r="AK83" s="2223"/>
      <c r="AL83" s="2223"/>
    </row>
    <row r="84" spans="35:38" ht="15.5">
      <c r="AI84" s="2311"/>
      <c r="AJ84" s="2223"/>
      <c r="AK84" s="2223"/>
      <c r="AL84" s="2223"/>
    </row>
    <row r="85" spans="35:38" ht="15.5">
      <c r="AI85" s="2311"/>
      <c r="AJ85" s="2223"/>
      <c r="AK85" s="2223"/>
      <c r="AL85" s="2223"/>
    </row>
    <row r="86" spans="35:38" ht="15.5">
      <c r="AI86" s="2311"/>
      <c r="AJ86" s="2223"/>
      <c r="AK86" s="2223"/>
      <c r="AL86" s="2223"/>
    </row>
    <row r="87" spans="35:38" ht="15.5">
      <c r="AI87" s="2311"/>
      <c r="AJ87" s="2223"/>
      <c r="AK87" s="2223"/>
      <c r="AL87" s="2223"/>
    </row>
    <row r="88" spans="35:38" ht="15.5">
      <c r="AI88" s="2311"/>
      <c r="AJ88" s="2223"/>
      <c r="AK88" s="2223"/>
      <c r="AL88" s="2223"/>
    </row>
    <row r="89" spans="35:38" ht="15.5">
      <c r="AI89" s="2311"/>
      <c r="AJ89" s="2223"/>
      <c r="AK89" s="2223"/>
      <c r="AL89" s="2223"/>
    </row>
    <row r="90" spans="35:38" ht="15.5">
      <c r="AI90" s="2311"/>
      <c r="AJ90" s="2223"/>
      <c r="AK90" s="2223"/>
      <c r="AL90" s="2223"/>
    </row>
    <row r="91" spans="35:38" ht="15.5">
      <c r="AI91" s="2311"/>
      <c r="AJ91" s="2223"/>
      <c r="AK91" s="2223"/>
      <c r="AL91" s="2223"/>
    </row>
    <row r="92" spans="35:38" ht="15.5">
      <c r="AI92" s="2311"/>
      <c r="AJ92" s="2223"/>
      <c r="AK92" s="2223"/>
      <c r="AL92" s="2223"/>
    </row>
    <row r="93" spans="35:38" ht="15.5">
      <c r="AI93" s="2311"/>
      <c r="AJ93" s="2223"/>
      <c r="AK93" s="2223"/>
      <c r="AL93" s="2223"/>
    </row>
    <row r="94" spans="35:38" ht="15.5">
      <c r="AI94" s="2311"/>
      <c r="AJ94" s="2223"/>
      <c r="AK94" s="2223"/>
      <c r="AL94" s="2223"/>
    </row>
    <row r="95" spans="35:38" ht="15.5">
      <c r="AI95" s="2311"/>
      <c r="AJ95" s="2223"/>
      <c r="AK95" s="2223"/>
      <c r="AL95" s="2223"/>
    </row>
    <row r="96" spans="35:38" ht="15.5">
      <c r="AI96" s="2311"/>
      <c r="AJ96" s="2223"/>
      <c r="AK96" s="2223"/>
      <c r="AL96" s="2223"/>
    </row>
    <row r="97" spans="35:38" ht="15.5">
      <c r="AI97" s="2311"/>
      <c r="AJ97" s="2223"/>
      <c r="AK97" s="2223"/>
      <c r="AL97" s="2223"/>
    </row>
    <row r="98" spans="35:38" ht="15.5">
      <c r="AI98" s="2311"/>
      <c r="AJ98" s="2223"/>
      <c r="AK98" s="2223"/>
      <c r="AL98" s="2223"/>
    </row>
    <row r="99" spans="35:38" ht="15.5">
      <c r="AI99" s="2311"/>
      <c r="AJ99" s="2223"/>
      <c r="AK99" s="2223"/>
      <c r="AL99" s="2223"/>
    </row>
    <row r="100" spans="35:38" ht="15.5">
      <c r="AI100" s="2311"/>
      <c r="AJ100" s="2223"/>
      <c r="AK100" s="2223"/>
      <c r="AL100" s="2223"/>
    </row>
    <row r="101" spans="35:38" ht="15.5">
      <c r="AI101" s="2311"/>
      <c r="AJ101" s="2223"/>
      <c r="AK101" s="2223"/>
      <c r="AL101" s="2223"/>
    </row>
    <row r="102" spans="35:38" ht="15.5">
      <c r="AI102" s="2311"/>
      <c r="AJ102" s="2223"/>
      <c r="AK102" s="2223"/>
      <c r="AL102" s="2223"/>
    </row>
    <row r="103" spans="35:38" ht="15.5">
      <c r="AI103" s="2311"/>
      <c r="AJ103" s="2223"/>
      <c r="AK103" s="2223"/>
      <c r="AL103" s="2223"/>
    </row>
    <row r="104" spans="35:38" ht="15.5">
      <c r="AI104" s="2311"/>
      <c r="AJ104" s="2223"/>
      <c r="AK104" s="2223"/>
      <c r="AL104" s="2223"/>
    </row>
    <row r="105" spans="35:38" ht="15.5">
      <c r="AI105" s="2311"/>
      <c r="AJ105" s="2223"/>
      <c r="AK105" s="2223"/>
      <c r="AL105" s="2223"/>
    </row>
    <row r="106" spans="35:38" ht="15.5">
      <c r="AI106" s="2311"/>
      <c r="AJ106" s="2223"/>
      <c r="AK106" s="2223"/>
      <c r="AL106" s="2223"/>
    </row>
  </sheetData>
  <mergeCells count="4">
    <mergeCell ref="A4:AI4"/>
    <mergeCell ref="A5:AI5"/>
    <mergeCell ref="A6:AI6"/>
    <mergeCell ref="V10:AI10"/>
  </mergeCells>
  <pageMargins left="0.25" right="0.25" top="0.5" bottom="0.25" header="0" footer="0.25"/>
  <pageSetup scale="42" firstPageNumber="2" orientation="landscape" useFirstPageNumber="1" r:id="rId1"/>
  <headerFooter scaleWithDoc="0" alignWithMargins="0">
    <oddFooter>&amp;C&amp;8&amp;P</oddFooter>
  </headerFooter>
  <ignoredErrors>
    <ignoredError sqref="E12 I12 M12 AG20:AH20 S59:AA59 S55:U55 S51:U51 S45:AG45 S42:AD42 S34:AH34 S20:AF20 S56:AI56 S52:AI52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 H48:O48 I15 I16 I17 I18:K18 I26:O26 I33:O33 I28:O28 I29:O29 I30:O30 I31:O31 I32 I39:K39 I36:O36 I37:K37 I38:K38 I41:K41 I40 I49:K49 D39:F40 E36:F36 E37:F37 E38:F38 E50 E49 M14 M15 M17 M18:O18 M19:O19 M37:O37 M40:O40 M49:O49 M50 Q17 Q48:R48 Q37:R37 Q38:R38 Q36:R36 Q30:R30 Q28:R28 Q27:R27 Q50 Q49:R49 Q41:R41 Q33:R33 Q32:R32 Q31:R31 Q29:R29 Q26:R26 Q25:R25 Q24:R24 Q19:R19 Q18:R18 Q16 Q15 O57 Q40:R40 Q14:R14 D58:F58 H58:R58 Q39:R39 R59 R55 R45 R42 R34 P59 N59 P55 N51 L59 J59 J55 J51 G59:H59 G55 G56:G58 F51:G51 G52:G54 Q35:R35 D54:F54 E51 D56:F56 E55 E59 Q23: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E48:AH48 Y57:AA57 M43:P44 W49 G28 G30 M41:O41 AH49 W15:AA15 Y14:AA14 S43:AA43 AC43:AI43 Y49:AA49 AH57 W50:AA50 K12 O12 Q12 S12:U12 W12 W18:AA18 AC51 AE51:AF51 E48 E41:F41 I52:K52 M52:O52 I53:K53 M53:O53 AC59:AH59 W55:AH55 K40 D52:E52 E53 Q52 Q53:R53 S54:AI54 S53:U53 W53:AI53 K32:O32 Q21 Q22 K50 O50" unlockedFormula="1"/>
    <ignoredError sqref="B41:B48 B51:B57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AW171"/>
  <sheetViews>
    <sheetView showGridLines="0" zoomScale="90" zoomScaleNormal="90" workbookViewId="0"/>
  </sheetViews>
  <sheetFormatPr defaultColWidth="8.84375" defaultRowHeight="12.5"/>
  <cols>
    <col min="1" max="1" width="1.84375" style="244" customWidth="1"/>
    <col min="2" max="2" width="40.84375" style="244" customWidth="1"/>
    <col min="3" max="3" width="1.84375" style="244" customWidth="1"/>
    <col min="4" max="4" width="12.07421875" style="244" customWidth="1"/>
    <col min="5" max="5" width="1.84375" style="244" customWidth="1"/>
    <col min="6" max="6" width="12" style="244" customWidth="1"/>
    <col min="7" max="7" width="1.84375" style="244" customWidth="1"/>
    <col min="8" max="8" width="13.07421875" style="244" customWidth="1"/>
    <col min="9" max="9" width="1.84375" style="244" customWidth="1"/>
    <col min="10" max="10" width="13.07421875" style="244" customWidth="1"/>
    <col min="11" max="11" width="1.84375" style="244" customWidth="1"/>
    <col min="12" max="12" width="13.07421875" style="244" customWidth="1"/>
    <col min="13" max="13" width="1.84375" style="244" customWidth="1"/>
    <col min="14" max="14" width="14" style="244" customWidth="1"/>
    <col min="15" max="15" width="1.84375" style="244" customWidth="1"/>
    <col min="16" max="16" width="11.84375" style="244" customWidth="1"/>
    <col min="17" max="17" width="1.84375" style="244" customWidth="1"/>
    <col min="18" max="18" width="11.53515625" style="244" customWidth="1"/>
    <col min="19" max="19" width="1.84375" style="244" customWidth="1"/>
    <col min="20" max="20" width="12.07421875" style="244" customWidth="1"/>
    <col min="21" max="21" width="1.84375" style="244" customWidth="1"/>
    <col min="22" max="22" width="13" style="244" customWidth="1"/>
    <col min="23" max="23" width="1.84375" style="244" customWidth="1"/>
    <col min="24" max="24" width="12.07421875" style="244" customWidth="1"/>
    <col min="25" max="25" width="1.84375" style="244" customWidth="1"/>
    <col min="26" max="26" width="10.84375" style="244" bestFit="1" customWidth="1"/>
    <col min="27" max="27" width="1.07421875" style="244" customWidth="1"/>
    <col min="28" max="29" width="1.84375" style="244" customWidth="1"/>
    <col min="30" max="30" width="15.84375" style="876" customWidth="1"/>
    <col min="31" max="32" width="1.4609375" style="876" customWidth="1"/>
    <col min="33" max="33" width="12.84375" style="876" bestFit="1" customWidth="1"/>
    <col min="34" max="34" width="1.53515625" style="244" customWidth="1"/>
    <col min="35" max="35" width="0.84375" style="244" customWidth="1"/>
    <col min="36" max="36" width="14.84375" style="244" customWidth="1"/>
    <col min="37" max="37" width="0.84375" style="244" customWidth="1"/>
    <col min="38" max="38" width="12.07421875" style="244" customWidth="1"/>
    <col min="39" max="16384" width="8.84375" style="244"/>
  </cols>
  <sheetData>
    <row r="1" spans="1:40" ht="15.5">
      <c r="B1" s="635" t="s">
        <v>882</v>
      </c>
    </row>
    <row r="2" spans="1:40" ht="15.5">
      <c r="A2" s="243"/>
      <c r="M2" s="26"/>
      <c r="N2" s="26"/>
      <c r="O2" s="262"/>
    </row>
    <row r="3" spans="1:40" ht="20.25" customHeight="1">
      <c r="A3" s="243"/>
      <c r="B3" s="246" t="s">
        <v>0</v>
      </c>
      <c r="M3" s="26"/>
      <c r="N3" s="26"/>
      <c r="O3" s="262"/>
      <c r="AF3" s="3412"/>
      <c r="AG3" s="3413"/>
      <c r="AH3" s="285"/>
      <c r="AI3" s="285"/>
      <c r="AJ3" s="285"/>
      <c r="AK3" s="285"/>
      <c r="AL3" s="387" t="s">
        <v>167</v>
      </c>
    </row>
    <row r="4" spans="1:40" ht="18">
      <c r="A4" s="243"/>
      <c r="B4" s="246" t="s">
        <v>174</v>
      </c>
      <c r="L4" s="26"/>
      <c r="M4" s="26"/>
      <c r="O4" s="262"/>
    </row>
    <row r="5" spans="1:40" ht="18">
      <c r="A5" s="243"/>
      <c r="B5" s="317" t="s">
        <v>147</v>
      </c>
      <c r="L5" s="262"/>
      <c r="M5" s="262"/>
      <c r="O5" s="262"/>
      <c r="X5" s="286"/>
    </row>
    <row r="6" spans="1:40" ht="20">
      <c r="A6" s="243"/>
      <c r="B6" s="1518" t="str">
        <f>'Cashflow Governmental'!A6</f>
        <v xml:space="preserve">FISCAL YEAR 2021-2022   </v>
      </c>
      <c r="L6" s="262"/>
      <c r="M6" s="262"/>
      <c r="O6" s="262"/>
      <c r="AL6" s="266"/>
    </row>
    <row r="7" spans="1:40" ht="18">
      <c r="A7" s="243"/>
      <c r="B7" s="246" t="s">
        <v>1280</v>
      </c>
      <c r="AI7" s="147"/>
      <c r="AJ7" s="147"/>
      <c r="AK7" s="147"/>
      <c r="AL7" s="147"/>
    </row>
    <row r="8" spans="1:40" ht="13.5" customHeight="1">
      <c r="A8" s="243"/>
      <c r="D8" s="2124"/>
      <c r="L8" s="262"/>
      <c r="M8" s="262"/>
      <c r="N8" s="262"/>
      <c r="O8" s="262"/>
      <c r="AC8" s="147"/>
      <c r="AD8" s="3125"/>
      <c r="AE8" s="3125"/>
      <c r="AF8" s="1059"/>
      <c r="AG8" s="1059"/>
      <c r="AH8" s="147"/>
      <c r="AI8" s="262"/>
      <c r="AJ8" s="262"/>
      <c r="AK8" s="262"/>
      <c r="AL8" s="262"/>
    </row>
    <row r="9" spans="1:40" ht="20.25" customHeight="1">
      <c r="A9" s="243"/>
      <c r="M9" s="262"/>
      <c r="N9" s="262"/>
      <c r="O9" s="262"/>
      <c r="AC9" s="3967" t="str">
        <f>'Exhibit G'!AC9:AL9</f>
        <v>6 Months Ended September 30</v>
      </c>
      <c r="AD9" s="3967"/>
      <c r="AE9" s="3967"/>
      <c r="AF9" s="3967"/>
      <c r="AG9" s="3967"/>
      <c r="AH9" s="3967"/>
      <c r="AI9" s="3967"/>
      <c r="AJ9" s="3967"/>
      <c r="AK9" s="3967"/>
      <c r="AL9" s="3967"/>
    </row>
    <row r="10" spans="1:40" ht="15.5">
      <c r="A10" s="243"/>
      <c r="B10" s="27"/>
      <c r="C10" s="27"/>
      <c r="D10" s="735" t="str">
        <f>'Cashflow Governmental'!C13</f>
        <v>2021</v>
      </c>
      <c r="E10" s="26"/>
      <c r="F10" s="26"/>
      <c r="G10" s="26"/>
      <c r="H10" s="26"/>
      <c r="I10" s="26"/>
      <c r="J10" s="26"/>
      <c r="K10" s="26"/>
      <c r="L10" s="26"/>
      <c r="M10" s="26"/>
      <c r="N10" s="26"/>
      <c r="O10" s="26"/>
      <c r="P10" s="26"/>
      <c r="Q10" s="26"/>
      <c r="R10" s="26"/>
      <c r="S10" s="26"/>
      <c r="T10" s="26"/>
      <c r="U10" s="26"/>
      <c r="V10" s="735">
        <f>'Cashflow Governmental'!U13</f>
        <v>2022</v>
      </c>
      <c r="W10" s="26"/>
      <c r="X10" s="26"/>
      <c r="Y10" s="26"/>
      <c r="Z10" s="26"/>
      <c r="AA10" s="26"/>
      <c r="AB10" s="26"/>
      <c r="AC10" s="26"/>
      <c r="AD10" s="3126"/>
      <c r="AE10" s="3126"/>
      <c r="AF10" s="3126"/>
      <c r="AG10" s="3126"/>
      <c r="AH10" s="207"/>
      <c r="AI10" s="206"/>
      <c r="AJ10" s="739" t="s">
        <v>7</v>
      </c>
      <c r="AK10" s="739"/>
      <c r="AL10" s="739" t="s">
        <v>8</v>
      </c>
      <c r="AM10" s="742"/>
      <c r="AN10" s="742"/>
    </row>
    <row r="11" spans="1:40" ht="15.5">
      <c r="A11" s="243"/>
      <c r="B11" s="27"/>
      <c r="C11" s="27"/>
      <c r="D11" s="1046" t="s">
        <v>123</v>
      </c>
      <c r="E11" s="26"/>
      <c r="F11" s="1046" t="s">
        <v>124</v>
      </c>
      <c r="G11" s="26"/>
      <c r="H11" s="1046" t="s">
        <v>125</v>
      </c>
      <c r="I11" s="26"/>
      <c r="J11" s="1046" t="s">
        <v>126</v>
      </c>
      <c r="K11" s="26"/>
      <c r="L11" s="1046" t="s">
        <v>127</v>
      </c>
      <c r="M11" s="26"/>
      <c r="N11" s="1046" t="s">
        <v>142</v>
      </c>
      <c r="O11" s="26"/>
      <c r="P11" s="1046" t="s">
        <v>143</v>
      </c>
      <c r="Q11" s="26"/>
      <c r="R11" s="1046" t="s">
        <v>130</v>
      </c>
      <c r="S11" s="26"/>
      <c r="T11" s="1046" t="s">
        <v>131</v>
      </c>
      <c r="U11" s="26"/>
      <c r="V11" s="1046" t="s">
        <v>132</v>
      </c>
      <c r="W11" s="26"/>
      <c r="X11" s="1046" t="s">
        <v>133</v>
      </c>
      <c r="Y11" s="26"/>
      <c r="Z11" s="1046" t="s">
        <v>184</v>
      </c>
      <c r="AA11" s="743"/>
      <c r="AB11" s="26"/>
      <c r="AC11" s="26"/>
      <c r="AD11" s="3127">
        <f>'Cashflow Governmental'!AB14</f>
        <v>2021</v>
      </c>
      <c r="AE11" s="730"/>
      <c r="AF11" s="729" t="s">
        <v>14</v>
      </c>
      <c r="AG11" s="3127">
        <f>'Cashflow Governmental'!AE14</f>
        <v>2020</v>
      </c>
      <c r="AH11" s="725"/>
      <c r="AI11" s="206"/>
      <c r="AJ11" s="1052" t="s">
        <v>11</v>
      </c>
      <c r="AK11" s="738"/>
      <c r="AL11" s="1052" t="s">
        <v>12</v>
      </c>
      <c r="AM11" s="742"/>
      <c r="AN11" s="742" t="s">
        <v>14</v>
      </c>
    </row>
    <row r="12" spans="1:40" ht="5.25" customHeight="1">
      <c r="A12" s="243"/>
      <c r="B12" s="27"/>
      <c r="C12" s="27"/>
      <c r="D12" s="743"/>
      <c r="E12" s="26"/>
      <c r="F12" s="743"/>
      <c r="G12" s="26"/>
      <c r="H12" s="743"/>
      <c r="I12" s="26"/>
      <c r="J12" s="743"/>
      <c r="K12" s="26"/>
      <c r="L12" s="743"/>
      <c r="M12" s="26"/>
      <c r="N12" s="743"/>
      <c r="O12" s="26"/>
      <c r="P12" s="743"/>
      <c r="Q12" s="26"/>
      <c r="R12" s="743"/>
      <c r="S12" s="26"/>
      <c r="T12" s="743"/>
      <c r="U12" s="26"/>
      <c r="V12" s="743"/>
      <c r="W12" s="26"/>
      <c r="X12" s="743"/>
      <c r="Y12" s="26"/>
      <c r="Z12" s="743"/>
      <c r="AA12" s="743"/>
      <c r="AB12" s="26"/>
      <c r="AC12" s="26"/>
      <c r="AD12" s="3128"/>
      <c r="AE12" s="730"/>
      <c r="AF12" s="729"/>
      <c r="AG12" s="3128"/>
      <c r="AH12" s="725"/>
      <c r="AI12" s="206"/>
      <c r="AJ12" s="738"/>
      <c r="AK12" s="738"/>
      <c r="AL12" s="738"/>
      <c r="AM12" s="742"/>
      <c r="AN12" s="742"/>
    </row>
    <row r="13" spans="1:40" s="1051" customFormat="1" ht="15.5">
      <c r="A13" s="1049"/>
      <c r="B13" s="1835" t="s">
        <v>1169</v>
      </c>
      <c r="C13" s="34"/>
      <c r="D13" s="303">
        <v>5708.6</v>
      </c>
      <c r="E13" s="251"/>
      <c r="F13" s="1838">
        <f>D120</f>
        <v>6329.3</v>
      </c>
      <c r="G13" s="251"/>
      <c r="H13" s="1838">
        <f>F120</f>
        <v>6294.9</v>
      </c>
      <c r="I13" s="251"/>
      <c r="J13" s="1838">
        <f>H120</f>
        <v>7392.8</v>
      </c>
      <c r="K13" s="251"/>
      <c r="L13" s="1838">
        <f>J120</f>
        <v>8049.4</v>
      </c>
      <c r="M13" s="251"/>
      <c r="N13" s="1838">
        <f>L120</f>
        <v>8108.3</v>
      </c>
      <c r="O13" s="251"/>
      <c r="P13" s="1838"/>
      <c r="Q13" s="251"/>
      <c r="R13" s="1838"/>
      <c r="S13" s="251"/>
      <c r="T13" s="1838"/>
      <c r="U13" s="251"/>
      <c r="V13" s="1838"/>
      <c r="W13" s="251"/>
      <c r="X13" s="1838"/>
      <c r="Y13" s="251"/>
      <c r="Z13" s="1838"/>
      <c r="AA13" s="743"/>
      <c r="AB13" s="251"/>
      <c r="AC13" s="2122"/>
      <c r="AD13" s="3129">
        <f>D13</f>
        <v>5708.6</v>
      </c>
      <c r="AE13" s="3128"/>
      <c r="AF13" s="3132"/>
      <c r="AG13" s="136">
        <v>5400.7000000000007</v>
      </c>
      <c r="AH13" s="725"/>
      <c r="AI13" s="268"/>
      <c r="AJ13" s="1836">
        <f>ROUND(SUM(+AD13-AG13),1)</f>
        <v>307.89999999999998</v>
      </c>
      <c r="AK13" s="109"/>
      <c r="AL13" s="1839">
        <f>ROUND(IF(AG13=0,1,AJ13/ABS(AG13)),3)</f>
        <v>5.7000000000000002E-2</v>
      </c>
      <c r="AM13" s="1050"/>
      <c r="AN13" s="1050" t="s">
        <v>14</v>
      </c>
    </row>
    <row r="14" spans="1:40" s="1051" customFormat="1" ht="15.5">
      <c r="A14" s="1049"/>
      <c r="B14" s="1835"/>
      <c r="C14" s="34"/>
      <c r="D14" s="743"/>
      <c r="E14" s="251"/>
      <c r="F14" s="743"/>
      <c r="G14" s="251"/>
      <c r="H14" s="743"/>
      <c r="I14" s="251"/>
      <c r="J14" s="743"/>
      <c r="K14" s="251"/>
      <c r="L14" s="743"/>
      <c r="M14" s="251"/>
      <c r="N14" s="743"/>
      <c r="O14" s="251"/>
      <c r="P14" s="743"/>
      <c r="Q14" s="251"/>
      <c r="R14" s="743"/>
      <c r="S14" s="251"/>
      <c r="T14" s="743"/>
      <c r="U14" s="251"/>
      <c r="V14" s="743"/>
      <c r="W14" s="251"/>
      <c r="X14" s="743"/>
      <c r="Y14" s="251"/>
      <c r="Z14" s="743"/>
      <c r="AA14" s="743"/>
      <c r="AB14" s="251"/>
      <c r="AC14" s="2122"/>
      <c r="AD14" s="3128"/>
      <c r="AE14" s="3128"/>
      <c r="AF14" s="3132"/>
      <c r="AG14" s="3128"/>
      <c r="AH14" s="725"/>
      <c r="AI14" s="268"/>
      <c r="AJ14" s="738"/>
      <c r="AK14" s="738"/>
      <c r="AL14" s="738"/>
      <c r="AM14" s="1050"/>
      <c r="AN14" s="1050"/>
    </row>
    <row r="15" spans="1:40" ht="15" customHeight="1">
      <c r="A15" s="147"/>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1048"/>
      <c r="AD15" s="1078"/>
      <c r="AE15" s="103"/>
      <c r="AF15" s="3133"/>
      <c r="AG15" s="103"/>
      <c r="AH15" s="34"/>
      <c r="AI15" s="268"/>
      <c r="AJ15" s="27"/>
      <c r="AK15" s="27"/>
      <c r="AL15" s="27"/>
    </row>
    <row r="16" spans="1:40" ht="15" customHeight="1">
      <c r="A16" s="147"/>
      <c r="B16" s="258" t="s">
        <v>994</v>
      </c>
      <c r="C16" s="28"/>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88"/>
      <c r="AD16" s="1078"/>
      <c r="AE16" s="103"/>
      <c r="AF16" s="3134"/>
      <c r="AG16" s="103"/>
      <c r="AH16" s="271"/>
      <c r="AI16" s="34"/>
      <c r="AJ16" s="27"/>
      <c r="AK16" s="27"/>
      <c r="AL16" s="27"/>
    </row>
    <row r="17" spans="1:38" s="1811" customFormat="1" ht="15" customHeight="1">
      <c r="A17" s="1808"/>
      <c r="B17" s="1189" t="s">
        <v>997</v>
      </c>
      <c r="C17" s="102"/>
      <c r="D17" s="885">
        <v>0</v>
      </c>
      <c r="E17" s="1515"/>
      <c r="F17" s="3862">
        <v>0</v>
      </c>
      <c r="G17" s="1515"/>
      <c r="H17" s="3862">
        <v>0</v>
      </c>
      <c r="I17" s="1515"/>
      <c r="J17" s="3862">
        <v>0</v>
      </c>
      <c r="K17" s="1521"/>
      <c r="L17" s="3862">
        <v>0</v>
      </c>
      <c r="M17" s="1780"/>
      <c r="N17" s="3862">
        <f>$AD17-$D17-$F17-$H17-$J17-$L17</f>
        <v>0</v>
      </c>
      <c r="O17" s="1780"/>
      <c r="P17" s="885"/>
      <c r="Q17" s="1971"/>
      <c r="R17" s="885"/>
      <c r="S17" s="1971"/>
      <c r="T17" s="1773"/>
      <c r="U17" s="1971"/>
      <c r="V17" s="1773"/>
      <c r="W17" s="1971"/>
      <c r="X17" s="1773"/>
      <c r="Y17" s="1971"/>
      <c r="Z17" s="1773"/>
      <c r="AA17" s="1972"/>
      <c r="AB17" s="2010"/>
      <c r="AC17" s="2011"/>
      <c r="AD17" s="1773">
        <v>0</v>
      </c>
      <c r="AE17" s="2012"/>
      <c r="AF17" s="3135"/>
      <c r="AG17" s="1773">
        <v>0.1</v>
      </c>
      <c r="AH17" s="1809"/>
      <c r="AI17" s="1004"/>
      <c r="AJ17" s="884">
        <f>ROUND(SUM(+AD17-AG17),1)</f>
        <v>-0.1</v>
      </c>
      <c r="AK17" s="884"/>
      <c r="AL17" s="1802">
        <f>ROUND(IF(AG17=0,0,AJ17/ABS(AG17)),3)</f>
        <v>-1</v>
      </c>
    </row>
    <row r="18" spans="1:38" s="1811" customFormat="1" ht="6" customHeight="1">
      <c r="A18" s="1808"/>
      <c r="B18" s="1189"/>
      <c r="C18" s="102"/>
      <c r="D18" s="885" t="s">
        <v>14</v>
      </c>
      <c r="E18" s="91"/>
      <c r="F18" s="885"/>
      <c r="G18" s="91"/>
      <c r="H18" s="885"/>
      <c r="I18" s="91"/>
      <c r="J18" s="885"/>
      <c r="K18" s="132"/>
      <c r="L18" s="885"/>
      <c r="M18" s="132"/>
      <c r="N18" s="885"/>
      <c r="O18" s="132"/>
      <c r="P18" s="1773"/>
      <c r="Q18" s="2013"/>
      <c r="R18" s="1773"/>
      <c r="S18" s="2013"/>
      <c r="T18" s="1773"/>
      <c r="U18" s="2013"/>
      <c r="V18" s="1773"/>
      <c r="W18" s="2013"/>
      <c r="X18" s="1773"/>
      <c r="Y18" s="2013"/>
      <c r="Z18" s="1773"/>
      <c r="AA18" s="2014"/>
      <c r="AB18" s="2013"/>
      <c r="AC18" s="2015"/>
      <c r="AD18" s="2013"/>
      <c r="AE18" s="2012"/>
      <c r="AF18" s="3136"/>
      <c r="AG18" s="2013"/>
      <c r="AH18" s="1809"/>
      <c r="AI18" s="1004"/>
      <c r="AJ18" s="132"/>
      <c r="AK18" s="109"/>
      <c r="AL18" s="1810"/>
    </row>
    <row r="19" spans="1:38" s="876" customFormat="1" ht="15" customHeight="1">
      <c r="A19" s="1059"/>
      <c r="B19" s="1189" t="s">
        <v>1056</v>
      </c>
      <c r="C19" s="104"/>
      <c r="D19" s="885" t="s">
        <v>14</v>
      </c>
      <c r="E19" s="1515"/>
      <c r="F19" s="885"/>
      <c r="G19" s="1515"/>
      <c r="H19" s="885"/>
      <c r="I19" s="1515"/>
      <c r="J19" s="885"/>
      <c r="K19" s="115"/>
      <c r="L19" s="885"/>
      <c r="M19" s="115"/>
      <c r="N19" s="885"/>
      <c r="O19" s="115"/>
      <c r="P19" s="1773"/>
      <c r="Q19" s="1979"/>
      <c r="R19" s="1773"/>
      <c r="S19" s="1979"/>
      <c r="T19" s="1773"/>
      <c r="U19" s="1979"/>
      <c r="V19" s="1773"/>
      <c r="W19" s="1979"/>
      <c r="X19" s="1773"/>
      <c r="Y19" s="1979"/>
      <c r="Z19" s="1773"/>
      <c r="AA19" s="1979"/>
      <c r="AB19" s="1979"/>
      <c r="AC19" s="1981"/>
      <c r="AD19" s="1979"/>
      <c r="AE19" s="1979"/>
      <c r="AF19" s="3137"/>
      <c r="AG19" s="1979"/>
      <c r="AH19" s="1062"/>
      <c r="AI19" s="64"/>
      <c r="AJ19" s="884"/>
      <c r="AK19" s="877"/>
      <c r="AL19" s="1812"/>
    </row>
    <row r="20" spans="1:38" s="876" customFormat="1" ht="15" customHeight="1">
      <c r="A20" s="1059"/>
      <c r="B20" s="1066" t="s">
        <v>1009</v>
      </c>
      <c r="C20" s="104"/>
      <c r="D20" s="885">
        <v>109.2</v>
      </c>
      <c r="E20" s="1823"/>
      <c r="F20" s="885">
        <v>80.499999999999986</v>
      </c>
      <c r="G20" s="1823"/>
      <c r="H20" s="885">
        <v>101.60000000000004</v>
      </c>
      <c r="I20" s="1823"/>
      <c r="J20" s="3862">
        <v>86.899999999999963</v>
      </c>
      <c r="K20" s="1521"/>
      <c r="L20" s="3862">
        <v>83.300000000000026</v>
      </c>
      <c r="M20" s="1521"/>
      <c r="N20" s="3862">
        <f t="shared" ref="N20:N27" si="0">$AD20-$D20-$F20-$H20-$J20-$L20</f>
        <v>108.99999999999999</v>
      </c>
      <c r="O20" s="1521"/>
      <c r="P20" s="1773"/>
      <c r="Q20" s="1982"/>
      <c r="R20" s="1773"/>
      <c r="S20" s="1982"/>
      <c r="T20" s="1773"/>
      <c r="U20" s="1982"/>
      <c r="V20" s="1773"/>
      <c r="W20" s="1982"/>
      <c r="X20" s="1773"/>
      <c r="Y20" s="1982"/>
      <c r="Z20" s="1773"/>
      <c r="AA20" s="1983"/>
      <c r="AB20" s="1984"/>
      <c r="AC20" s="1986"/>
      <c r="AD20" s="1773">
        <v>570.5</v>
      </c>
      <c r="AE20" s="2016"/>
      <c r="AF20" s="3138"/>
      <c r="AG20" s="1773">
        <v>426.7</v>
      </c>
      <c r="AH20" s="1062"/>
      <c r="AI20" s="64"/>
      <c r="AJ20" s="884">
        <f t="shared" ref="AJ20:AJ27" si="1">ROUND(SUM(+AD20-AG20),1)</f>
        <v>143.80000000000001</v>
      </c>
      <c r="AK20" s="877"/>
      <c r="AL20" s="1806">
        <f t="shared" ref="AL20:AL28" si="2">ROUND(IF(AG20=0,0,AJ20/ABS(AG20)),3)</f>
        <v>0.33700000000000002</v>
      </c>
    </row>
    <row r="21" spans="1:38" s="876" customFormat="1" ht="15" customHeight="1">
      <c r="A21" s="1059"/>
      <c r="B21" s="1066" t="s">
        <v>1010</v>
      </c>
      <c r="C21" s="104"/>
      <c r="D21" s="885">
        <v>-0.2</v>
      </c>
      <c r="E21" s="1823"/>
      <c r="F21" s="885">
        <v>0</v>
      </c>
      <c r="G21" s="1823"/>
      <c r="H21" s="885">
        <v>5.1000000000000005</v>
      </c>
      <c r="I21" s="1823"/>
      <c r="J21" s="3862">
        <v>0</v>
      </c>
      <c r="K21" s="1521"/>
      <c r="L21" s="3862">
        <v>0</v>
      </c>
      <c r="M21" s="1521"/>
      <c r="N21" s="3862">
        <f t="shared" si="0"/>
        <v>7.6999999999999984</v>
      </c>
      <c r="O21" s="1521"/>
      <c r="P21" s="1773"/>
      <c r="Q21" s="1982"/>
      <c r="R21" s="1773"/>
      <c r="S21" s="1982"/>
      <c r="T21" s="1773"/>
      <c r="U21" s="1982"/>
      <c r="V21" s="1773"/>
      <c r="W21" s="1982"/>
      <c r="X21" s="1773"/>
      <c r="Y21" s="1982"/>
      <c r="Z21" s="1773"/>
      <c r="AA21" s="1983"/>
      <c r="AB21" s="1984"/>
      <c r="AC21" s="1986"/>
      <c r="AD21" s="1773">
        <v>12.6</v>
      </c>
      <c r="AE21" s="2016"/>
      <c r="AF21" s="3138"/>
      <c r="AG21" s="1773">
        <v>4.9000000000000004</v>
      </c>
      <c r="AH21" s="1062"/>
      <c r="AI21" s="64"/>
      <c r="AJ21" s="884">
        <f t="shared" si="1"/>
        <v>7.7</v>
      </c>
      <c r="AK21" s="877"/>
      <c r="AL21" s="1802">
        <f>ROUND(IF(AG21=0,1,AJ21/ABS(AG21)),3)</f>
        <v>1.571</v>
      </c>
    </row>
    <row r="22" spans="1:38" s="876" customFormat="1" ht="15" customHeight="1">
      <c r="A22" s="1059"/>
      <c r="B22" s="1066" t="s">
        <v>1011</v>
      </c>
      <c r="C22" s="104"/>
      <c r="D22" s="885">
        <v>69.7</v>
      </c>
      <c r="E22" s="1823"/>
      <c r="F22" s="885">
        <v>51.8</v>
      </c>
      <c r="G22" s="1823"/>
      <c r="H22" s="885">
        <v>64.900000000000006</v>
      </c>
      <c r="I22" s="1823"/>
      <c r="J22" s="3862">
        <v>59.8</v>
      </c>
      <c r="K22" s="1521"/>
      <c r="L22" s="3862">
        <v>62.3</v>
      </c>
      <c r="M22" s="1521"/>
      <c r="N22" s="3862">
        <f t="shared" si="0"/>
        <v>56.100000000000023</v>
      </c>
      <c r="O22" s="1521"/>
      <c r="P22" s="1773"/>
      <c r="Q22" s="1982"/>
      <c r="R22" s="1773"/>
      <c r="S22" s="1982"/>
      <c r="T22" s="1773"/>
      <c r="U22" s="1982"/>
      <c r="V22" s="1773"/>
      <c r="W22" s="1982"/>
      <c r="X22" s="1773"/>
      <c r="Y22" s="1982"/>
      <c r="Z22" s="1773"/>
      <c r="AA22" s="1983"/>
      <c r="AB22" s="1984"/>
      <c r="AC22" s="1986"/>
      <c r="AD22" s="1773">
        <v>364.6</v>
      </c>
      <c r="AE22" s="2016"/>
      <c r="AF22" s="3138"/>
      <c r="AG22" s="1773">
        <v>380.5</v>
      </c>
      <c r="AH22" s="1062"/>
      <c r="AI22" s="64"/>
      <c r="AJ22" s="884">
        <f t="shared" si="1"/>
        <v>-15.9</v>
      </c>
      <c r="AK22" s="877"/>
      <c r="AL22" s="1802">
        <f t="shared" si="2"/>
        <v>-4.2000000000000003E-2</v>
      </c>
    </row>
    <row r="23" spans="1:38" s="876" customFormat="1" ht="15" customHeight="1">
      <c r="A23" s="1059"/>
      <c r="B23" s="1779" t="s">
        <v>1153</v>
      </c>
      <c r="C23" s="104"/>
      <c r="D23" s="885">
        <v>1.5</v>
      </c>
      <c r="E23" s="1823"/>
      <c r="F23" s="885">
        <v>1.1000000000000001</v>
      </c>
      <c r="G23" s="1823"/>
      <c r="H23" s="885">
        <v>1.1000000000000001</v>
      </c>
      <c r="I23" s="1823"/>
      <c r="J23" s="3862">
        <v>0.90000000000000036</v>
      </c>
      <c r="K23" s="1521"/>
      <c r="L23" s="3862">
        <v>1.0999999999999996</v>
      </c>
      <c r="M23" s="1521"/>
      <c r="N23" s="3862">
        <f t="shared" si="0"/>
        <v>0.99999999999999956</v>
      </c>
      <c r="O23" s="1521"/>
      <c r="P23" s="1773"/>
      <c r="Q23" s="1982"/>
      <c r="R23" s="1773"/>
      <c r="S23" s="1982"/>
      <c r="T23" s="1773"/>
      <c r="U23" s="1982"/>
      <c r="V23" s="1773"/>
      <c r="W23" s="1982"/>
      <c r="X23" s="1773"/>
      <c r="Y23" s="1982"/>
      <c r="Z23" s="1773"/>
      <c r="AA23" s="1983"/>
      <c r="AB23" s="1984"/>
      <c r="AC23" s="1986"/>
      <c r="AD23" s="1773">
        <v>6.7</v>
      </c>
      <c r="AE23" s="2016"/>
      <c r="AF23" s="3138"/>
      <c r="AG23" s="1773">
        <v>3.9</v>
      </c>
      <c r="AH23" s="1062"/>
      <c r="AI23" s="64"/>
      <c r="AJ23" s="884">
        <f t="shared" si="1"/>
        <v>2.8</v>
      </c>
      <c r="AK23" s="877"/>
      <c r="AL23" s="1708">
        <f>ROUND(IF(AG23=0,1,AJ23/ABS(AG23)),3)</f>
        <v>0.71799999999999997</v>
      </c>
    </row>
    <row r="24" spans="1:38" s="876" customFormat="1" ht="15" customHeight="1">
      <c r="A24" s="1059"/>
      <c r="B24" s="1066" t="s">
        <v>1012</v>
      </c>
      <c r="C24" s="104"/>
      <c r="D24" s="885">
        <v>7.2</v>
      </c>
      <c r="E24" s="1823"/>
      <c r="F24" s="885">
        <v>8.6000000000000014</v>
      </c>
      <c r="G24" s="1823"/>
      <c r="H24" s="885">
        <v>9.8999999999999986</v>
      </c>
      <c r="I24" s="1823"/>
      <c r="J24" s="3862">
        <v>9.5000000000000036</v>
      </c>
      <c r="K24" s="1521"/>
      <c r="L24" s="3862">
        <v>9.6999999999999922</v>
      </c>
      <c r="M24" s="1521"/>
      <c r="N24" s="3862">
        <f t="shared" si="0"/>
        <v>10.200000000000003</v>
      </c>
      <c r="O24" s="1521"/>
      <c r="P24" s="1773"/>
      <c r="Q24" s="1982"/>
      <c r="R24" s="1773"/>
      <c r="S24" s="1982"/>
      <c r="T24" s="1773"/>
      <c r="U24" s="1982"/>
      <c r="V24" s="1773"/>
      <c r="W24" s="1982"/>
      <c r="X24" s="1773"/>
      <c r="Y24" s="1982"/>
      <c r="Z24" s="1773"/>
      <c r="AA24" s="1983"/>
      <c r="AB24" s="1984"/>
      <c r="AC24" s="1986"/>
      <c r="AD24" s="1773">
        <v>55.1</v>
      </c>
      <c r="AE24" s="2016"/>
      <c r="AF24" s="3138"/>
      <c r="AG24" s="1773">
        <v>44.3</v>
      </c>
      <c r="AH24" s="1062"/>
      <c r="AI24" s="64"/>
      <c r="AJ24" s="884">
        <f t="shared" si="1"/>
        <v>10.8</v>
      </c>
      <c r="AK24" s="877"/>
      <c r="AL24" s="1806">
        <f t="shared" si="2"/>
        <v>0.24399999999999999</v>
      </c>
    </row>
    <row r="25" spans="1:38" s="876" customFormat="1" ht="15" customHeight="1">
      <c r="A25" s="1059"/>
      <c r="B25" s="1066" t="s">
        <v>1013</v>
      </c>
      <c r="C25" s="104"/>
      <c r="D25" s="885">
        <v>0</v>
      </c>
      <c r="E25" s="1823"/>
      <c r="F25" s="885">
        <v>0</v>
      </c>
      <c r="G25" s="1823"/>
      <c r="H25" s="885">
        <v>0</v>
      </c>
      <c r="I25" s="1823"/>
      <c r="J25" s="3862">
        <v>0</v>
      </c>
      <c r="K25" s="1521"/>
      <c r="L25" s="3862">
        <v>0</v>
      </c>
      <c r="M25" s="1521"/>
      <c r="N25" s="3862">
        <f t="shared" si="0"/>
        <v>0</v>
      </c>
      <c r="O25" s="1521"/>
      <c r="P25" s="1773"/>
      <c r="Q25" s="1982"/>
      <c r="R25" s="1773"/>
      <c r="S25" s="1982"/>
      <c r="T25" s="1773"/>
      <c r="U25" s="1982"/>
      <c r="V25" s="1773"/>
      <c r="W25" s="1982"/>
      <c r="X25" s="1773"/>
      <c r="Y25" s="1982"/>
      <c r="Z25" s="1773"/>
      <c r="AA25" s="1983"/>
      <c r="AB25" s="1984"/>
      <c r="AC25" s="1986"/>
      <c r="AD25" s="1773">
        <v>0</v>
      </c>
      <c r="AE25" s="2016"/>
      <c r="AF25" s="3138"/>
      <c r="AG25" s="1773">
        <v>0</v>
      </c>
      <c r="AH25" s="1062"/>
      <c r="AI25" s="64"/>
      <c r="AJ25" s="884">
        <f t="shared" si="1"/>
        <v>0</v>
      </c>
      <c r="AK25" s="877"/>
      <c r="AL25" s="1806">
        <f t="shared" si="2"/>
        <v>0</v>
      </c>
    </row>
    <row r="26" spans="1:38" s="876" customFormat="1" ht="15" customHeight="1">
      <c r="A26" s="1059"/>
      <c r="B26" s="1066" t="s">
        <v>1014</v>
      </c>
      <c r="C26" s="104"/>
      <c r="D26" s="885">
        <v>0.1</v>
      </c>
      <c r="E26" s="1823"/>
      <c r="F26" s="885">
        <v>0</v>
      </c>
      <c r="G26" s="1823"/>
      <c r="H26" s="885">
        <v>0</v>
      </c>
      <c r="I26" s="1823"/>
      <c r="J26" s="3862">
        <v>0.1</v>
      </c>
      <c r="K26" s="1521"/>
      <c r="L26" s="3862">
        <v>0</v>
      </c>
      <c r="M26" s="1521"/>
      <c r="N26" s="3862">
        <f t="shared" si="0"/>
        <v>9.9999999999999978E-2</v>
      </c>
      <c r="O26" s="1521"/>
      <c r="P26" s="1773"/>
      <c r="Q26" s="1982"/>
      <c r="R26" s="1773"/>
      <c r="S26" s="1982"/>
      <c r="T26" s="1773"/>
      <c r="U26" s="1982"/>
      <c r="V26" s="1773"/>
      <c r="W26" s="1982"/>
      <c r="X26" s="1773"/>
      <c r="Y26" s="1982"/>
      <c r="Z26" s="1773"/>
      <c r="AA26" s="1983"/>
      <c r="AB26" s="1984"/>
      <c r="AC26" s="1986"/>
      <c r="AD26" s="1773">
        <v>0.3</v>
      </c>
      <c r="AE26" s="2016"/>
      <c r="AF26" s="3138"/>
      <c r="AG26" s="1773">
        <v>0.2</v>
      </c>
      <c r="AH26" s="1062"/>
      <c r="AI26" s="64"/>
      <c r="AJ26" s="884">
        <f t="shared" si="1"/>
        <v>0.1</v>
      </c>
      <c r="AK26" s="877"/>
      <c r="AL26" s="1813">
        <f>ROUND(IF(AG26=0,1,AJ26/ABS(AG26)),3)</f>
        <v>0.5</v>
      </c>
    </row>
    <row r="27" spans="1:38" s="876" customFormat="1" ht="15" customHeight="1">
      <c r="A27" s="1059"/>
      <c r="B27" s="2215" t="s">
        <v>1350</v>
      </c>
      <c r="C27" s="104"/>
      <c r="D27" s="885">
        <v>0.2</v>
      </c>
      <c r="E27" s="1823"/>
      <c r="F27" s="885">
        <v>0</v>
      </c>
      <c r="G27" s="1823"/>
      <c r="H27" s="885">
        <v>6.6</v>
      </c>
      <c r="I27" s="1823"/>
      <c r="J27" s="3862">
        <v>0.20000000000000018</v>
      </c>
      <c r="K27" s="1521"/>
      <c r="L27" s="3862">
        <v>0</v>
      </c>
      <c r="M27" s="1521"/>
      <c r="N27" s="3862">
        <f t="shared" si="0"/>
        <v>7.8000000000000016</v>
      </c>
      <c r="O27" s="1521"/>
      <c r="P27" s="1773"/>
      <c r="Q27" s="1982"/>
      <c r="R27" s="1773"/>
      <c r="S27" s="1982"/>
      <c r="T27" s="1773"/>
      <c r="U27" s="1982"/>
      <c r="V27" s="1773"/>
      <c r="W27" s="1982"/>
      <c r="X27" s="1773"/>
      <c r="Y27" s="1982"/>
      <c r="Z27" s="1773"/>
      <c r="AA27" s="1983"/>
      <c r="AB27" s="1984"/>
      <c r="AC27" s="1986"/>
      <c r="AD27" s="1773">
        <v>14.8</v>
      </c>
      <c r="AE27" s="2016"/>
      <c r="AF27" s="3138"/>
      <c r="AG27" s="1773">
        <v>18.7</v>
      </c>
      <c r="AH27" s="1062"/>
      <c r="AI27" s="64"/>
      <c r="AJ27" s="884">
        <f t="shared" si="1"/>
        <v>-3.9</v>
      </c>
      <c r="AK27" s="877"/>
      <c r="AL27" s="1813">
        <f>ROUND(IF(AG27=0,1,AJ27/ABS(AG27)),3)</f>
        <v>-0.20899999999999999</v>
      </c>
    </row>
    <row r="28" spans="1:38" s="742" customFormat="1" ht="15" customHeight="1">
      <c r="A28" s="1057"/>
      <c r="B28" s="1067" t="s">
        <v>1124</v>
      </c>
      <c r="C28" s="26"/>
      <c r="D28" s="1821">
        <f>ROUND(SUM(D20:D27),1)</f>
        <v>187.7</v>
      </c>
      <c r="E28" s="911"/>
      <c r="F28" s="1821">
        <f>ROUND(SUM(F20:F27),1)</f>
        <v>142</v>
      </c>
      <c r="G28" s="911"/>
      <c r="H28" s="1821">
        <f>ROUND(SUM(H20:H27),1)</f>
        <v>189.2</v>
      </c>
      <c r="I28" s="911"/>
      <c r="J28" s="1821">
        <f>ROUND(SUM(J20:J27),1)</f>
        <v>157.4</v>
      </c>
      <c r="K28" s="911"/>
      <c r="L28" s="58">
        <f>ROUND(SUM(L20:L27),1)</f>
        <v>156.4</v>
      </c>
      <c r="M28" s="911"/>
      <c r="N28" s="58">
        <f>ROUND(SUM(N20:N27),1)</f>
        <v>191.9</v>
      </c>
      <c r="O28" s="911"/>
      <c r="P28" s="2017">
        <f>ROUND(SUM(P20:P27),1)</f>
        <v>0</v>
      </c>
      <c r="Q28" s="1447"/>
      <c r="R28" s="2017">
        <f>ROUND(SUM(R20:R27),1)</f>
        <v>0</v>
      </c>
      <c r="S28" s="1447"/>
      <c r="T28" s="2017">
        <f>ROUND(SUM(T20:T27),1)</f>
        <v>0</v>
      </c>
      <c r="U28" s="1447"/>
      <c r="V28" s="2017">
        <f>ROUND(SUM(V20:V27),1)</f>
        <v>0</v>
      </c>
      <c r="W28" s="1447"/>
      <c r="X28" s="2017">
        <f>ROUND(SUM(X20:X27),1)</f>
        <v>0</v>
      </c>
      <c r="Y28" s="1447"/>
      <c r="Z28" s="2017">
        <f>ROUND(SUM(Z20:Z27),1)</f>
        <v>0</v>
      </c>
      <c r="AA28" s="1430"/>
      <c r="AB28" s="1447"/>
      <c r="AC28" s="1996"/>
      <c r="AD28" s="2001">
        <f>ROUND(SUM(AD20:AD27),1)</f>
        <v>1024.5999999999999</v>
      </c>
      <c r="AE28" s="2034"/>
      <c r="AF28" s="3139"/>
      <c r="AG28" s="2001">
        <f>ROUND(SUM(AG20:AG27),1)</f>
        <v>879.2</v>
      </c>
      <c r="AH28" s="279"/>
      <c r="AI28" s="73"/>
      <c r="AJ28" s="58">
        <f>ROUND(SUM(AJ20:AJ27),1)</f>
        <v>145.4</v>
      </c>
      <c r="AK28" s="206"/>
      <c r="AL28" s="1039">
        <f t="shared" si="2"/>
        <v>0.16500000000000001</v>
      </c>
    </row>
    <row r="29" spans="1:38" ht="15" customHeight="1">
      <c r="A29" s="147"/>
      <c r="B29" s="1189" t="s">
        <v>998</v>
      </c>
      <c r="C29" s="28"/>
      <c r="D29" s="1515"/>
      <c r="E29" s="1515"/>
      <c r="F29" s="1515"/>
      <c r="G29" s="1515"/>
      <c r="H29" s="1515"/>
      <c r="I29" s="1515"/>
      <c r="J29" s="1515"/>
      <c r="K29" s="63"/>
      <c r="L29" s="63"/>
      <c r="M29" s="63"/>
      <c r="N29" s="63"/>
      <c r="O29" s="63"/>
      <c r="P29" s="1990"/>
      <c r="Q29" s="1990"/>
      <c r="R29" s="1990"/>
      <c r="S29" s="1990"/>
      <c r="T29" s="1990"/>
      <c r="U29" s="1990"/>
      <c r="V29" s="1990"/>
      <c r="W29" s="1990"/>
      <c r="X29" s="1990"/>
      <c r="Y29" s="1990"/>
      <c r="Z29" s="1990"/>
      <c r="AA29" s="1990"/>
      <c r="AB29" s="1990"/>
      <c r="AC29" s="1993"/>
      <c r="AD29" s="1979"/>
      <c r="AE29" s="1979"/>
      <c r="AF29" s="3137"/>
      <c r="AG29" s="1979"/>
      <c r="AH29" s="272"/>
      <c r="AI29" s="53"/>
      <c r="AJ29" s="634"/>
      <c r="AK29" s="909"/>
      <c r="AL29" s="909"/>
    </row>
    <row r="30" spans="1:38" s="876" customFormat="1" ht="15" customHeight="1">
      <c r="A30" s="1059"/>
      <c r="B30" s="1066" t="s">
        <v>1016</v>
      </c>
      <c r="C30" s="104"/>
      <c r="D30" s="885">
        <v>154.6</v>
      </c>
      <c r="E30" s="1823"/>
      <c r="F30" s="885">
        <v>39.800000000000011</v>
      </c>
      <c r="G30" s="1823"/>
      <c r="H30" s="885">
        <v>264.3</v>
      </c>
      <c r="I30" s="1515"/>
      <c r="J30" s="3862">
        <v>60.399999999999977</v>
      </c>
      <c r="K30" s="1521"/>
      <c r="L30" s="3862">
        <v>8.6000000000000227</v>
      </c>
      <c r="M30" s="1521"/>
      <c r="N30" s="3862">
        <f t="shared" ref="N30:N34" si="3">$AD30-$D30-$F30-$H30-$J30-$L30</f>
        <v>260.7</v>
      </c>
      <c r="O30" s="1521"/>
      <c r="P30" s="885"/>
      <c r="Q30" s="1982"/>
      <c r="R30" s="1773"/>
      <c r="S30" s="1982"/>
      <c r="T30" s="1773"/>
      <c r="U30" s="1982"/>
      <c r="V30" s="1773"/>
      <c r="W30" s="1982"/>
      <c r="X30" s="1773"/>
      <c r="Y30" s="1982"/>
      <c r="Z30" s="1773"/>
      <c r="AA30" s="1983"/>
      <c r="AB30" s="1984"/>
      <c r="AC30" s="1986"/>
      <c r="AD30" s="1773">
        <v>788.4</v>
      </c>
      <c r="AE30" s="2016"/>
      <c r="AF30" s="3138"/>
      <c r="AG30" s="1773">
        <v>455.3</v>
      </c>
      <c r="AH30" s="1062"/>
      <c r="AI30" s="64"/>
      <c r="AJ30" s="884">
        <f>ROUND(SUM(+AD30-AG30),1)</f>
        <v>333.1</v>
      </c>
      <c r="AK30" s="877"/>
      <c r="AL30" s="1806">
        <f t="shared" ref="AL30:AL35" si="4">ROUND(IF(AG30=0,0,AJ30/ABS(AG30)),3)</f>
        <v>0.73199999999999998</v>
      </c>
    </row>
    <row r="31" spans="1:38" s="876" customFormat="1" ht="15" customHeight="1">
      <c r="A31" s="1059"/>
      <c r="B31" s="1066" t="s">
        <v>1017</v>
      </c>
      <c r="C31" s="104"/>
      <c r="D31" s="885">
        <v>19.3</v>
      </c>
      <c r="E31" s="1823"/>
      <c r="F31" s="885">
        <v>0.5</v>
      </c>
      <c r="G31" s="1823"/>
      <c r="H31" s="885">
        <v>18.099999999999998</v>
      </c>
      <c r="I31" s="1515"/>
      <c r="J31" s="3862">
        <v>-7.6999999999999993</v>
      </c>
      <c r="K31" s="1521"/>
      <c r="L31" s="3862">
        <v>-9.9999999999997868E-2</v>
      </c>
      <c r="M31" s="1521"/>
      <c r="N31" s="3862">
        <f t="shared" si="3"/>
        <v>18.899999999999999</v>
      </c>
      <c r="O31" s="1521"/>
      <c r="P31" s="885"/>
      <c r="Q31" s="1982"/>
      <c r="R31" s="1773"/>
      <c r="S31" s="1982"/>
      <c r="T31" s="1773"/>
      <c r="U31" s="1982"/>
      <c r="V31" s="1773"/>
      <c r="W31" s="1982"/>
      <c r="X31" s="1773"/>
      <c r="Y31" s="1982"/>
      <c r="Z31" s="1773"/>
      <c r="AA31" s="1983"/>
      <c r="AB31" s="1984"/>
      <c r="AC31" s="1986"/>
      <c r="AD31" s="1773">
        <v>49</v>
      </c>
      <c r="AE31" s="2016"/>
      <c r="AF31" s="3138"/>
      <c r="AG31" s="1773">
        <v>55.8</v>
      </c>
      <c r="AH31" s="1062"/>
      <c r="AI31" s="64"/>
      <c r="AJ31" s="884">
        <f>ROUND(SUM(+AD31-AG31),1)</f>
        <v>-6.8</v>
      </c>
      <c r="AK31" s="877"/>
      <c r="AL31" s="1806">
        <f t="shared" si="4"/>
        <v>-0.122</v>
      </c>
    </row>
    <row r="32" spans="1:38" s="876" customFormat="1" ht="15" customHeight="1">
      <c r="A32" s="1059"/>
      <c r="B32" s="1066" t="s">
        <v>1018</v>
      </c>
      <c r="C32" s="104"/>
      <c r="D32" s="885">
        <v>-8.8000000000000007</v>
      </c>
      <c r="E32" s="1823"/>
      <c r="F32" s="885">
        <v>2.5000000000000009</v>
      </c>
      <c r="G32" s="1823"/>
      <c r="H32" s="885">
        <v>44.8</v>
      </c>
      <c r="I32" s="1515"/>
      <c r="J32" s="3862">
        <v>2.5</v>
      </c>
      <c r="K32" s="1521"/>
      <c r="L32" s="3862">
        <v>4.8000000000000114</v>
      </c>
      <c r="M32" s="1521"/>
      <c r="N32" s="3862">
        <f t="shared" si="3"/>
        <v>50.099999999999994</v>
      </c>
      <c r="O32" s="1521"/>
      <c r="P32" s="885"/>
      <c r="Q32" s="1982"/>
      <c r="R32" s="1773"/>
      <c r="S32" s="1982"/>
      <c r="T32" s="1773"/>
      <c r="U32" s="1982"/>
      <c r="V32" s="1773"/>
      <c r="W32" s="1982"/>
      <c r="X32" s="1773"/>
      <c r="Y32" s="1982"/>
      <c r="Z32" s="1773"/>
      <c r="AA32" s="1983"/>
      <c r="AB32" s="1984"/>
      <c r="AC32" s="1986"/>
      <c r="AD32" s="1773">
        <v>95.9</v>
      </c>
      <c r="AE32" s="2016"/>
      <c r="AF32" s="3138"/>
      <c r="AG32" s="1773">
        <v>93.5</v>
      </c>
      <c r="AH32" s="1062"/>
      <c r="AI32" s="64"/>
      <c r="AJ32" s="884">
        <f>ROUND(SUM(+AD32-AG32),1)</f>
        <v>2.4</v>
      </c>
      <c r="AK32" s="877"/>
      <c r="AL32" s="1807">
        <f t="shared" si="4"/>
        <v>2.5999999999999999E-2</v>
      </c>
    </row>
    <row r="33" spans="1:39" s="876" customFormat="1" ht="15" customHeight="1">
      <c r="A33" s="1059"/>
      <c r="B33" s="1066" t="s">
        <v>1019</v>
      </c>
      <c r="C33" s="104"/>
      <c r="D33" s="885">
        <v>3.1</v>
      </c>
      <c r="E33" s="1823"/>
      <c r="F33" s="885">
        <v>-3</v>
      </c>
      <c r="G33" s="1823"/>
      <c r="H33" s="885">
        <v>3.6999999999999997</v>
      </c>
      <c r="I33" s="1515"/>
      <c r="J33" s="3862">
        <v>0</v>
      </c>
      <c r="K33" s="1521"/>
      <c r="L33" s="3862">
        <v>0</v>
      </c>
      <c r="M33" s="1521"/>
      <c r="N33" s="3862">
        <f t="shared" si="3"/>
        <v>-4.5999999999999996</v>
      </c>
      <c r="O33" s="1521"/>
      <c r="P33" s="885"/>
      <c r="Q33" s="1982"/>
      <c r="R33" s="1773"/>
      <c r="S33" s="1982"/>
      <c r="T33" s="1773"/>
      <c r="U33" s="1982"/>
      <c r="V33" s="1773"/>
      <c r="W33" s="1982"/>
      <c r="X33" s="1773"/>
      <c r="Y33" s="1982"/>
      <c r="Z33" s="1773"/>
      <c r="AA33" s="1983"/>
      <c r="AB33" s="1984"/>
      <c r="AC33" s="1986"/>
      <c r="AD33" s="1773">
        <v>-0.8</v>
      </c>
      <c r="AE33" s="2016"/>
      <c r="AF33" s="3138"/>
      <c r="AG33" s="1773">
        <v>17.8</v>
      </c>
      <c r="AH33" s="1062"/>
      <c r="AI33" s="64"/>
      <c r="AJ33" s="884">
        <f>ROUND(SUM(+AD33-AG33),1)</f>
        <v>-18.600000000000001</v>
      </c>
      <c r="AK33" s="877"/>
      <c r="AL33" s="1807">
        <f t="shared" si="4"/>
        <v>-1.0449999999999999</v>
      </c>
    </row>
    <row r="34" spans="1:39" s="876" customFormat="1" ht="15" customHeight="1">
      <c r="A34" s="1059"/>
      <c r="B34" s="1066" t="s">
        <v>1020</v>
      </c>
      <c r="C34" s="104"/>
      <c r="D34" s="885">
        <v>30.7</v>
      </c>
      <c r="E34" s="1823"/>
      <c r="F34" s="885">
        <v>39.799999999999997</v>
      </c>
      <c r="G34" s="1823"/>
      <c r="H34" s="885">
        <v>40.599999999999994</v>
      </c>
      <c r="I34" s="1515"/>
      <c r="J34" s="3862">
        <v>43.700000000000017</v>
      </c>
      <c r="K34" s="1521"/>
      <c r="L34" s="3862">
        <v>42.2</v>
      </c>
      <c r="M34" s="1521"/>
      <c r="N34" s="3862">
        <f t="shared" si="3"/>
        <v>33.799999999999997</v>
      </c>
      <c r="O34" s="1521"/>
      <c r="P34" s="885"/>
      <c r="Q34" s="1982"/>
      <c r="R34" s="1773"/>
      <c r="S34" s="1982"/>
      <c r="T34" s="1773"/>
      <c r="U34" s="1982"/>
      <c r="V34" s="1773"/>
      <c r="W34" s="1982"/>
      <c r="X34" s="1773"/>
      <c r="Y34" s="1982"/>
      <c r="Z34" s="1773"/>
      <c r="AA34" s="1983"/>
      <c r="AB34" s="1984"/>
      <c r="AC34" s="1986"/>
      <c r="AD34" s="1773">
        <v>230.8</v>
      </c>
      <c r="AE34" s="2016"/>
      <c r="AF34" s="3138"/>
      <c r="AG34" s="1773">
        <v>206.3</v>
      </c>
      <c r="AH34" s="1062"/>
      <c r="AI34" s="64"/>
      <c r="AJ34" s="884">
        <f>ROUND(SUM(+AD34-AG34),1)</f>
        <v>24.5</v>
      </c>
      <c r="AK34" s="877"/>
      <c r="AL34" s="1806">
        <f t="shared" si="4"/>
        <v>0.11899999999999999</v>
      </c>
    </row>
    <row r="35" spans="1:39" s="742" customFormat="1" ht="15" customHeight="1">
      <c r="A35" s="1057"/>
      <c r="B35" s="1067" t="s">
        <v>1127</v>
      </c>
      <c r="C35" s="26"/>
      <c r="D35" s="1821">
        <f>ROUND(SUM(D30:D34),1)</f>
        <v>198.9</v>
      </c>
      <c r="E35" s="911"/>
      <c r="F35" s="1821">
        <f>ROUND(SUM(F30:F34),1)</f>
        <v>79.599999999999994</v>
      </c>
      <c r="G35" s="911"/>
      <c r="H35" s="1821">
        <f>ROUND(SUM(H30:H34),1)</f>
        <v>371.5</v>
      </c>
      <c r="I35" s="911"/>
      <c r="J35" s="1821">
        <f>ROUND(SUM(J30:J34),1)</f>
        <v>98.9</v>
      </c>
      <c r="K35" s="911"/>
      <c r="L35" s="58">
        <f>ROUND(SUM(L30:L34),1)</f>
        <v>55.5</v>
      </c>
      <c r="M35" s="911"/>
      <c r="N35" s="58">
        <f>ROUND(SUM(N30:N34),1)</f>
        <v>358.9</v>
      </c>
      <c r="O35" s="911"/>
      <c r="P35" s="2017">
        <f>ROUND(SUM(P30:P34),1)</f>
        <v>0</v>
      </c>
      <c r="Q35" s="1447"/>
      <c r="R35" s="2017">
        <f>ROUND(SUM(R30:R34),1)</f>
        <v>0</v>
      </c>
      <c r="S35" s="1447"/>
      <c r="T35" s="2017">
        <f>ROUND(SUM(T30:T34),1)</f>
        <v>0</v>
      </c>
      <c r="U35" s="1447"/>
      <c r="V35" s="2017">
        <f>ROUND(SUM(V30:V34),1)</f>
        <v>0</v>
      </c>
      <c r="W35" s="1447"/>
      <c r="X35" s="2017">
        <f>ROUND(SUM(X30:X34),1)</f>
        <v>0</v>
      </c>
      <c r="Y35" s="1447"/>
      <c r="Z35" s="2017">
        <f>ROUND(SUM(Z30:Z34),1)</f>
        <v>0</v>
      </c>
      <c r="AA35" s="1430"/>
      <c r="AB35" s="1447"/>
      <c r="AC35" s="1996"/>
      <c r="AD35" s="2001">
        <f>ROUND(SUM(AD30:AD34),1)</f>
        <v>1163.3</v>
      </c>
      <c r="AE35" s="2034"/>
      <c r="AF35" s="3139"/>
      <c r="AG35" s="2001">
        <f>ROUND(SUM(AG30:AG34),1)</f>
        <v>828.7</v>
      </c>
      <c r="AH35" s="279"/>
      <c r="AI35" s="73"/>
      <c r="AJ35" s="58">
        <f>ROUND(SUM(AJ30:AJ34),1)</f>
        <v>334.6</v>
      </c>
      <c r="AK35" s="206"/>
      <c r="AL35" s="3851">
        <f t="shared" si="4"/>
        <v>0.40400000000000003</v>
      </c>
    </row>
    <row r="36" spans="1:39" ht="15" customHeight="1">
      <c r="A36" s="147"/>
      <c r="B36" s="1067"/>
      <c r="C36" s="28"/>
      <c r="D36" s="1515"/>
      <c r="E36" s="1515"/>
      <c r="F36" s="1515"/>
      <c r="G36" s="1515"/>
      <c r="H36" s="1515"/>
      <c r="I36" s="1515"/>
      <c r="J36" s="1515"/>
      <c r="K36" s="63"/>
      <c r="L36" s="63"/>
      <c r="M36" s="63"/>
      <c r="N36" s="63"/>
      <c r="O36" s="63"/>
      <c r="P36" s="1990"/>
      <c r="Q36" s="1990"/>
      <c r="R36" s="1990"/>
      <c r="S36" s="1990"/>
      <c r="T36" s="1990"/>
      <c r="U36" s="1990"/>
      <c r="V36" s="1990"/>
      <c r="W36" s="1990"/>
      <c r="X36" s="1990"/>
      <c r="Y36" s="1990"/>
      <c r="Z36" s="1990"/>
      <c r="AA36" s="1990"/>
      <c r="AB36" s="1990"/>
      <c r="AC36" s="2018"/>
      <c r="AD36" s="1961"/>
      <c r="AE36" s="1979"/>
      <c r="AF36" s="3137"/>
      <c r="AG36" s="1961"/>
      <c r="AH36" s="272"/>
      <c r="AI36" s="53"/>
      <c r="AJ36" s="634"/>
      <c r="AK36" s="909"/>
      <c r="AL36" s="1419"/>
    </row>
    <row r="37" spans="1:39" ht="15" customHeight="1">
      <c r="A37" s="147"/>
      <c r="B37" s="307" t="s">
        <v>995</v>
      </c>
      <c r="C37" s="28"/>
      <c r="D37" s="3496">
        <f>ROUND(SUM(D17+D28+D35),1)</f>
        <v>386.6</v>
      </c>
      <c r="E37" s="1515"/>
      <c r="F37" s="3496">
        <f>ROUND(SUM(F17+F28+F35),1)</f>
        <v>221.6</v>
      </c>
      <c r="G37" s="1515"/>
      <c r="H37" s="3496">
        <f>ROUND(SUM(H17+H28+H35),1)</f>
        <v>560.70000000000005</v>
      </c>
      <c r="I37" s="1515"/>
      <c r="J37" s="3496">
        <f>ROUND(SUM(J17+J28+J35),1)</f>
        <v>256.3</v>
      </c>
      <c r="K37" s="63"/>
      <c r="L37" s="3496">
        <f>ROUND(SUM(L17+L28+L35),1)</f>
        <v>211.9</v>
      </c>
      <c r="M37" s="1515"/>
      <c r="N37" s="3496">
        <f>ROUND(SUM(N17+N28+N35),1)</f>
        <v>550.79999999999995</v>
      </c>
      <c r="O37" s="1515"/>
      <c r="P37" s="3496">
        <f>ROUND(SUM(P17+P28+P35),1)</f>
        <v>0</v>
      </c>
      <c r="Q37" s="1515"/>
      <c r="R37" s="3496">
        <f>ROUND(SUM(R17+R28+R35),1)</f>
        <v>0</v>
      </c>
      <c r="S37" s="1990"/>
      <c r="T37" s="3496">
        <f>ROUND(SUM(T17+T28+T35),1)</f>
        <v>0</v>
      </c>
      <c r="U37" s="1515"/>
      <c r="V37" s="3496">
        <f>ROUND(SUM(V17+V28+V35),1)</f>
        <v>0</v>
      </c>
      <c r="W37" s="1515"/>
      <c r="X37" s="3496">
        <f>ROUND(SUM(X17+X28+X35),1)</f>
        <v>0</v>
      </c>
      <c r="Y37" s="1515"/>
      <c r="Z37" s="3496">
        <f>ROUND(SUM(Z17+Z28+Z35),1)</f>
        <v>0</v>
      </c>
      <c r="AA37" s="2020"/>
      <c r="AB37" s="1990"/>
      <c r="AC37" s="2021"/>
      <c r="AD37" s="3496">
        <f>ROUND(SUM(AD17+AD28+AD35),1)</f>
        <v>2187.9</v>
      </c>
      <c r="AE37" s="1979"/>
      <c r="AF37" s="2023"/>
      <c r="AG37" s="3496">
        <f>ROUND(SUM(AG17+AG28+AG35),1)</f>
        <v>1708</v>
      </c>
      <c r="AH37" s="276"/>
      <c r="AI37" s="53"/>
      <c r="AJ37" s="3496">
        <f>ROUND(SUM(AJ17+AJ28+AJ35),1)</f>
        <v>479.9</v>
      </c>
      <c r="AK37" s="634"/>
      <c r="AL37" s="3497">
        <f>ROUND(IF(AG37=0,0,AJ37/ABS(AG37)),3)</f>
        <v>0.28100000000000003</v>
      </c>
      <c r="AM37" s="773"/>
    </row>
    <row r="38" spans="1:39" ht="15" customHeight="1">
      <c r="A38" s="147"/>
      <c r="B38" s="28"/>
      <c r="C38" s="28"/>
      <c r="D38" s="671"/>
      <c r="E38" s="1515"/>
      <c r="F38" s="671"/>
      <c r="G38" s="1515"/>
      <c r="H38" s="1515"/>
      <c r="I38" s="1515"/>
      <c r="J38" s="671"/>
      <c r="K38" s="63"/>
      <c r="L38" s="74"/>
      <c r="M38" s="63"/>
      <c r="N38" s="74"/>
      <c r="O38" s="63"/>
      <c r="P38" s="1999"/>
      <c r="Q38" s="1990"/>
      <c r="R38" s="1999"/>
      <c r="S38" s="1990"/>
      <c r="T38" s="1999"/>
      <c r="U38" s="1990"/>
      <c r="V38" s="1999"/>
      <c r="W38" s="1990"/>
      <c r="X38" s="1999"/>
      <c r="Y38" s="1990"/>
      <c r="Z38" s="1999"/>
      <c r="AA38" s="1999"/>
      <c r="AB38" s="1990"/>
      <c r="AC38" s="2021"/>
      <c r="AD38" s="2104"/>
      <c r="AE38" s="2603"/>
      <c r="AF38" s="1981"/>
      <c r="AG38" s="2104"/>
      <c r="AH38" s="276"/>
      <c r="AI38" s="53"/>
      <c r="AJ38" s="634"/>
      <c r="AK38" s="634"/>
      <c r="AL38" s="1418"/>
      <c r="AM38" s="773"/>
    </row>
    <row r="39" spans="1:39" ht="15" customHeight="1">
      <c r="A39" s="147"/>
      <c r="B39" s="258" t="s">
        <v>930</v>
      </c>
      <c r="C39" s="28"/>
      <c r="D39" s="671"/>
      <c r="E39" s="1515"/>
      <c r="F39" s="671"/>
      <c r="G39" s="1515"/>
      <c r="H39" s="1515"/>
      <c r="I39" s="1515"/>
      <c r="J39" s="671"/>
      <c r="K39" s="63"/>
      <c r="L39" s="74"/>
      <c r="M39" s="63"/>
      <c r="N39" s="74"/>
      <c r="O39" s="63"/>
      <c r="P39" s="1999"/>
      <c r="Q39" s="1990"/>
      <c r="R39" s="1999"/>
      <c r="S39" s="1990"/>
      <c r="T39" s="1999"/>
      <c r="U39" s="1990"/>
      <c r="V39" s="1999"/>
      <c r="W39" s="1990"/>
      <c r="X39" s="1999"/>
      <c r="Y39" s="1990"/>
      <c r="Z39" s="1999"/>
      <c r="AA39" s="1999"/>
      <c r="AB39" s="1990"/>
      <c r="AC39" s="2021"/>
      <c r="AD39" s="1979"/>
      <c r="AE39" s="1979"/>
      <c r="AF39" s="1981"/>
      <c r="AG39" s="1979"/>
      <c r="AH39" s="272"/>
      <c r="AI39" s="53"/>
      <c r="AJ39" s="634"/>
      <c r="AK39" s="634"/>
      <c r="AL39" s="1418"/>
      <c r="AM39" s="773"/>
    </row>
    <row r="40" spans="1:39" ht="15" customHeight="1">
      <c r="A40" s="147"/>
      <c r="B40" s="881" t="s">
        <v>1049</v>
      </c>
      <c r="C40" s="28"/>
      <c r="D40" s="671"/>
      <c r="E40" s="1515"/>
      <c r="F40" s="671"/>
      <c r="G40" s="1515"/>
      <c r="H40" s="1515"/>
      <c r="I40" s="1515"/>
      <c r="J40" s="671"/>
      <c r="K40" s="63"/>
      <c r="L40" s="74"/>
      <c r="M40" s="63"/>
      <c r="N40" s="74"/>
      <c r="O40" s="63"/>
      <c r="P40" s="1999"/>
      <c r="Q40" s="1990"/>
      <c r="R40" s="1999"/>
      <c r="S40" s="1990"/>
      <c r="T40" s="1999"/>
      <c r="U40" s="1990"/>
      <c r="V40" s="1999"/>
      <c r="W40" s="1990"/>
      <c r="X40" s="1999"/>
      <c r="Y40" s="1990"/>
      <c r="Z40" s="1999"/>
      <c r="AA40" s="1999"/>
      <c r="AB40" s="1990"/>
      <c r="AC40" s="2021"/>
      <c r="AD40" s="1979"/>
      <c r="AE40" s="1979"/>
      <c r="AF40" s="1981"/>
      <c r="AG40" s="1979"/>
      <c r="AH40" s="272"/>
      <c r="AI40" s="53"/>
      <c r="AJ40" s="634"/>
      <c r="AK40" s="634"/>
      <c r="AL40" s="1418"/>
      <c r="AM40" s="773"/>
    </row>
    <row r="41" spans="1:39" s="876" customFormat="1" ht="15" customHeight="1">
      <c r="A41" s="1059"/>
      <c r="B41" s="881" t="s">
        <v>963</v>
      </c>
      <c r="C41" s="104"/>
      <c r="D41" s="885">
        <v>0.9</v>
      </c>
      <c r="E41" s="884"/>
      <c r="F41" s="885">
        <v>0.99999999999999989</v>
      </c>
      <c r="G41" s="884"/>
      <c r="H41" s="885">
        <v>0.80000000000000038</v>
      </c>
      <c r="I41" s="884"/>
      <c r="J41" s="3862">
        <v>0.8999999999999998</v>
      </c>
      <c r="K41" s="1521"/>
      <c r="L41" s="3862">
        <v>0.9</v>
      </c>
      <c r="M41" s="1521"/>
      <c r="N41" s="3862">
        <f>$AD41-$D41-$F41-$H41-$J41-$L41</f>
        <v>1.1999999999999997</v>
      </c>
      <c r="O41" s="1521"/>
      <c r="P41" s="885"/>
      <c r="Q41" s="1982"/>
      <c r="R41" s="1773"/>
      <c r="S41" s="1982"/>
      <c r="T41" s="1773"/>
      <c r="U41" s="1982"/>
      <c r="V41" s="1773"/>
      <c r="W41" s="1982"/>
      <c r="X41" s="1773"/>
      <c r="Y41" s="1982"/>
      <c r="Z41" s="1773"/>
      <c r="AA41" s="1983"/>
      <c r="AB41" s="1984"/>
      <c r="AC41" s="1986"/>
      <c r="AD41" s="1773">
        <v>5.7</v>
      </c>
      <c r="AE41" s="2016"/>
      <c r="AF41" s="3138"/>
      <c r="AG41" s="1773">
        <v>5.6</v>
      </c>
      <c r="AH41" s="1062"/>
      <c r="AI41" s="64"/>
      <c r="AJ41" s="884">
        <f>ROUND(SUM(+AD41-AG41),1)</f>
        <v>0.1</v>
      </c>
      <c r="AK41" s="884"/>
      <c r="AL41" s="1802">
        <f>ROUND(IF(AG41=0,0,AJ41/ABS(AG41)),3)</f>
        <v>1.7999999999999999E-2</v>
      </c>
      <c r="AM41" s="1803"/>
    </row>
    <row r="42" spans="1:39" s="876" customFormat="1" ht="15" customHeight="1">
      <c r="A42" s="1059"/>
      <c r="B42" s="881" t="s">
        <v>1050</v>
      </c>
      <c r="C42" s="104"/>
      <c r="D42" s="885" t="s">
        <v>14</v>
      </c>
      <c r="E42" s="1515"/>
      <c r="F42" s="885"/>
      <c r="G42" s="1515"/>
      <c r="H42" s="885"/>
      <c r="I42" s="1515"/>
      <c r="J42" s="885"/>
      <c r="K42" s="115"/>
      <c r="L42" s="3862"/>
      <c r="M42" s="884"/>
      <c r="N42" s="885"/>
      <c r="O42" s="115"/>
      <c r="P42" s="885"/>
      <c r="Q42" s="1979"/>
      <c r="R42" s="1773"/>
      <c r="S42" s="1979"/>
      <c r="T42" s="1773"/>
      <c r="U42" s="1979"/>
      <c r="V42" s="1773"/>
      <c r="W42" s="1979"/>
      <c r="X42" s="1773"/>
      <c r="Y42" s="1979"/>
      <c r="Z42" s="1773"/>
      <c r="AA42" s="1978"/>
      <c r="AB42" s="1979"/>
      <c r="AC42" s="2023"/>
      <c r="AD42" s="1979"/>
      <c r="AE42" s="1979"/>
      <c r="AF42" s="1981"/>
      <c r="AG42" s="1979"/>
      <c r="AH42" s="1062"/>
      <c r="AI42" s="64"/>
      <c r="AJ42" s="884"/>
      <c r="AK42" s="884"/>
      <c r="AL42" s="1802"/>
      <c r="AM42" s="1803"/>
    </row>
    <row r="43" spans="1:39" s="876" customFormat="1" ht="15" customHeight="1">
      <c r="A43" s="1059"/>
      <c r="B43" s="881" t="s">
        <v>965</v>
      </c>
      <c r="C43" s="104"/>
      <c r="D43" s="885">
        <v>63.7</v>
      </c>
      <c r="E43" s="1515"/>
      <c r="F43" s="885">
        <v>5.0999999999999943</v>
      </c>
      <c r="G43" s="1515"/>
      <c r="H43" s="885">
        <v>61.3</v>
      </c>
      <c r="I43" s="1515"/>
      <c r="J43" s="3862">
        <v>93.499999999999986</v>
      </c>
      <c r="K43" s="1521"/>
      <c r="L43" s="3862">
        <v>20.100000000000023</v>
      </c>
      <c r="M43" s="1521"/>
      <c r="N43" s="3862">
        <f t="shared" ref="N43:N79" si="5">$AD43-$D43-$F43-$H43-$J43-$L43</f>
        <v>29.700000000000003</v>
      </c>
      <c r="O43" s="1521"/>
      <c r="P43" s="885"/>
      <c r="Q43" s="1982"/>
      <c r="R43" s="1773"/>
      <c r="S43" s="1982"/>
      <c r="T43" s="1773"/>
      <c r="U43" s="1982"/>
      <c r="V43" s="1773"/>
      <c r="W43" s="1982"/>
      <c r="X43" s="1773"/>
      <c r="Y43" s="1982"/>
      <c r="Z43" s="1773"/>
      <c r="AA43" s="1983"/>
      <c r="AB43" s="1984"/>
      <c r="AC43" s="1986"/>
      <c r="AD43" s="1773">
        <v>273.39999999999998</v>
      </c>
      <c r="AE43" s="2016"/>
      <c r="AF43" s="3138"/>
      <c r="AG43" s="1773">
        <v>315.60000000000002</v>
      </c>
      <c r="AH43" s="1062"/>
      <c r="AI43" s="64"/>
      <c r="AJ43" s="884">
        <f>ROUND(SUM(+AD43-AG43),1)</f>
        <v>-42.2</v>
      </c>
      <c r="AK43" s="884"/>
      <c r="AL43" s="1802">
        <f>ROUND(IF(AG43=0,0,AJ43/ABS(AG43)),3)</f>
        <v>-0.13400000000000001</v>
      </c>
      <c r="AM43" s="1803"/>
    </row>
    <row r="44" spans="1:39" s="876" customFormat="1" ht="15" customHeight="1">
      <c r="A44" s="1059"/>
      <c r="B44" s="881" t="s">
        <v>966</v>
      </c>
      <c r="C44" s="104"/>
      <c r="D44" s="885">
        <v>482.7</v>
      </c>
      <c r="E44" s="1515"/>
      <c r="F44" s="885">
        <v>530.09999999999991</v>
      </c>
      <c r="G44" s="1515"/>
      <c r="H44" s="885">
        <v>540.70000000000005</v>
      </c>
      <c r="I44" s="1515"/>
      <c r="J44" s="3862">
        <v>526.30000000000018</v>
      </c>
      <c r="K44" s="1521"/>
      <c r="L44" s="3862">
        <v>529.99999999999977</v>
      </c>
      <c r="M44" s="1521"/>
      <c r="N44" s="3862">
        <f t="shared" si="5"/>
        <v>527.70000000000027</v>
      </c>
      <c r="O44" s="1521"/>
      <c r="P44" s="885"/>
      <c r="Q44" s="1982"/>
      <c r="R44" s="1773"/>
      <c r="S44" s="1982"/>
      <c r="T44" s="1773"/>
      <c r="U44" s="1982"/>
      <c r="V44" s="1773"/>
      <c r="W44" s="1982"/>
      <c r="X44" s="1773"/>
      <c r="Y44" s="1982"/>
      <c r="Z44" s="1773"/>
      <c r="AA44" s="1983"/>
      <c r="AB44" s="1984"/>
      <c r="AC44" s="1986"/>
      <c r="AD44" s="1773">
        <v>3137.5</v>
      </c>
      <c r="AE44" s="2016"/>
      <c r="AF44" s="3138"/>
      <c r="AG44" s="1773">
        <v>2958</v>
      </c>
      <c r="AH44" s="1062"/>
      <c r="AI44" s="64"/>
      <c r="AJ44" s="884">
        <f>ROUND(SUM(+AD44-AG44),1)</f>
        <v>179.5</v>
      </c>
      <c r="AK44" s="884"/>
      <c r="AL44" s="1802">
        <f>ROUND(IF(AG44=0,0,AJ44/ABS(AG44)),3)</f>
        <v>6.0999999999999999E-2</v>
      </c>
      <c r="AM44" s="1803"/>
    </row>
    <row r="45" spans="1:39" ht="15" customHeight="1">
      <c r="A45" s="147"/>
      <c r="B45" s="881" t="s">
        <v>967</v>
      </c>
      <c r="C45" s="28"/>
      <c r="D45" s="885">
        <v>1.5</v>
      </c>
      <c r="E45" s="1515"/>
      <c r="F45" s="885">
        <v>0</v>
      </c>
      <c r="G45" s="1515"/>
      <c r="H45" s="885">
        <v>0.70000000000000018</v>
      </c>
      <c r="I45" s="1515"/>
      <c r="J45" s="3862">
        <v>0</v>
      </c>
      <c r="K45" s="1521"/>
      <c r="L45" s="3862">
        <v>9.9999999999999645E-2</v>
      </c>
      <c r="M45" s="1521"/>
      <c r="N45" s="3862">
        <f t="shared" si="5"/>
        <v>44.4</v>
      </c>
      <c r="O45" s="1521"/>
      <c r="P45" s="885"/>
      <c r="Q45" s="1982"/>
      <c r="R45" s="1773"/>
      <c r="S45" s="1982"/>
      <c r="T45" s="1773"/>
      <c r="U45" s="1982"/>
      <c r="V45" s="1773"/>
      <c r="W45" s="1982"/>
      <c r="X45" s="1773"/>
      <c r="Y45" s="1982"/>
      <c r="Z45" s="1773"/>
      <c r="AA45" s="1983"/>
      <c r="AB45" s="1984"/>
      <c r="AC45" s="1986"/>
      <c r="AD45" s="1773">
        <v>46.7</v>
      </c>
      <c r="AE45" s="2016"/>
      <c r="AF45" s="3138"/>
      <c r="AG45" s="1773">
        <v>50.7</v>
      </c>
      <c r="AH45" s="272"/>
      <c r="AI45" s="53"/>
      <c r="AJ45" s="634">
        <f>ROUND(SUM(+AD45-AG45),1)</f>
        <v>-4</v>
      </c>
      <c r="AK45" s="634"/>
      <c r="AL45" s="3607">
        <f>ROUND(IF(AG45=0,0,AJ45/ABS(AG45)),3)</f>
        <v>-7.9000000000000001E-2</v>
      </c>
      <c r="AM45" s="773"/>
    </row>
    <row r="46" spans="1:39" ht="15" customHeight="1">
      <c r="A46" s="147"/>
      <c r="B46" s="881" t="s">
        <v>968</v>
      </c>
      <c r="C46" s="28"/>
      <c r="D46" s="885">
        <v>0</v>
      </c>
      <c r="E46" s="1515"/>
      <c r="F46" s="885">
        <v>0</v>
      </c>
      <c r="G46" s="1515"/>
      <c r="H46" s="885">
        <v>0</v>
      </c>
      <c r="I46" s="1515"/>
      <c r="J46" s="3862">
        <v>0</v>
      </c>
      <c r="K46" s="1521"/>
      <c r="L46" s="3862">
        <v>0</v>
      </c>
      <c r="M46" s="1521"/>
      <c r="N46" s="3862">
        <f t="shared" si="5"/>
        <v>0.1</v>
      </c>
      <c r="O46" s="1521"/>
      <c r="P46" s="885"/>
      <c r="Q46" s="1982"/>
      <c r="R46" s="1773"/>
      <c r="S46" s="1982"/>
      <c r="T46" s="1773"/>
      <c r="U46" s="1982"/>
      <c r="V46" s="1773"/>
      <c r="W46" s="1982"/>
      <c r="X46" s="1773"/>
      <c r="Y46" s="1982"/>
      <c r="Z46" s="1773"/>
      <c r="AA46" s="1983"/>
      <c r="AB46" s="1984"/>
      <c r="AC46" s="1986"/>
      <c r="AD46" s="1773">
        <v>0.1</v>
      </c>
      <c r="AE46" s="2016"/>
      <c r="AF46" s="3138"/>
      <c r="AG46" s="1773">
        <v>0</v>
      </c>
      <c r="AH46" s="272"/>
      <c r="AI46" s="53"/>
      <c r="AJ46" s="634">
        <f>ROUND(SUM(+AD46-AG46),1)</f>
        <v>0.1</v>
      </c>
      <c r="AK46" s="634"/>
      <c r="AL46" s="1418">
        <f>ROUND(IF(AG46=0,1,AJ46/ABS(AG46)),3)</f>
        <v>1</v>
      </c>
      <c r="AM46" s="773"/>
    </row>
    <row r="47" spans="1:39" s="876" customFormat="1" ht="15" customHeight="1">
      <c r="A47" s="1059"/>
      <c r="B47" s="881" t="s">
        <v>1055</v>
      </c>
      <c r="C47" s="104"/>
      <c r="D47" s="885" t="s">
        <v>14</v>
      </c>
      <c r="E47" s="1515"/>
      <c r="F47" s="885"/>
      <c r="G47" s="1515"/>
      <c r="H47" s="885"/>
      <c r="I47" s="1515"/>
      <c r="J47" s="885"/>
      <c r="K47" s="115"/>
      <c r="L47" s="3862"/>
      <c r="M47" s="115"/>
      <c r="N47" s="885"/>
      <c r="O47" s="115"/>
      <c r="P47" s="885"/>
      <c r="Q47" s="1979"/>
      <c r="R47" s="1773"/>
      <c r="S47" s="1979"/>
      <c r="T47" s="1773"/>
      <c r="U47" s="1979"/>
      <c r="V47" s="1773"/>
      <c r="W47" s="1979"/>
      <c r="X47" s="1773"/>
      <c r="Y47" s="1979"/>
      <c r="Z47" s="1773"/>
      <c r="AA47" s="1978"/>
      <c r="AB47" s="1979"/>
      <c r="AC47" s="2023"/>
      <c r="AD47" s="3130"/>
      <c r="AE47" s="1979"/>
      <c r="AF47" s="1981"/>
      <c r="AG47" s="3130"/>
      <c r="AH47" s="1062"/>
      <c r="AI47" s="64"/>
      <c r="AJ47" s="884"/>
      <c r="AK47" s="884"/>
      <c r="AL47" s="1802"/>
      <c r="AM47" s="1803"/>
    </row>
    <row r="48" spans="1:39" s="876" customFormat="1" ht="15" customHeight="1">
      <c r="A48" s="1059"/>
      <c r="B48" s="881" t="s">
        <v>1146</v>
      </c>
      <c r="C48" s="104"/>
      <c r="D48" s="885">
        <v>0</v>
      </c>
      <c r="E48" s="1515"/>
      <c r="F48" s="885">
        <v>0</v>
      </c>
      <c r="G48" s="1515"/>
      <c r="H48" s="885">
        <v>0</v>
      </c>
      <c r="I48" s="1515"/>
      <c r="J48" s="3862">
        <v>0.7</v>
      </c>
      <c r="K48" s="1521"/>
      <c r="L48" s="3862">
        <v>1.5000000000000002</v>
      </c>
      <c r="M48" s="1521"/>
      <c r="N48" s="3862">
        <f t="shared" si="5"/>
        <v>9.9999999999999645E-2</v>
      </c>
      <c r="O48" s="1521"/>
      <c r="P48" s="885"/>
      <c r="Q48" s="1982"/>
      <c r="R48" s="1773"/>
      <c r="S48" s="1982"/>
      <c r="T48" s="1773"/>
      <c r="U48" s="1982"/>
      <c r="V48" s="1773"/>
      <c r="W48" s="1982"/>
      <c r="X48" s="1773"/>
      <c r="Y48" s="1982"/>
      <c r="Z48" s="1773"/>
      <c r="AA48" s="1983"/>
      <c r="AB48" s="1984"/>
      <c r="AC48" s="1986"/>
      <c r="AD48" s="1773">
        <v>2.2999999999999998</v>
      </c>
      <c r="AE48" s="2016"/>
      <c r="AF48" s="3138"/>
      <c r="AG48" s="1773">
        <v>1.7</v>
      </c>
      <c r="AH48" s="1062"/>
      <c r="AI48" s="64"/>
      <c r="AJ48" s="884">
        <f t="shared" ref="AJ48:AJ54" si="6">ROUND(SUM(+AD48-AG48),1)</f>
        <v>0.6</v>
      </c>
      <c r="AK48" s="884"/>
      <c r="AL48" s="1708">
        <f>ROUND(IF(AG48=0,0,AJ48/ABS(AG48)),3)</f>
        <v>0.35299999999999998</v>
      </c>
      <c r="AM48" s="1803"/>
    </row>
    <row r="49" spans="1:39" s="876" customFormat="1" ht="15" customHeight="1">
      <c r="A49" s="1059"/>
      <c r="B49" s="881" t="s">
        <v>969</v>
      </c>
      <c r="C49" s="104"/>
      <c r="D49" s="885">
        <v>38.6</v>
      </c>
      <c r="E49" s="1515"/>
      <c r="F49" s="885">
        <v>26.699999999999996</v>
      </c>
      <c r="G49" s="1515"/>
      <c r="H49" s="885">
        <v>91.100000000000023</v>
      </c>
      <c r="I49" s="1515"/>
      <c r="J49" s="3862">
        <v>38.599999999999994</v>
      </c>
      <c r="K49" s="1521"/>
      <c r="L49" s="3862">
        <v>52.5</v>
      </c>
      <c r="M49" s="1521"/>
      <c r="N49" s="3862">
        <f t="shared" si="5"/>
        <v>95.6</v>
      </c>
      <c r="O49" s="1521"/>
      <c r="P49" s="885"/>
      <c r="Q49" s="1982"/>
      <c r="R49" s="1773"/>
      <c r="S49" s="1982"/>
      <c r="T49" s="1773"/>
      <c r="U49" s="1982"/>
      <c r="V49" s="1773"/>
      <c r="W49" s="1982"/>
      <c r="X49" s="1773"/>
      <c r="Y49" s="1982"/>
      <c r="Z49" s="1773"/>
      <c r="AA49" s="1983"/>
      <c r="AB49" s="1984"/>
      <c r="AC49" s="1986"/>
      <c r="AD49" s="1773">
        <v>343.1</v>
      </c>
      <c r="AE49" s="2016"/>
      <c r="AF49" s="3138"/>
      <c r="AG49" s="1773">
        <v>377</v>
      </c>
      <c r="AH49" s="1062"/>
      <c r="AI49" s="64"/>
      <c r="AJ49" s="884">
        <f t="shared" si="6"/>
        <v>-33.9</v>
      </c>
      <c r="AK49" s="884"/>
      <c r="AL49" s="1802">
        <f t="shared" ref="AL49:AL54" si="7">ROUND(IF(AG49=0,0,AJ49/ABS(AG49)),3)</f>
        <v>-0.09</v>
      </c>
      <c r="AM49" s="1803"/>
    </row>
    <row r="50" spans="1:39" s="876" customFormat="1" ht="15" customHeight="1">
      <c r="A50" s="1059"/>
      <c r="B50" s="881" t="s">
        <v>970</v>
      </c>
      <c r="C50" s="104"/>
      <c r="D50" s="885">
        <v>5.0999999999999996</v>
      </c>
      <c r="E50" s="1515"/>
      <c r="F50" s="885">
        <v>5.4</v>
      </c>
      <c r="G50" s="1515"/>
      <c r="H50" s="885">
        <v>5</v>
      </c>
      <c r="I50" s="1515"/>
      <c r="J50" s="3862">
        <v>4</v>
      </c>
      <c r="K50" s="1521"/>
      <c r="L50" s="3862">
        <v>6.4999999999999982</v>
      </c>
      <c r="M50" s="1521"/>
      <c r="N50" s="3862">
        <f t="shared" si="5"/>
        <v>5.7000000000000046</v>
      </c>
      <c r="O50" s="1521"/>
      <c r="P50" s="885"/>
      <c r="Q50" s="1982"/>
      <c r="R50" s="1773"/>
      <c r="S50" s="1982"/>
      <c r="T50" s="1773"/>
      <c r="U50" s="1982"/>
      <c r="V50" s="1773"/>
      <c r="W50" s="1982"/>
      <c r="X50" s="1773"/>
      <c r="Y50" s="1982"/>
      <c r="Z50" s="1773"/>
      <c r="AA50" s="1983"/>
      <c r="AB50" s="1984"/>
      <c r="AC50" s="1986"/>
      <c r="AD50" s="1773">
        <v>31.7</v>
      </c>
      <c r="AE50" s="2016"/>
      <c r="AF50" s="3138"/>
      <c r="AG50" s="1773">
        <v>20.399999999999999</v>
      </c>
      <c r="AH50" s="1062"/>
      <c r="AI50" s="64"/>
      <c r="AJ50" s="884">
        <f t="shared" si="6"/>
        <v>11.3</v>
      </c>
      <c r="AK50" s="884"/>
      <c r="AL50" s="1802">
        <f t="shared" si="7"/>
        <v>0.55400000000000005</v>
      </c>
      <c r="AM50" s="1803"/>
    </row>
    <row r="51" spans="1:39" s="876" customFormat="1" ht="15" customHeight="1">
      <c r="A51" s="1059"/>
      <c r="B51" s="881" t="s">
        <v>971</v>
      </c>
      <c r="C51" s="104"/>
      <c r="D51" s="885">
        <v>0.9</v>
      </c>
      <c r="E51" s="1515"/>
      <c r="F51" s="885">
        <v>0.20000000000000007</v>
      </c>
      <c r="G51" s="1515"/>
      <c r="H51" s="885">
        <v>0.79999999999999982</v>
      </c>
      <c r="I51" s="1515"/>
      <c r="J51" s="3862">
        <v>0.20000000000000018</v>
      </c>
      <c r="K51" s="1521"/>
      <c r="L51" s="3862">
        <v>0.39999999999999991</v>
      </c>
      <c r="M51" s="1521"/>
      <c r="N51" s="3862">
        <f t="shared" si="5"/>
        <v>0.10000000000000009</v>
      </c>
      <c r="O51" s="1521"/>
      <c r="P51" s="885"/>
      <c r="Q51" s="1982"/>
      <c r="R51" s="1773"/>
      <c r="S51" s="1982"/>
      <c r="T51" s="1773"/>
      <c r="U51" s="1982"/>
      <c r="V51" s="1773"/>
      <c r="W51" s="1982"/>
      <c r="X51" s="1773"/>
      <c r="Y51" s="1982"/>
      <c r="Z51" s="1773"/>
      <c r="AA51" s="1983"/>
      <c r="AB51" s="1984"/>
      <c r="AC51" s="1986"/>
      <c r="AD51" s="1773">
        <v>2.6</v>
      </c>
      <c r="AE51" s="2016"/>
      <c r="AF51" s="3138"/>
      <c r="AG51" s="1773">
        <v>2.4</v>
      </c>
      <c r="AH51" s="1062"/>
      <c r="AI51" s="64"/>
      <c r="AJ51" s="884">
        <f t="shared" si="6"/>
        <v>0.2</v>
      </c>
      <c r="AK51" s="884"/>
      <c r="AL51" s="1802">
        <f>ROUND(IF(AG51=0,1,AJ51/ABS(AG51)),3)</f>
        <v>8.3000000000000004E-2</v>
      </c>
      <c r="AM51" s="1803"/>
    </row>
    <row r="52" spans="1:39" s="876" customFormat="1" ht="15" customHeight="1">
      <c r="A52" s="1059"/>
      <c r="B52" s="881" t="s">
        <v>972</v>
      </c>
      <c r="C52" s="104"/>
      <c r="D52" s="885">
        <v>29.6</v>
      </c>
      <c r="E52" s="1515"/>
      <c r="F52" s="885">
        <v>27.799999999999997</v>
      </c>
      <c r="G52" s="1515"/>
      <c r="H52" s="885">
        <v>24.300000000000004</v>
      </c>
      <c r="I52" s="1515"/>
      <c r="J52" s="3862">
        <v>16.899999999999999</v>
      </c>
      <c r="K52" s="1521"/>
      <c r="L52" s="3862">
        <v>29.599999999999994</v>
      </c>
      <c r="M52" s="1521"/>
      <c r="N52" s="3862">
        <f t="shared" si="5"/>
        <v>41.900000000000006</v>
      </c>
      <c r="O52" s="1521"/>
      <c r="P52" s="885"/>
      <c r="Q52" s="1982"/>
      <c r="R52" s="1773"/>
      <c r="S52" s="1982"/>
      <c r="T52" s="1773"/>
      <c r="U52" s="1982"/>
      <c r="V52" s="1773"/>
      <c r="W52" s="1982"/>
      <c r="X52" s="1773"/>
      <c r="Y52" s="1982"/>
      <c r="Z52" s="1773"/>
      <c r="AA52" s="1983"/>
      <c r="AB52" s="1984"/>
      <c r="AC52" s="1986"/>
      <c r="AD52" s="1773">
        <v>170.1</v>
      </c>
      <c r="AE52" s="2016"/>
      <c r="AF52" s="3138"/>
      <c r="AG52" s="1773">
        <v>137.1</v>
      </c>
      <c r="AH52" s="1062"/>
      <c r="AI52" s="64"/>
      <c r="AJ52" s="884">
        <f t="shared" si="6"/>
        <v>33</v>
      </c>
      <c r="AK52" s="884"/>
      <c r="AL52" s="1802">
        <f t="shared" si="7"/>
        <v>0.24099999999999999</v>
      </c>
      <c r="AM52" s="1803"/>
    </row>
    <row r="53" spans="1:39" s="876" customFormat="1" ht="15" customHeight="1">
      <c r="A53" s="1059"/>
      <c r="B53" s="881" t="s">
        <v>973</v>
      </c>
      <c r="C53" s="104"/>
      <c r="D53" s="885">
        <v>65.7</v>
      </c>
      <c r="E53" s="1515"/>
      <c r="F53" s="885">
        <v>49.599999999999994</v>
      </c>
      <c r="G53" s="1515"/>
      <c r="H53" s="885">
        <v>83.000000000000028</v>
      </c>
      <c r="I53" s="1515"/>
      <c r="J53" s="3862">
        <v>56.5</v>
      </c>
      <c r="K53" s="1521"/>
      <c r="L53" s="3862">
        <v>89.899999999999977</v>
      </c>
      <c r="M53" s="1521"/>
      <c r="N53" s="3862">
        <f t="shared" si="5"/>
        <v>143.10000000000002</v>
      </c>
      <c r="O53" s="1521"/>
      <c r="P53" s="885"/>
      <c r="Q53" s="1982"/>
      <c r="R53" s="1773"/>
      <c r="S53" s="1982"/>
      <c r="T53" s="1773"/>
      <c r="U53" s="1982"/>
      <c r="V53" s="1773"/>
      <c r="W53" s="1982"/>
      <c r="X53" s="1773"/>
      <c r="Y53" s="1982"/>
      <c r="Z53" s="1773"/>
      <c r="AA53" s="1983"/>
      <c r="AB53" s="1984"/>
      <c r="AC53" s="1986"/>
      <c r="AD53" s="1773">
        <v>487.8</v>
      </c>
      <c r="AE53" s="2016"/>
      <c r="AF53" s="3138"/>
      <c r="AG53" s="1773">
        <v>289.39999999999998</v>
      </c>
      <c r="AH53" s="1062"/>
      <c r="AI53" s="64"/>
      <c r="AJ53" s="884">
        <f t="shared" si="6"/>
        <v>198.4</v>
      </c>
      <c r="AK53" s="884"/>
      <c r="AL53" s="1802">
        <f t="shared" si="7"/>
        <v>0.68600000000000005</v>
      </c>
      <c r="AM53" s="1803"/>
    </row>
    <row r="54" spans="1:39" s="876" customFormat="1" ht="15" customHeight="1">
      <c r="A54" s="1059"/>
      <c r="B54" s="881" t="s">
        <v>931</v>
      </c>
      <c r="C54" s="104"/>
      <c r="D54" s="885">
        <v>6.1</v>
      </c>
      <c r="E54" s="1515"/>
      <c r="F54" s="885">
        <v>8.7000000000000011</v>
      </c>
      <c r="G54" s="1515"/>
      <c r="H54" s="885">
        <v>11.9</v>
      </c>
      <c r="I54" s="1515"/>
      <c r="J54" s="3862">
        <v>5.7999999999999954</v>
      </c>
      <c r="K54" s="1521"/>
      <c r="L54" s="3862">
        <v>11.000000000000002</v>
      </c>
      <c r="M54" s="1521"/>
      <c r="N54" s="3862">
        <f t="shared" si="5"/>
        <v>5.9999999999999982</v>
      </c>
      <c r="O54" s="1521"/>
      <c r="P54" s="885"/>
      <c r="Q54" s="1982"/>
      <c r="R54" s="1773"/>
      <c r="S54" s="1982"/>
      <c r="T54" s="1773"/>
      <c r="U54" s="1982"/>
      <c r="V54" s="1773"/>
      <c r="W54" s="1982"/>
      <c r="X54" s="1773"/>
      <c r="Y54" s="1982"/>
      <c r="Z54" s="1773"/>
      <c r="AA54" s="1983"/>
      <c r="AB54" s="1984"/>
      <c r="AC54" s="1986"/>
      <c r="AD54" s="1773">
        <v>49.5</v>
      </c>
      <c r="AE54" s="2016"/>
      <c r="AF54" s="3138"/>
      <c r="AG54" s="1773">
        <v>36.300000000000004</v>
      </c>
      <c r="AH54" s="1062"/>
      <c r="AI54" s="64"/>
      <c r="AJ54" s="884">
        <f t="shared" si="6"/>
        <v>13.2</v>
      </c>
      <c r="AK54" s="884"/>
      <c r="AL54" s="1713">
        <f t="shared" si="7"/>
        <v>0.36399999999999999</v>
      </c>
      <c r="AM54" s="1803"/>
    </row>
    <row r="55" spans="1:39" s="876" customFormat="1" ht="15" customHeight="1">
      <c r="A55" s="1059"/>
      <c r="B55" s="881" t="s">
        <v>1052</v>
      </c>
      <c r="C55" s="104"/>
      <c r="D55" s="885" t="s">
        <v>14</v>
      </c>
      <c r="E55" s="1515"/>
      <c r="F55" s="885"/>
      <c r="G55" s="1515"/>
      <c r="H55" s="885"/>
      <c r="I55" s="1515"/>
      <c r="J55" s="885"/>
      <c r="K55" s="115"/>
      <c r="L55" s="3862"/>
      <c r="M55" s="115"/>
      <c r="N55" s="885"/>
      <c r="O55" s="115"/>
      <c r="P55" s="885"/>
      <c r="Q55" s="1979"/>
      <c r="R55" s="1773"/>
      <c r="S55" s="1979"/>
      <c r="T55" s="1773"/>
      <c r="U55" s="1979"/>
      <c r="V55" s="1773"/>
      <c r="W55" s="1979"/>
      <c r="X55" s="1773"/>
      <c r="Y55" s="1979"/>
      <c r="Z55" s="1773"/>
      <c r="AA55" s="1978"/>
      <c r="AB55" s="1979"/>
      <c r="AC55" s="2023"/>
      <c r="AD55" s="1979"/>
      <c r="AE55" s="1979"/>
      <c r="AF55" s="1981"/>
      <c r="AG55" s="1979"/>
      <c r="AH55" s="1062"/>
      <c r="AI55" s="64"/>
      <c r="AJ55" s="884"/>
      <c r="AK55" s="884"/>
      <c r="AL55" s="1802"/>
      <c r="AM55" s="1803"/>
    </row>
    <row r="56" spans="1:39" s="876" customFormat="1" ht="15" customHeight="1">
      <c r="A56" s="1059"/>
      <c r="B56" s="881" t="s">
        <v>974</v>
      </c>
      <c r="C56" s="104"/>
      <c r="D56" s="885">
        <v>34.200000000000003</v>
      </c>
      <c r="E56" s="1515"/>
      <c r="F56" s="885">
        <v>14.199999999999996</v>
      </c>
      <c r="G56" s="1515"/>
      <c r="H56" s="885">
        <v>17.100000000000001</v>
      </c>
      <c r="I56" s="1515"/>
      <c r="J56" s="3862">
        <v>35.700000000000003</v>
      </c>
      <c r="K56" s="1521"/>
      <c r="L56" s="3862">
        <v>15.199999999999996</v>
      </c>
      <c r="M56" s="1521"/>
      <c r="N56" s="3862">
        <f t="shared" si="5"/>
        <v>19.29999999999999</v>
      </c>
      <c r="O56" s="1521"/>
      <c r="P56" s="885"/>
      <c r="Q56" s="1982"/>
      <c r="R56" s="1773"/>
      <c r="S56" s="1982"/>
      <c r="T56" s="1773"/>
      <c r="U56" s="1982"/>
      <c r="V56" s="1773"/>
      <c r="W56" s="1982"/>
      <c r="X56" s="1773"/>
      <c r="Y56" s="1982"/>
      <c r="Z56" s="1773"/>
      <c r="AA56" s="1983"/>
      <c r="AB56" s="1984"/>
      <c r="AC56" s="1986"/>
      <c r="AD56" s="1773">
        <v>135.69999999999999</v>
      </c>
      <c r="AE56" s="2016"/>
      <c r="AF56" s="3138"/>
      <c r="AG56" s="1773">
        <v>28.8</v>
      </c>
      <c r="AH56" s="1062"/>
      <c r="AI56" s="64"/>
      <c r="AJ56" s="884">
        <f>ROUND(SUM(+AD56-AG56),1)</f>
        <v>106.9</v>
      </c>
      <c r="AK56" s="884"/>
      <c r="AL56" s="1713">
        <f>ROUND(IF(AG56=0,1,AJ56/ABS(AG56)),3)</f>
        <v>3.7120000000000002</v>
      </c>
      <c r="AM56" s="1803"/>
    </row>
    <row r="57" spans="1:39" s="876" customFormat="1" ht="15" customHeight="1">
      <c r="A57" s="1059"/>
      <c r="B57" s="881" t="s">
        <v>975</v>
      </c>
      <c r="C57" s="104"/>
      <c r="D57" s="885">
        <v>199.5</v>
      </c>
      <c r="E57" s="1515"/>
      <c r="F57" s="885">
        <v>213.5</v>
      </c>
      <c r="G57" s="1515"/>
      <c r="H57" s="885">
        <v>238.89999999999998</v>
      </c>
      <c r="I57" s="1515"/>
      <c r="J57" s="3862">
        <v>181.89999999999998</v>
      </c>
      <c r="K57" s="1521"/>
      <c r="L57" s="3862">
        <v>186.80000000000007</v>
      </c>
      <c r="M57" s="1521"/>
      <c r="N57" s="3862">
        <f t="shared" si="5"/>
        <v>240.89999999999998</v>
      </c>
      <c r="O57" s="1521"/>
      <c r="P57" s="885"/>
      <c r="Q57" s="1982"/>
      <c r="R57" s="1773"/>
      <c r="S57" s="1982"/>
      <c r="T57" s="1773"/>
      <c r="U57" s="1982"/>
      <c r="V57" s="1773"/>
      <c r="W57" s="1982"/>
      <c r="X57" s="1773"/>
      <c r="Y57" s="1982"/>
      <c r="Z57" s="1773"/>
      <c r="AA57" s="1983"/>
      <c r="AB57" s="1984"/>
      <c r="AC57" s="1986"/>
      <c r="AD57" s="1773">
        <v>1261.5</v>
      </c>
      <c r="AE57" s="2016"/>
      <c r="AF57" s="3138"/>
      <c r="AG57" s="1773">
        <v>1070.3</v>
      </c>
      <c r="AH57" s="1062"/>
      <c r="AI57" s="64"/>
      <c r="AJ57" s="884">
        <f>ROUND(SUM(+AD57-AG57),1)</f>
        <v>191.2</v>
      </c>
      <c r="AK57" s="884"/>
      <c r="AL57" s="1802">
        <f>ROUND(IF(AG57=0,0,AJ57/ABS(AG57)),3)</f>
        <v>0.17899999999999999</v>
      </c>
      <c r="AM57" s="1803"/>
    </row>
    <row r="58" spans="1:39" s="876" customFormat="1" ht="15" customHeight="1">
      <c r="A58" s="1059"/>
      <c r="B58" s="881" t="s">
        <v>976</v>
      </c>
      <c r="C58" s="104"/>
      <c r="D58" s="885">
        <v>75.900000000000006</v>
      </c>
      <c r="E58" s="1515"/>
      <c r="F58" s="885">
        <v>77.899999999999977</v>
      </c>
      <c r="G58" s="1515"/>
      <c r="H58" s="885">
        <v>101.9</v>
      </c>
      <c r="I58" s="1515"/>
      <c r="J58" s="3862">
        <v>82.400000000000063</v>
      </c>
      <c r="K58" s="1521"/>
      <c r="L58" s="3862">
        <v>81.5</v>
      </c>
      <c r="M58" s="1521"/>
      <c r="N58" s="3862">
        <f t="shared" si="5"/>
        <v>99.200000000000074</v>
      </c>
      <c r="O58" s="1521"/>
      <c r="P58" s="885"/>
      <c r="Q58" s="1982"/>
      <c r="R58" s="1773"/>
      <c r="S58" s="1982"/>
      <c r="T58" s="1773"/>
      <c r="U58" s="1982"/>
      <c r="V58" s="1773"/>
      <c r="W58" s="1982"/>
      <c r="X58" s="1773"/>
      <c r="Y58" s="1982"/>
      <c r="Z58" s="1773"/>
      <c r="AA58" s="1983"/>
      <c r="AB58" s="1984"/>
      <c r="AC58" s="1986"/>
      <c r="AD58" s="1773">
        <v>518.80000000000007</v>
      </c>
      <c r="AE58" s="2016"/>
      <c r="AF58" s="3138"/>
      <c r="AG58" s="1773">
        <v>34</v>
      </c>
      <c r="AH58" s="1062"/>
      <c r="AI58" s="64"/>
      <c r="AJ58" s="884">
        <f>ROUND(SUM(+AD58-AG58),1)</f>
        <v>484.8</v>
      </c>
      <c r="AK58" s="884"/>
      <c r="AL58" s="1813">
        <f>ROUND(IF(AG58=0,1,AJ58/ABS(AG58)),3)</f>
        <v>14.259</v>
      </c>
      <c r="AM58" s="1803"/>
    </row>
    <row r="59" spans="1:39" ht="15" customHeight="1">
      <c r="A59" s="147"/>
      <c r="B59" s="881" t="s">
        <v>932</v>
      </c>
      <c r="C59" s="28"/>
      <c r="D59" s="885">
        <v>3.5</v>
      </c>
      <c r="E59" s="1515"/>
      <c r="F59" s="885">
        <v>3.2</v>
      </c>
      <c r="G59" s="1515"/>
      <c r="H59" s="885">
        <v>3.1000000000000005</v>
      </c>
      <c r="I59" s="1515"/>
      <c r="J59" s="3862">
        <v>3.1999999999999993</v>
      </c>
      <c r="K59" s="1521"/>
      <c r="L59" s="3862">
        <v>3.2</v>
      </c>
      <c r="M59" s="1521"/>
      <c r="N59" s="3862">
        <f t="shared" si="5"/>
        <v>2.8</v>
      </c>
      <c r="O59" s="1521"/>
      <c r="P59" s="885"/>
      <c r="Q59" s="1982"/>
      <c r="R59" s="1773"/>
      <c r="S59" s="1982"/>
      <c r="T59" s="1773"/>
      <c r="U59" s="1982"/>
      <c r="V59" s="1773"/>
      <c r="W59" s="1982"/>
      <c r="X59" s="1773"/>
      <c r="Y59" s="1982"/>
      <c r="Z59" s="1773"/>
      <c r="AA59" s="1983"/>
      <c r="AB59" s="1984"/>
      <c r="AC59" s="1986"/>
      <c r="AD59" s="1773">
        <v>19</v>
      </c>
      <c r="AE59" s="2016"/>
      <c r="AF59" s="3138"/>
      <c r="AG59" s="1773">
        <v>38.200000000000003</v>
      </c>
      <c r="AH59" s="272"/>
      <c r="AI59" s="53"/>
      <c r="AJ59" s="634">
        <f>ROUND(SUM(+AD59-AG59),1)</f>
        <v>-19.2</v>
      </c>
      <c r="AK59" s="634"/>
      <c r="AL59" s="1418">
        <f>ROUND(IF(AG59=0,0,AJ59/ABS(AG59)),3)</f>
        <v>-0.503</v>
      </c>
      <c r="AM59" s="773"/>
    </row>
    <row r="60" spans="1:39" s="876" customFormat="1" ht="15" customHeight="1">
      <c r="A60" s="1059"/>
      <c r="B60" s="881" t="s">
        <v>950</v>
      </c>
      <c r="C60" s="104"/>
      <c r="D60" s="885">
        <v>6.7</v>
      </c>
      <c r="E60" s="1515"/>
      <c r="F60" s="885">
        <v>1.8999999999999995</v>
      </c>
      <c r="G60" s="1515"/>
      <c r="H60" s="885">
        <v>4.9000000000000004</v>
      </c>
      <c r="I60" s="1515"/>
      <c r="J60" s="3862">
        <v>3.2000000000000011</v>
      </c>
      <c r="K60" s="1521"/>
      <c r="L60" s="3862">
        <v>1.4000000000000021</v>
      </c>
      <c r="M60" s="1521"/>
      <c r="N60" s="3862">
        <f t="shared" si="5"/>
        <v>5.0999999999999979</v>
      </c>
      <c r="O60" s="1521"/>
      <c r="P60" s="885"/>
      <c r="Q60" s="1982"/>
      <c r="R60" s="1773"/>
      <c r="S60" s="1982"/>
      <c r="T60" s="1773"/>
      <c r="U60" s="1982"/>
      <c r="V60" s="1773"/>
      <c r="W60" s="1982"/>
      <c r="X60" s="1773"/>
      <c r="Y60" s="1982"/>
      <c r="Z60" s="1773"/>
      <c r="AA60" s="1983"/>
      <c r="AB60" s="1984"/>
      <c r="AC60" s="1986"/>
      <c r="AD60" s="1773">
        <v>23.2</v>
      </c>
      <c r="AE60" s="2016"/>
      <c r="AF60" s="3138"/>
      <c r="AG60" s="1773">
        <v>25.2</v>
      </c>
      <c r="AH60" s="1062"/>
      <c r="AI60" s="64"/>
      <c r="AJ60" s="884">
        <f>ROUND(SUM(+AD60-AG60),1)</f>
        <v>-2</v>
      </c>
      <c r="AK60" s="884"/>
      <c r="AL60" s="1802">
        <f>ROUND(IF(AG60=0,0,AJ60/ABS(AG60)),3)</f>
        <v>-7.9000000000000001E-2</v>
      </c>
      <c r="AM60" s="1803"/>
    </row>
    <row r="61" spans="1:39" s="876" customFormat="1" ht="15" customHeight="1">
      <c r="A61" s="1059"/>
      <c r="B61" s="881" t="s">
        <v>1053</v>
      </c>
      <c r="C61" s="104"/>
      <c r="D61" s="885" t="s">
        <v>14</v>
      </c>
      <c r="E61" s="1515"/>
      <c r="F61" s="885"/>
      <c r="G61" s="1515"/>
      <c r="H61" s="885"/>
      <c r="I61" s="1515"/>
      <c r="J61" s="885"/>
      <c r="K61" s="115"/>
      <c r="L61" s="3862"/>
      <c r="M61" s="115"/>
      <c r="N61" s="885"/>
      <c r="O61" s="115"/>
      <c r="P61" s="885"/>
      <c r="Q61" s="1979"/>
      <c r="R61" s="1773"/>
      <c r="S61" s="1979"/>
      <c r="T61" s="1773"/>
      <c r="U61" s="1979"/>
      <c r="V61" s="1773"/>
      <c r="W61" s="1979"/>
      <c r="X61" s="1773"/>
      <c r="Y61" s="1979"/>
      <c r="Z61" s="1773"/>
      <c r="AA61" s="1978"/>
      <c r="AB61" s="1979"/>
      <c r="AC61" s="2023"/>
      <c r="AD61" s="1979"/>
      <c r="AE61" s="1979"/>
      <c r="AF61" s="1981"/>
      <c r="AG61" s="1979"/>
      <c r="AH61" s="1062"/>
      <c r="AI61" s="64"/>
      <c r="AJ61" s="884"/>
      <c r="AK61" s="884"/>
      <c r="AL61" s="1802"/>
      <c r="AM61" s="1803"/>
    </row>
    <row r="62" spans="1:39" s="876" customFormat="1" ht="15" customHeight="1">
      <c r="A62" s="1059"/>
      <c r="B62" s="881" t="s">
        <v>977</v>
      </c>
      <c r="C62" s="104"/>
      <c r="D62" s="885">
        <v>0</v>
      </c>
      <c r="E62" s="1515"/>
      <c r="F62" s="885">
        <v>0</v>
      </c>
      <c r="G62" s="1515"/>
      <c r="H62" s="885">
        <v>0</v>
      </c>
      <c r="I62" s="1515"/>
      <c r="J62" s="3862">
        <v>0</v>
      </c>
      <c r="K62" s="1521"/>
      <c r="L62" s="3862">
        <v>0</v>
      </c>
      <c r="M62" s="1521"/>
      <c r="N62" s="3862">
        <f t="shared" si="5"/>
        <v>0</v>
      </c>
      <c r="O62" s="1521"/>
      <c r="P62" s="885"/>
      <c r="Q62" s="1982"/>
      <c r="R62" s="1773"/>
      <c r="S62" s="1982"/>
      <c r="T62" s="1773"/>
      <c r="U62" s="1982"/>
      <c r="V62" s="1773"/>
      <c r="W62" s="1982"/>
      <c r="X62" s="1773"/>
      <c r="Y62" s="1982"/>
      <c r="Z62" s="1773"/>
      <c r="AA62" s="1983"/>
      <c r="AB62" s="1984"/>
      <c r="AC62" s="1986"/>
      <c r="AD62" s="1773">
        <v>0</v>
      </c>
      <c r="AE62" s="2016"/>
      <c r="AF62" s="3138"/>
      <c r="AG62" s="1773">
        <v>0</v>
      </c>
      <c r="AH62" s="1062"/>
      <c r="AI62" s="64"/>
      <c r="AJ62" s="884">
        <f t="shared" ref="AJ62:AJ66" si="8">ROUND(SUM(+AD62-AG62),1)</f>
        <v>0</v>
      </c>
      <c r="AK62" s="884"/>
      <c r="AL62" s="1802">
        <f>ROUND(IF(AG62=0,0,AJ62/ABS(AG62)),3)</f>
        <v>0</v>
      </c>
      <c r="AM62" s="1803"/>
    </row>
    <row r="63" spans="1:39" s="876" customFormat="1" ht="15" customHeight="1">
      <c r="A63" s="1059"/>
      <c r="B63" s="881" t="s">
        <v>978</v>
      </c>
      <c r="C63" s="104"/>
      <c r="D63" s="885">
        <v>0</v>
      </c>
      <c r="E63" s="1515"/>
      <c r="F63" s="885">
        <v>0</v>
      </c>
      <c r="G63" s="1515"/>
      <c r="H63" s="885">
        <v>0</v>
      </c>
      <c r="I63" s="1515"/>
      <c r="J63" s="3862">
        <v>5.9</v>
      </c>
      <c r="K63" s="1521"/>
      <c r="L63" s="3862">
        <v>0</v>
      </c>
      <c r="M63" s="1521"/>
      <c r="N63" s="3862">
        <f t="shared" si="5"/>
        <v>0</v>
      </c>
      <c r="O63" s="1521"/>
      <c r="P63" s="885"/>
      <c r="Q63" s="1982"/>
      <c r="R63" s="1773"/>
      <c r="S63" s="1982"/>
      <c r="T63" s="1773"/>
      <c r="U63" s="1982"/>
      <c r="V63" s="1773"/>
      <c r="W63" s="1982"/>
      <c r="X63" s="1773"/>
      <c r="Y63" s="1982"/>
      <c r="Z63" s="1773"/>
      <c r="AA63" s="1983"/>
      <c r="AB63" s="1984"/>
      <c r="AC63" s="1986"/>
      <c r="AD63" s="1773">
        <v>5.9</v>
      </c>
      <c r="AE63" s="2016"/>
      <c r="AF63" s="3138"/>
      <c r="AG63" s="1773">
        <v>0</v>
      </c>
      <c r="AH63" s="1062"/>
      <c r="AI63" s="64"/>
      <c r="AJ63" s="884">
        <f t="shared" si="8"/>
        <v>5.9</v>
      </c>
      <c r="AK63" s="884"/>
      <c r="AL63" s="1802">
        <f>ROUND(IF(AG63=0,1,AJ63/ABS(AG63)),3)</f>
        <v>1</v>
      </c>
      <c r="AM63" s="1803"/>
    </row>
    <row r="64" spans="1:39" s="876" customFormat="1" ht="15" customHeight="1">
      <c r="A64" s="1059"/>
      <c r="B64" s="881" t="s">
        <v>979</v>
      </c>
      <c r="C64" s="104"/>
      <c r="D64" s="885">
        <v>2.7</v>
      </c>
      <c r="E64" s="1515"/>
      <c r="F64" s="885">
        <v>2.2999999999999998</v>
      </c>
      <c r="G64" s="1515"/>
      <c r="H64" s="885">
        <v>1.7000000000000002</v>
      </c>
      <c r="I64" s="1515"/>
      <c r="J64" s="3862">
        <v>0.5</v>
      </c>
      <c r="K64" s="1521"/>
      <c r="L64" s="3862">
        <v>0</v>
      </c>
      <c r="M64" s="1521"/>
      <c r="N64" s="3862">
        <f t="shared" si="5"/>
        <v>0</v>
      </c>
      <c r="O64" s="1521"/>
      <c r="P64" s="885"/>
      <c r="Q64" s="1982"/>
      <c r="R64" s="1773"/>
      <c r="S64" s="1982"/>
      <c r="T64" s="1773"/>
      <c r="U64" s="1982"/>
      <c r="V64" s="1773"/>
      <c r="W64" s="1982"/>
      <c r="X64" s="1773"/>
      <c r="Y64" s="1982"/>
      <c r="Z64" s="1773"/>
      <c r="AA64" s="1983"/>
      <c r="AB64" s="1984"/>
      <c r="AC64" s="1986"/>
      <c r="AD64" s="1773">
        <v>7.2</v>
      </c>
      <c r="AE64" s="2016"/>
      <c r="AF64" s="3138"/>
      <c r="AG64" s="1773">
        <v>7.2</v>
      </c>
      <c r="AH64" s="1062"/>
      <c r="AI64" s="64"/>
      <c r="AJ64" s="884">
        <f t="shared" si="8"/>
        <v>0</v>
      </c>
      <c r="AK64" s="884"/>
      <c r="AL64" s="1813">
        <f>ROUND(IF(AG64=0,0,AJ64/ABS(AG64)),3)</f>
        <v>0</v>
      </c>
      <c r="AM64" s="1803"/>
    </row>
    <row r="65" spans="1:39" s="876" customFormat="1" ht="15" customHeight="1">
      <c r="A65" s="1059"/>
      <c r="B65" s="881" t="s">
        <v>980</v>
      </c>
      <c r="C65" s="104"/>
      <c r="D65" s="885">
        <v>0.2</v>
      </c>
      <c r="E65" s="1515"/>
      <c r="F65" s="885">
        <v>0</v>
      </c>
      <c r="G65" s="1515"/>
      <c r="H65" s="885">
        <v>0</v>
      </c>
      <c r="I65" s="1515"/>
      <c r="J65" s="3862">
        <v>4.5999999999999996</v>
      </c>
      <c r="K65" s="1521"/>
      <c r="L65" s="3862">
        <v>0.29999999999999982</v>
      </c>
      <c r="M65" s="1521"/>
      <c r="N65" s="3862">
        <f t="shared" si="5"/>
        <v>4.3000000000000016</v>
      </c>
      <c r="O65" s="1521"/>
      <c r="P65" s="885"/>
      <c r="Q65" s="1982"/>
      <c r="R65" s="1773"/>
      <c r="S65" s="1982"/>
      <c r="T65" s="1773"/>
      <c r="U65" s="1982"/>
      <c r="V65" s="1773"/>
      <c r="W65" s="1982"/>
      <c r="X65" s="1773"/>
      <c r="Y65" s="1982"/>
      <c r="Z65" s="1773"/>
      <c r="AA65" s="1983"/>
      <c r="AB65" s="1984"/>
      <c r="AC65" s="1986"/>
      <c r="AD65" s="1773">
        <v>9.4</v>
      </c>
      <c r="AE65" s="2016"/>
      <c r="AF65" s="3138"/>
      <c r="AG65" s="1773">
        <v>15.2</v>
      </c>
      <c r="AH65" s="1062"/>
      <c r="AI65" s="64"/>
      <c r="AJ65" s="884">
        <f t="shared" si="8"/>
        <v>-5.8</v>
      </c>
      <c r="AK65" s="884"/>
      <c r="AL65" s="1813">
        <f t="shared" ref="AL65:AL66" si="9">ROUND(IF(AG65=0,0,AJ65/ABS(AG65)),3)</f>
        <v>-0.38200000000000001</v>
      </c>
      <c r="AM65" s="1803"/>
    </row>
    <row r="66" spans="1:39" s="876" customFormat="1" ht="15" customHeight="1">
      <c r="A66" s="1059"/>
      <c r="B66" s="881" t="s">
        <v>951</v>
      </c>
      <c r="C66" s="104"/>
      <c r="D66" s="885">
        <v>41.8</v>
      </c>
      <c r="E66" s="1515"/>
      <c r="F66" s="885">
        <v>1.9000000000000057</v>
      </c>
      <c r="G66" s="1515"/>
      <c r="H66" s="885">
        <v>9</v>
      </c>
      <c r="I66" s="1515"/>
      <c r="J66" s="3862">
        <v>2.0999999999999943</v>
      </c>
      <c r="K66" s="1521"/>
      <c r="L66" s="3862">
        <v>16.400000000000006</v>
      </c>
      <c r="M66" s="1521"/>
      <c r="N66" s="3862">
        <f t="shared" si="5"/>
        <v>84.899999999999991</v>
      </c>
      <c r="O66" s="1521"/>
      <c r="P66" s="885"/>
      <c r="Q66" s="1982"/>
      <c r="R66" s="1773"/>
      <c r="S66" s="1982"/>
      <c r="T66" s="1773"/>
      <c r="U66" s="1982"/>
      <c r="V66" s="1773"/>
      <c r="W66" s="1982"/>
      <c r="X66" s="1773"/>
      <c r="Y66" s="1982"/>
      <c r="Z66" s="1773"/>
      <c r="AA66" s="1983"/>
      <c r="AB66" s="1984"/>
      <c r="AC66" s="1986"/>
      <c r="AD66" s="1773">
        <v>156.1</v>
      </c>
      <c r="AE66" s="2016"/>
      <c r="AF66" s="3138"/>
      <c r="AG66" s="1773">
        <v>-8.3000000000000007</v>
      </c>
      <c r="AH66" s="1062"/>
      <c r="AI66" s="64"/>
      <c r="AJ66" s="884">
        <f t="shared" si="8"/>
        <v>164.4</v>
      </c>
      <c r="AK66" s="884"/>
      <c r="AL66" s="1813">
        <f t="shared" si="9"/>
        <v>19.806999999999999</v>
      </c>
      <c r="AM66" s="1803"/>
    </row>
    <row r="67" spans="1:39" s="876" customFormat="1" ht="17.25" customHeight="1">
      <c r="A67" s="1059"/>
      <c r="B67" s="881" t="s">
        <v>1054</v>
      </c>
      <c r="C67" s="104"/>
      <c r="D67" s="885" t="s">
        <v>14</v>
      </c>
      <c r="E67" s="1515"/>
      <c r="F67" s="885"/>
      <c r="G67" s="1515"/>
      <c r="H67" s="885"/>
      <c r="I67" s="1515"/>
      <c r="J67" s="885"/>
      <c r="K67" s="115"/>
      <c r="L67" s="3862"/>
      <c r="M67" s="115"/>
      <c r="N67" s="885"/>
      <c r="O67" s="115"/>
      <c r="P67" s="885"/>
      <c r="Q67" s="1979"/>
      <c r="R67" s="1773"/>
      <c r="S67" s="1979"/>
      <c r="T67" s="1773"/>
      <c r="U67" s="1979"/>
      <c r="V67" s="1773"/>
      <c r="W67" s="1979"/>
      <c r="X67" s="1773"/>
      <c r="Y67" s="1979"/>
      <c r="Z67" s="1773"/>
      <c r="AA67" s="1978"/>
      <c r="AB67" s="1979"/>
      <c r="AC67" s="2023"/>
      <c r="AD67" s="1979"/>
      <c r="AE67" s="1979"/>
      <c r="AF67" s="1981"/>
      <c r="AG67" s="1979"/>
      <c r="AH67" s="1062"/>
      <c r="AI67" s="64"/>
      <c r="AJ67" s="884"/>
      <c r="AK67" s="884"/>
      <c r="AL67" s="1802"/>
      <c r="AM67" s="1803"/>
    </row>
    <row r="68" spans="1:39" s="876" customFormat="1" ht="15" customHeight="1">
      <c r="A68" s="1059"/>
      <c r="B68" s="881" t="s">
        <v>981</v>
      </c>
      <c r="C68" s="104"/>
      <c r="D68" s="885">
        <v>45</v>
      </c>
      <c r="E68" s="1515"/>
      <c r="F68" s="885">
        <v>8.8999999999999986</v>
      </c>
      <c r="G68" s="1515"/>
      <c r="H68" s="885">
        <v>20.800000000000004</v>
      </c>
      <c r="I68" s="1515"/>
      <c r="J68" s="3862">
        <v>8.3999999999999915</v>
      </c>
      <c r="K68" s="1521"/>
      <c r="L68" s="3862">
        <v>8.6000000000000085</v>
      </c>
      <c r="M68" s="1521"/>
      <c r="N68" s="3862">
        <f t="shared" si="5"/>
        <v>8.2999999999999972</v>
      </c>
      <c r="O68" s="1521"/>
      <c r="P68" s="885"/>
      <c r="Q68" s="1982"/>
      <c r="R68" s="1773"/>
      <c r="S68" s="1982"/>
      <c r="T68" s="1773"/>
      <c r="U68" s="1982"/>
      <c r="V68" s="1773"/>
      <c r="W68" s="1982"/>
      <c r="X68" s="1773"/>
      <c r="Y68" s="1982"/>
      <c r="Z68" s="1773"/>
      <c r="AA68" s="1983"/>
      <c r="AB68" s="1984"/>
      <c r="AC68" s="1986"/>
      <c r="AD68" s="1773">
        <v>100</v>
      </c>
      <c r="AE68" s="2016"/>
      <c r="AF68" s="3138"/>
      <c r="AG68" s="1773">
        <v>69.400000000000006</v>
      </c>
      <c r="AH68" s="1062"/>
      <c r="AI68" s="64"/>
      <c r="AJ68" s="884">
        <f t="shared" ref="AJ68:AJ79" si="10">ROUND(SUM(+AD68-AG68),1)</f>
        <v>30.6</v>
      </c>
      <c r="AK68" s="884"/>
      <c r="AL68" s="1813">
        <f>ROUND(IF(AG68=0,0,AJ68/ABS(AG68)),3)</f>
        <v>0.441</v>
      </c>
      <c r="AM68" s="1803" t="s">
        <v>14</v>
      </c>
    </row>
    <row r="69" spans="1:39" s="876" customFormat="1" ht="15" customHeight="1">
      <c r="A69" s="1059"/>
      <c r="B69" s="881" t="s">
        <v>982</v>
      </c>
      <c r="C69" s="104"/>
      <c r="D69" s="885">
        <v>0.5</v>
      </c>
      <c r="E69" s="1515"/>
      <c r="F69" s="885">
        <v>0.60000000000000142</v>
      </c>
      <c r="G69" s="1515"/>
      <c r="H69" s="885">
        <v>0.59999999999999565</v>
      </c>
      <c r="I69" s="1515"/>
      <c r="J69" s="3862">
        <v>0.60000000000000009</v>
      </c>
      <c r="K69" s="1521"/>
      <c r="L69" s="3862">
        <v>0.39999999999999147</v>
      </c>
      <c r="M69" s="1521"/>
      <c r="N69" s="3862">
        <f t="shared" si="5"/>
        <v>0.40000000000003411</v>
      </c>
      <c r="O69" s="1521"/>
      <c r="P69" s="885"/>
      <c r="Q69" s="1982"/>
      <c r="R69" s="1773"/>
      <c r="S69" s="1982"/>
      <c r="T69" s="1773"/>
      <c r="U69" s="1982"/>
      <c r="V69" s="1773"/>
      <c r="W69" s="1982"/>
      <c r="X69" s="1773"/>
      <c r="Y69" s="1982"/>
      <c r="Z69" s="1773"/>
      <c r="AA69" s="1983"/>
      <c r="AB69" s="1984"/>
      <c r="AC69" s="1986"/>
      <c r="AD69" s="1773">
        <v>3.1000000000000227</v>
      </c>
      <c r="AE69" s="2016"/>
      <c r="AF69" s="3138"/>
      <c r="AG69" s="1773">
        <v>1.7</v>
      </c>
      <c r="AH69" s="1062"/>
      <c r="AI69" s="64"/>
      <c r="AJ69" s="884">
        <f t="shared" si="10"/>
        <v>1.4</v>
      </c>
      <c r="AK69" s="884"/>
      <c r="AL69" s="1813">
        <f>ROUND(IF(AG69=0,1,AJ69/ABS(AG69)),3)</f>
        <v>0.82399999999999995</v>
      </c>
      <c r="AM69" s="1803"/>
    </row>
    <row r="70" spans="1:39" s="876" customFormat="1" ht="15" customHeight="1">
      <c r="A70" s="1059"/>
      <c r="B70" s="881" t="s">
        <v>1265</v>
      </c>
      <c r="C70" s="104"/>
      <c r="D70" s="885">
        <v>0</v>
      </c>
      <c r="E70" s="1515"/>
      <c r="F70" s="885">
        <v>0</v>
      </c>
      <c r="G70" s="1515"/>
      <c r="H70" s="885">
        <v>0</v>
      </c>
      <c r="I70" s="1515"/>
      <c r="J70" s="3862">
        <v>0</v>
      </c>
      <c r="K70" s="1521"/>
      <c r="L70" s="3862">
        <v>0</v>
      </c>
      <c r="M70" s="1521"/>
      <c r="N70" s="3862">
        <f t="shared" si="5"/>
        <v>0</v>
      </c>
      <c r="O70" s="1521"/>
      <c r="P70" s="885"/>
      <c r="Q70" s="1982"/>
      <c r="R70" s="1773"/>
      <c r="S70" s="1982"/>
      <c r="T70" s="1773"/>
      <c r="U70" s="1982"/>
      <c r="V70" s="1773"/>
      <c r="W70" s="1982"/>
      <c r="X70" s="1773"/>
      <c r="Y70" s="1982"/>
      <c r="Z70" s="1773"/>
      <c r="AA70" s="1983"/>
      <c r="AB70" s="1984"/>
      <c r="AC70" s="1986"/>
      <c r="AD70" s="1773">
        <v>0</v>
      </c>
      <c r="AE70" s="2016"/>
      <c r="AF70" s="3140"/>
      <c r="AG70" s="1773">
        <v>0</v>
      </c>
      <c r="AH70" s="1062"/>
      <c r="AI70" s="64"/>
      <c r="AJ70" s="884">
        <f t="shared" si="10"/>
        <v>0</v>
      </c>
      <c r="AK70" s="884"/>
      <c r="AL70" s="1802">
        <f>ROUND(IF(AG70=0,0,AJ70/ABS(AG70)),3)</f>
        <v>0</v>
      </c>
      <c r="AM70" s="1803"/>
    </row>
    <row r="71" spans="1:39" s="876" customFormat="1" ht="15" customHeight="1">
      <c r="A71" s="1059"/>
      <c r="B71" s="881" t="s">
        <v>983</v>
      </c>
      <c r="C71" s="104"/>
      <c r="D71" s="885">
        <v>0.7</v>
      </c>
      <c r="E71" s="1515"/>
      <c r="F71" s="885">
        <v>0.8</v>
      </c>
      <c r="G71" s="1515"/>
      <c r="H71" s="885">
        <v>0.5</v>
      </c>
      <c r="I71" s="1515"/>
      <c r="J71" s="3862">
        <v>0.29999999999999982</v>
      </c>
      <c r="K71" s="1521"/>
      <c r="L71" s="3862">
        <v>0.20000000000000018</v>
      </c>
      <c r="M71" s="1521"/>
      <c r="N71" s="3862">
        <f t="shared" si="5"/>
        <v>1.7000000000000002</v>
      </c>
      <c r="O71" s="1521"/>
      <c r="P71" s="885"/>
      <c r="Q71" s="1982"/>
      <c r="R71" s="1773"/>
      <c r="S71" s="1982"/>
      <c r="T71" s="1773"/>
      <c r="U71" s="1982"/>
      <c r="V71" s="1773"/>
      <c r="W71" s="1982"/>
      <c r="X71" s="1773"/>
      <c r="Y71" s="1982"/>
      <c r="Z71" s="1773"/>
      <c r="AA71" s="1983"/>
      <c r="AB71" s="1984"/>
      <c r="AC71" s="1986"/>
      <c r="AD71" s="1773">
        <v>4.2</v>
      </c>
      <c r="AE71" s="2016"/>
      <c r="AF71" s="3138"/>
      <c r="AG71" s="1773">
        <v>26</v>
      </c>
      <c r="AH71" s="1062"/>
      <c r="AI71" s="64"/>
      <c r="AJ71" s="884">
        <f t="shared" si="10"/>
        <v>-21.8</v>
      </c>
      <c r="AK71" s="884"/>
      <c r="AL71" s="1813">
        <f t="shared" ref="AL71:AL74" si="11">ROUND(IF(AG71=0,0,AJ71/ABS(AG71)),3)</f>
        <v>-0.83799999999999997</v>
      </c>
      <c r="AM71" s="1803"/>
    </row>
    <row r="72" spans="1:39" s="876" customFormat="1" ht="15" customHeight="1">
      <c r="A72" s="1059"/>
      <c r="B72" s="881" t="s">
        <v>984</v>
      </c>
      <c r="C72" s="104"/>
      <c r="D72" s="885">
        <v>0</v>
      </c>
      <c r="E72" s="1515"/>
      <c r="F72" s="885">
        <v>0</v>
      </c>
      <c r="G72" s="1515"/>
      <c r="H72" s="885">
        <v>0</v>
      </c>
      <c r="I72" s="1515"/>
      <c r="J72" s="3862">
        <v>0</v>
      </c>
      <c r="K72" s="1521"/>
      <c r="L72" s="3862">
        <v>0</v>
      </c>
      <c r="M72" s="1521"/>
      <c r="N72" s="3862">
        <f t="shared" si="5"/>
        <v>0.1</v>
      </c>
      <c r="O72" s="1521"/>
      <c r="P72" s="885"/>
      <c r="Q72" s="1982"/>
      <c r="R72" s="1773"/>
      <c r="S72" s="1982"/>
      <c r="T72" s="1773"/>
      <c r="U72" s="1982"/>
      <c r="V72" s="1773"/>
      <c r="W72" s="1982"/>
      <c r="X72" s="1773"/>
      <c r="Y72" s="1982"/>
      <c r="Z72" s="1773"/>
      <c r="AA72" s="1983"/>
      <c r="AB72" s="1984"/>
      <c r="AC72" s="1986"/>
      <c r="AD72" s="1773">
        <v>0.1</v>
      </c>
      <c r="AE72" s="2016"/>
      <c r="AF72" s="3138"/>
      <c r="AG72" s="1773">
        <v>0</v>
      </c>
      <c r="AH72" s="1062"/>
      <c r="AI72" s="64"/>
      <c r="AJ72" s="884">
        <f t="shared" si="10"/>
        <v>0.1</v>
      </c>
      <c r="AK72" s="884"/>
      <c r="AL72" s="1813">
        <f>ROUND(IF(AG72=0,1,AJ72/ABS(AG72)),3)</f>
        <v>1</v>
      </c>
      <c r="AM72" s="1803"/>
    </row>
    <row r="73" spans="1:39" s="876" customFormat="1" ht="15" customHeight="1">
      <c r="A73" s="1059"/>
      <c r="B73" s="881" t="s">
        <v>985</v>
      </c>
      <c r="C73" s="104"/>
      <c r="D73" s="885">
        <v>214.29999999999998</v>
      </c>
      <c r="E73" s="1515"/>
      <c r="F73" s="885">
        <v>178.70000000000002</v>
      </c>
      <c r="G73" s="1515"/>
      <c r="H73" s="885">
        <v>221.10000000000005</v>
      </c>
      <c r="I73" s="1515"/>
      <c r="J73" s="3862">
        <v>204.1</v>
      </c>
      <c r="K73" s="1521"/>
      <c r="L73" s="3862">
        <v>195.79999999999998</v>
      </c>
      <c r="M73" s="1521"/>
      <c r="N73" s="3862">
        <f t="shared" si="5"/>
        <v>204.20000000000002</v>
      </c>
      <c r="O73" s="1521"/>
      <c r="P73" s="885"/>
      <c r="Q73" s="1982"/>
      <c r="R73" s="1773"/>
      <c r="S73" s="1982"/>
      <c r="T73" s="1773"/>
      <c r="U73" s="1982"/>
      <c r="V73" s="1773"/>
      <c r="W73" s="1982"/>
      <c r="X73" s="1773"/>
      <c r="Y73" s="1982"/>
      <c r="Z73" s="1773"/>
      <c r="AA73" s="1983"/>
      <c r="AB73" s="1984"/>
      <c r="AC73" s="1986"/>
      <c r="AD73" s="1773">
        <v>1218.2</v>
      </c>
      <c r="AE73" s="2016"/>
      <c r="AF73" s="3138"/>
      <c r="AG73" s="1773">
        <v>1611.3</v>
      </c>
      <c r="AH73" s="1062"/>
      <c r="AI73" s="64"/>
      <c r="AJ73" s="884">
        <f t="shared" si="10"/>
        <v>-393.1</v>
      </c>
      <c r="AK73" s="884"/>
      <c r="AL73" s="1802">
        <f t="shared" si="11"/>
        <v>-0.24399999999999999</v>
      </c>
      <c r="AM73" s="1803"/>
    </row>
    <row r="74" spans="1:39" s="876" customFormat="1" ht="15" customHeight="1">
      <c r="A74" s="1059"/>
      <c r="B74" s="881" t="s">
        <v>986</v>
      </c>
      <c r="C74" s="104"/>
      <c r="D74" s="885">
        <v>4.7</v>
      </c>
      <c r="E74" s="1515"/>
      <c r="F74" s="885">
        <v>0.5</v>
      </c>
      <c r="G74" s="1515"/>
      <c r="H74" s="885">
        <v>7.2</v>
      </c>
      <c r="I74" s="1515"/>
      <c r="J74" s="3862">
        <v>5.200000000000002</v>
      </c>
      <c r="K74" s="1521"/>
      <c r="L74" s="3862">
        <v>1.1999999999999993</v>
      </c>
      <c r="M74" s="1521"/>
      <c r="N74" s="3862">
        <f t="shared" si="5"/>
        <v>7.6999999999999993</v>
      </c>
      <c r="O74" s="1521"/>
      <c r="P74" s="885"/>
      <c r="Q74" s="1982"/>
      <c r="R74" s="1773"/>
      <c r="S74" s="1982"/>
      <c r="T74" s="1773"/>
      <c r="U74" s="1982"/>
      <c r="V74" s="1773"/>
      <c r="W74" s="1982"/>
      <c r="X74" s="1773"/>
      <c r="Y74" s="1982"/>
      <c r="Z74" s="1773"/>
      <c r="AA74" s="1983"/>
      <c r="AB74" s="1984"/>
      <c r="AC74" s="1986"/>
      <c r="AD74" s="1773">
        <v>26.5</v>
      </c>
      <c r="AE74" s="2016"/>
      <c r="AF74" s="3138"/>
      <c r="AG74" s="1773">
        <v>28.9</v>
      </c>
      <c r="AH74" s="1062"/>
      <c r="AI74" s="64"/>
      <c r="AJ74" s="884">
        <f t="shared" si="10"/>
        <v>-2.4</v>
      </c>
      <c r="AK74" s="884"/>
      <c r="AL74" s="1813">
        <f t="shared" si="11"/>
        <v>-8.3000000000000004E-2</v>
      </c>
      <c r="AM74" s="1803"/>
    </row>
    <row r="75" spans="1:39" s="876" customFormat="1" ht="15" customHeight="1">
      <c r="A75" s="1059"/>
      <c r="B75" s="881" t="s">
        <v>987</v>
      </c>
      <c r="C75" s="104"/>
      <c r="D75" s="885">
        <v>1.2</v>
      </c>
      <c r="E75" s="1515"/>
      <c r="F75" s="885">
        <v>9.8000000000000007</v>
      </c>
      <c r="G75" s="1515"/>
      <c r="H75" s="885">
        <v>7.1999999999999993</v>
      </c>
      <c r="I75" s="1515"/>
      <c r="J75" s="3862">
        <v>0.60000000000000142</v>
      </c>
      <c r="K75" s="1521"/>
      <c r="L75" s="3862">
        <v>0.89999999999999858</v>
      </c>
      <c r="M75" s="1521"/>
      <c r="N75" s="3862">
        <f t="shared" si="5"/>
        <v>3.9000000000000021</v>
      </c>
      <c r="O75" s="1521"/>
      <c r="P75" s="885"/>
      <c r="Q75" s="1982"/>
      <c r="R75" s="1773"/>
      <c r="S75" s="1982"/>
      <c r="T75" s="1773"/>
      <c r="U75" s="1982"/>
      <c r="V75" s="1773"/>
      <c r="W75" s="1982"/>
      <c r="X75" s="1773"/>
      <c r="Y75" s="1982"/>
      <c r="Z75" s="1773"/>
      <c r="AA75" s="1983"/>
      <c r="AB75" s="1984"/>
      <c r="AC75" s="1986"/>
      <c r="AD75" s="1773">
        <v>23.6</v>
      </c>
      <c r="AE75" s="2016"/>
      <c r="AF75" s="3138"/>
      <c r="AG75" s="1773">
        <v>50.5</v>
      </c>
      <c r="AH75" s="1062"/>
      <c r="AI75" s="64"/>
      <c r="AJ75" s="884">
        <f t="shared" si="10"/>
        <v>-26.9</v>
      </c>
      <c r="AK75" s="884"/>
      <c r="AL75" s="1813">
        <f>ROUND(IF(AG75=0,1,AJ75/ABS(AG75)),3)</f>
        <v>-0.53300000000000003</v>
      </c>
      <c r="AM75" s="1803"/>
    </row>
    <row r="76" spans="1:39" s="876" customFormat="1" ht="15" customHeight="1">
      <c r="A76" s="1059"/>
      <c r="B76" s="881" t="s">
        <v>988</v>
      </c>
      <c r="C76" s="104"/>
      <c r="D76" s="885">
        <v>2.4</v>
      </c>
      <c r="E76" s="884"/>
      <c r="F76" s="885">
        <v>5.6</v>
      </c>
      <c r="G76" s="884"/>
      <c r="H76" s="885">
        <v>1.3000000000000007</v>
      </c>
      <c r="I76" s="884"/>
      <c r="J76" s="3862">
        <v>1.8999999999999986</v>
      </c>
      <c r="K76" s="1521"/>
      <c r="L76" s="3862">
        <v>1.4000000000000004</v>
      </c>
      <c r="M76" s="1521"/>
      <c r="N76" s="3862">
        <f t="shared" si="5"/>
        <v>1.2000000000000011</v>
      </c>
      <c r="O76" s="1521"/>
      <c r="P76" s="885"/>
      <c r="Q76" s="1982"/>
      <c r="R76" s="1773"/>
      <c r="S76" s="1982"/>
      <c r="T76" s="1773"/>
      <c r="U76" s="1982"/>
      <c r="V76" s="1773"/>
      <c r="W76" s="1982"/>
      <c r="X76" s="1773"/>
      <c r="Y76" s="1982"/>
      <c r="Z76" s="1773"/>
      <c r="AA76" s="1983"/>
      <c r="AB76" s="1984"/>
      <c r="AC76" s="1986"/>
      <c r="AD76" s="1773">
        <v>13.8</v>
      </c>
      <c r="AE76" s="2016"/>
      <c r="AF76" s="3138"/>
      <c r="AG76" s="1773">
        <v>27.6</v>
      </c>
      <c r="AH76" s="1062"/>
      <c r="AI76" s="64"/>
      <c r="AJ76" s="884">
        <f t="shared" si="10"/>
        <v>-13.8</v>
      </c>
      <c r="AK76" s="884"/>
      <c r="AL76" s="1802">
        <f>ROUND(IF(AG76=0,0,AJ76/ABS(AG76)),3)</f>
        <v>-0.5</v>
      </c>
      <c r="AM76" s="1803"/>
    </row>
    <row r="77" spans="1:39" s="876" customFormat="1" ht="15" customHeight="1">
      <c r="A77" s="1059"/>
      <c r="B77" s="881" t="s">
        <v>989</v>
      </c>
      <c r="C77" s="104"/>
      <c r="D77" s="885">
        <v>64.599999999999994</v>
      </c>
      <c r="E77" s="884"/>
      <c r="F77" s="885">
        <v>37.100000000000009</v>
      </c>
      <c r="G77" s="884"/>
      <c r="H77" s="885">
        <v>57.399999999999991</v>
      </c>
      <c r="I77" s="884"/>
      <c r="J77" s="3862">
        <v>59.900000000000006</v>
      </c>
      <c r="K77" s="1521"/>
      <c r="L77" s="3862">
        <v>51.399999999999991</v>
      </c>
      <c r="M77" s="1521"/>
      <c r="N77" s="3862">
        <f t="shared" si="5"/>
        <v>47.600000000000037</v>
      </c>
      <c r="O77" s="1521"/>
      <c r="P77" s="885"/>
      <c r="Q77" s="1982"/>
      <c r="R77" s="1773"/>
      <c r="S77" s="1982"/>
      <c r="T77" s="1773"/>
      <c r="U77" s="1982"/>
      <c r="V77" s="1773"/>
      <c r="W77" s="1982"/>
      <c r="X77" s="1773"/>
      <c r="Y77" s="1982"/>
      <c r="Z77" s="1773"/>
      <c r="AA77" s="1983"/>
      <c r="AB77" s="1984"/>
      <c r="AC77" s="1985"/>
      <c r="AD77" s="1773">
        <v>318</v>
      </c>
      <c r="AE77" s="1984"/>
      <c r="AF77" s="1986"/>
      <c r="AG77" s="1773">
        <v>143.79999999999998</v>
      </c>
      <c r="AH77" s="1062"/>
      <c r="AI77" s="64"/>
      <c r="AJ77" s="884">
        <f t="shared" si="10"/>
        <v>174.2</v>
      </c>
      <c r="AK77" s="884"/>
      <c r="AL77" s="1813">
        <f>ROUND(IF(AG77=0,0,AJ77/ABS(AG77)),3)</f>
        <v>1.2110000000000001</v>
      </c>
      <c r="AM77" s="1803"/>
    </row>
    <row r="78" spans="1:39" ht="15" customHeight="1">
      <c r="A78" s="147"/>
      <c r="B78" s="881" t="s">
        <v>961</v>
      </c>
      <c r="C78" s="28"/>
      <c r="D78" s="885">
        <v>2.2000000000000002</v>
      </c>
      <c r="E78" s="884"/>
      <c r="F78" s="885">
        <v>0.5</v>
      </c>
      <c r="G78" s="884"/>
      <c r="H78" s="885">
        <v>1.7000000000000002</v>
      </c>
      <c r="I78" s="884"/>
      <c r="J78" s="3862">
        <v>1.1999999999999993</v>
      </c>
      <c r="K78" s="1521"/>
      <c r="L78" s="3862">
        <v>0.90000000000000036</v>
      </c>
      <c r="M78" s="1521"/>
      <c r="N78" s="3862">
        <f>$AD78-$D78-$F78-$H78-$J78-$L78</f>
        <v>3</v>
      </c>
      <c r="O78" s="1521"/>
      <c r="P78" s="885"/>
      <c r="Q78" s="1982"/>
      <c r="R78" s="1773"/>
      <c r="S78" s="1982"/>
      <c r="T78" s="1773"/>
      <c r="U78" s="1982"/>
      <c r="V78" s="1773"/>
      <c r="W78" s="1982"/>
      <c r="X78" s="1773"/>
      <c r="Y78" s="1982"/>
      <c r="Z78" s="1773"/>
      <c r="AA78" s="1983"/>
      <c r="AB78" s="1984"/>
      <c r="AC78" s="1985"/>
      <c r="AD78" s="1773">
        <v>9.5</v>
      </c>
      <c r="AE78" s="1984"/>
      <c r="AF78" s="1986"/>
      <c r="AG78" s="1773">
        <v>3.7</v>
      </c>
      <c r="AH78" s="272"/>
      <c r="AI78" s="53"/>
      <c r="AJ78" s="634">
        <f t="shared" si="10"/>
        <v>5.8</v>
      </c>
      <c r="AK78" s="634"/>
      <c r="AL78" s="1418">
        <f>ROUND(IF(AG78=0,0,AJ78/ABS(AG78)),3)</f>
        <v>1.5680000000000001</v>
      </c>
      <c r="AM78" s="773"/>
    </row>
    <row r="79" spans="1:39" s="876" customFormat="1" ht="15" customHeight="1">
      <c r="A79" s="1059"/>
      <c r="B79" s="881" t="s">
        <v>962</v>
      </c>
      <c r="C79" s="104"/>
      <c r="D79" s="885">
        <v>-75.7</v>
      </c>
      <c r="E79" s="884"/>
      <c r="F79" s="885">
        <v>41.6</v>
      </c>
      <c r="G79" s="884"/>
      <c r="H79" s="885">
        <v>51.300000000000004</v>
      </c>
      <c r="I79" s="884"/>
      <c r="J79" s="3862">
        <v>56.6</v>
      </c>
      <c r="K79" s="1521"/>
      <c r="L79" s="3862">
        <v>203.99999999999997</v>
      </c>
      <c r="M79" s="1521"/>
      <c r="N79" s="3862">
        <f t="shared" si="5"/>
        <v>243.30000000000004</v>
      </c>
      <c r="O79" s="1521"/>
      <c r="P79" s="885"/>
      <c r="Q79" s="1982"/>
      <c r="R79" s="1773"/>
      <c r="S79" s="1982"/>
      <c r="T79" s="1773"/>
      <c r="U79" s="1982"/>
      <c r="V79" s="1773"/>
      <c r="W79" s="1982"/>
      <c r="X79" s="1773"/>
      <c r="Y79" s="1982"/>
      <c r="Z79" s="1773"/>
      <c r="AA79" s="1983"/>
      <c r="AB79" s="1984"/>
      <c r="AC79" s="1986"/>
      <c r="AD79" s="1773">
        <v>521.1</v>
      </c>
      <c r="AE79" s="2016"/>
      <c r="AF79" s="3138"/>
      <c r="AG79" s="1773">
        <v>562.9</v>
      </c>
      <c r="AH79" s="1062"/>
      <c r="AI79" s="64"/>
      <c r="AJ79" s="884">
        <f t="shared" si="10"/>
        <v>-41.8</v>
      </c>
      <c r="AK79" s="884"/>
      <c r="AL79" s="1802">
        <f>ROUND(IF(AG79=0,0,AJ79/ABS(AG79)),3)</f>
        <v>-7.3999999999999996E-2</v>
      </c>
      <c r="AM79" s="1803"/>
    </row>
    <row r="80" spans="1:39" s="876" customFormat="1" ht="15" customHeight="1">
      <c r="A80" s="1059"/>
      <c r="B80" s="307" t="s">
        <v>1093</v>
      </c>
      <c r="C80" s="104"/>
      <c r="D80" s="1822">
        <f>ROUND(SUM(D41:D79),1)</f>
        <v>1319.2</v>
      </c>
      <c r="E80" s="884"/>
      <c r="F80" s="1822">
        <f>ROUND(SUM(F41:F79),1)</f>
        <v>1253.5999999999999</v>
      </c>
      <c r="G80" s="884"/>
      <c r="H80" s="1822">
        <f>ROUND(SUM(H41:H79),1)</f>
        <v>1565.3</v>
      </c>
      <c r="I80" s="884"/>
      <c r="J80" s="1822">
        <f>ROUND(SUM(J41:J79),1)</f>
        <v>1401.7</v>
      </c>
      <c r="K80" s="115"/>
      <c r="L80" s="1523">
        <f>ROUND(SUM(L41:L79),1)</f>
        <v>1512.1</v>
      </c>
      <c r="M80" s="115"/>
      <c r="N80" s="1523">
        <f>ROUND(SUM(N41:N79),1)</f>
        <v>1873.5</v>
      </c>
      <c r="O80" s="115"/>
      <c r="P80" s="1446">
        <f>ROUND(SUM(P41:P79),1)</f>
        <v>0</v>
      </c>
      <c r="Q80" s="1979"/>
      <c r="R80" s="1446">
        <f>ROUND(SUM(R41:R79),1)</f>
        <v>0</v>
      </c>
      <c r="S80" s="1979"/>
      <c r="T80" s="1446">
        <f>ROUND(SUM(T41:T79),1)</f>
        <v>0</v>
      </c>
      <c r="U80" s="1979"/>
      <c r="V80" s="1446">
        <f>ROUND(SUM(V41:V79),1)</f>
        <v>0</v>
      </c>
      <c r="W80" s="1979"/>
      <c r="X80" s="1446">
        <f>ROUND(SUM(X41:X79),1)</f>
        <v>0</v>
      </c>
      <c r="Y80" s="1979"/>
      <c r="Z80" s="1446">
        <f>ROUND(SUM(Z41:Z79),1)</f>
        <v>0</v>
      </c>
      <c r="AA80" s="1448"/>
      <c r="AB80" s="1979"/>
      <c r="AC80" s="2023"/>
      <c r="AD80" s="1446">
        <f>ROUND(SUM(AD41:AD79),1)</f>
        <v>8925.4</v>
      </c>
      <c r="AE80" s="1979"/>
      <c r="AF80" s="1981"/>
      <c r="AG80" s="1446">
        <f>ROUND(SUM(AG41:AG79),1)</f>
        <v>7930.6</v>
      </c>
      <c r="AH80" s="1062"/>
      <c r="AI80" s="64"/>
      <c r="AJ80" s="1523">
        <f>ROUND(SUM(AJ41:AJ79),1)</f>
        <v>994.8</v>
      </c>
      <c r="AK80" s="884"/>
      <c r="AL80" s="1804">
        <f>ROUND(SUM(+AJ80/AG80),3)</f>
        <v>0.125</v>
      </c>
      <c r="AM80" s="1803"/>
    </row>
    <row r="81" spans="1:39" s="876" customFormat="1" ht="15" customHeight="1">
      <c r="A81" s="1059"/>
      <c r="B81" s="307"/>
      <c r="C81" s="104"/>
      <c r="D81" s="112"/>
      <c r="E81" s="884"/>
      <c r="F81" s="112"/>
      <c r="G81" s="884"/>
      <c r="H81" s="112"/>
      <c r="I81" s="884"/>
      <c r="J81" s="112"/>
      <c r="K81" s="115"/>
      <c r="L81" s="112"/>
      <c r="M81" s="115"/>
      <c r="N81" s="112"/>
      <c r="O81" s="115"/>
      <c r="P81" s="1448"/>
      <c r="Q81" s="1979"/>
      <c r="R81" s="1448"/>
      <c r="S81" s="1979"/>
      <c r="T81" s="1448"/>
      <c r="U81" s="1979"/>
      <c r="V81" s="1448"/>
      <c r="W81" s="1979"/>
      <c r="X81" s="1448"/>
      <c r="Y81" s="1979"/>
      <c r="Z81" s="1448"/>
      <c r="AA81" s="1448"/>
      <c r="AB81" s="1979"/>
      <c r="AC81" s="2023"/>
      <c r="AD81" s="1448"/>
      <c r="AE81" s="1979"/>
      <c r="AF81" s="1981"/>
      <c r="AG81" s="1448"/>
      <c r="AH81" s="1062"/>
      <c r="AI81" s="64"/>
      <c r="AJ81" s="112"/>
      <c r="AK81" s="884"/>
      <c r="AL81" s="1805"/>
      <c r="AM81" s="1803"/>
    </row>
    <row r="82" spans="1:39" s="876" customFormat="1" ht="15" customHeight="1">
      <c r="A82" s="1059"/>
      <c r="B82" s="1800" t="s">
        <v>148</v>
      </c>
      <c r="C82" s="104"/>
      <c r="D82" s="885">
        <v>0</v>
      </c>
      <c r="E82" s="884"/>
      <c r="F82" s="885">
        <v>0</v>
      </c>
      <c r="G82" s="884"/>
      <c r="H82" s="885">
        <v>0</v>
      </c>
      <c r="I82" s="884"/>
      <c r="J82" s="3862">
        <v>0</v>
      </c>
      <c r="K82" s="1521"/>
      <c r="L82" s="3862">
        <v>0.1</v>
      </c>
      <c r="M82" s="1521"/>
      <c r="N82" s="3862">
        <f>$AD82-$D82-$F82-$H82-$J82-$L82</f>
        <v>0</v>
      </c>
      <c r="O82" s="1521"/>
      <c r="P82" s="885"/>
      <c r="Q82" s="1982"/>
      <c r="R82" s="1773"/>
      <c r="S82" s="1982"/>
      <c r="T82" s="1773"/>
      <c r="U82" s="1982"/>
      <c r="V82" s="1773"/>
      <c r="W82" s="1982"/>
      <c r="X82" s="1773"/>
      <c r="Y82" s="1982"/>
      <c r="Z82" s="1773"/>
      <c r="AA82" s="1983"/>
      <c r="AB82" s="1984"/>
      <c r="AC82" s="1986"/>
      <c r="AD82" s="1773">
        <v>0.1</v>
      </c>
      <c r="AE82" s="2016"/>
      <c r="AF82" s="3138"/>
      <c r="AG82" s="1773">
        <v>27.9</v>
      </c>
      <c r="AH82" s="1062"/>
      <c r="AI82" s="64"/>
      <c r="AJ82" s="1013">
        <f>ROUND(SUM(+AD82-AG82),1)</f>
        <v>-27.8</v>
      </c>
      <c r="AK82" s="884"/>
      <c r="AL82" s="1713">
        <f>ROUND(IF(AG82=0,0,AJ82/ABS(AG82)),3)</f>
        <v>-0.996</v>
      </c>
      <c r="AM82" s="1803"/>
    </row>
    <row r="83" spans="1:39" ht="15" customHeight="1">
      <c r="A83" s="147"/>
      <c r="B83" s="28"/>
      <c r="C83" s="28"/>
      <c r="D83" s="677"/>
      <c r="E83" s="1515"/>
      <c r="F83" s="677"/>
      <c r="G83" s="1515"/>
      <c r="H83" s="677"/>
      <c r="I83" s="1515"/>
      <c r="J83" s="677"/>
      <c r="K83" s="63"/>
      <c r="L83" s="85"/>
      <c r="M83" s="63"/>
      <c r="N83" s="85"/>
      <c r="O83" s="63"/>
      <c r="P83" s="1989"/>
      <c r="Q83" s="1990"/>
      <c r="R83" s="1989"/>
      <c r="S83" s="1990"/>
      <c r="T83" s="1989"/>
      <c r="U83" s="1990"/>
      <c r="V83" s="1989"/>
      <c r="W83" s="1990"/>
      <c r="X83" s="1989"/>
      <c r="Y83" s="1990"/>
      <c r="Z83" s="1989"/>
      <c r="AA83" s="1991"/>
      <c r="AB83" s="1990"/>
      <c r="AC83" s="2021"/>
      <c r="AD83" s="2035"/>
      <c r="AE83" s="1961"/>
      <c r="AF83" s="1981"/>
      <c r="AG83" s="2035"/>
      <c r="AH83" s="272"/>
      <c r="AI83" s="53"/>
      <c r="AJ83" s="1393"/>
      <c r="AK83" s="909"/>
      <c r="AL83" s="1432"/>
      <c r="AM83" s="773"/>
    </row>
    <row r="84" spans="1:39" ht="15" customHeight="1">
      <c r="A84" s="147"/>
      <c r="B84" s="26" t="s">
        <v>149</v>
      </c>
      <c r="C84" s="28"/>
      <c r="D84" s="911">
        <f>ROUND(SUM(D37+D80+D82),1)</f>
        <v>1705.8</v>
      </c>
      <c r="E84" s="911"/>
      <c r="F84" s="911">
        <f>ROUND(SUM(F37+F80+F82),1)</f>
        <v>1475.2</v>
      </c>
      <c r="G84" s="911"/>
      <c r="H84" s="911">
        <f>ROUND(SUM(H37+H80+H82),1)</f>
        <v>2126</v>
      </c>
      <c r="I84" s="911"/>
      <c r="J84" s="911">
        <f>ROUND(SUM(J37+J80+J82),1)</f>
        <v>1658</v>
      </c>
      <c r="K84" s="911"/>
      <c r="L84" s="911">
        <f>ROUND(SUM(L37+L80+L82),1)</f>
        <v>1724.1</v>
      </c>
      <c r="M84" s="911"/>
      <c r="N84" s="911">
        <f>ROUND(SUM(N37+N80+N82),1)</f>
        <v>2424.3000000000002</v>
      </c>
      <c r="O84" s="911"/>
      <c r="P84" s="1447">
        <f>ROUND(SUM(P37+P80+P82),1)</f>
        <v>0</v>
      </c>
      <c r="Q84" s="1447"/>
      <c r="R84" s="1447">
        <f>ROUND(SUM(R37+R80+R82),1)</f>
        <v>0</v>
      </c>
      <c r="S84" s="1447"/>
      <c r="T84" s="1447">
        <f>ROUND(SUM(T37+T80+T82),1)</f>
        <v>0</v>
      </c>
      <c r="U84" s="1447"/>
      <c r="V84" s="1447">
        <f>ROUND(SUM(V37+V80+V82),1)</f>
        <v>0</v>
      </c>
      <c r="W84" s="1447"/>
      <c r="X84" s="1447">
        <f>ROUND(SUM(X37+X80+X82),1)</f>
        <v>0</v>
      </c>
      <c r="Y84" s="1447"/>
      <c r="Z84" s="1447">
        <f>ROUND(SUM(Z37+Z80+Z82),1)</f>
        <v>0</v>
      </c>
      <c r="AA84" s="1447"/>
      <c r="AB84" s="1447"/>
      <c r="AC84" s="2024"/>
      <c r="AD84" s="2034">
        <f>ROUND(SUM(AD37+AD80+AD82),1)</f>
        <v>11113.4</v>
      </c>
      <c r="AE84" s="1448"/>
      <c r="AF84" s="3122"/>
      <c r="AG84" s="2034">
        <f>ROUND(SUM(AG37+AG80+AG82),1)</f>
        <v>9666.5</v>
      </c>
      <c r="AH84" s="279"/>
      <c r="AI84" s="73"/>
      <c r="AJ84" s="818">
        <f>ROUND(SUM(AJ37+AJ80+AJ82),1)</f>
        <v>1446.9</v>
      </c>
      <c r="AK84" s="281"/>
      <c r="AL84" s="1421">
        <f>ROUND(SUM((AD84-AG84)/ABS(AG84)),3)</f>
        <v>0.15</v>
      </c>
      <c r="AM84" s="773"/>
    </row>
    <row r="85" spans="1:39" ht="15" customHeight="1">
      <c r="A85" s="147"/>
      <c r="B85" s="28"/>
      <c r="C85" s="28"/>
      <c r="D85" s="677"/>
      <c r="E85" s="1515"/>
      <c r="F85" s="677"/>
      <c r="G85" s="1515"/>
      <c r="H85" s="677"/>
      <c r="I85" s="1515"/>
      <c r="J85" s="677"/>
      <c r="K85" s="63"/>
      <c r="L85" s="85"/>
      <c r="M85" s="63"/>
      <c r="N85" s="85"/>
      <c r="O85" s="63"/>
      <c r="P85" s="1989"/>
      <c r="Q85" s="1990"/>
      <c r="R85" s="1989"/>
      <c r="S85" s="1990"/>
      <c r="T85" s="1989"/>
      <c r="U85" s="1990"/>
      <c r="V85" s="1989"/>
      <c r="W85" s="1990"/>
      <c r="X85" s="1989"/>
      <c r="Y85" s="1990"/>
      <c r="Z85" s="1989"/>
      <c r="AA85" s="1991"/>
      <c r="AB85" s="1990"/>
      <c r="AC85" s="2021"/>
      <c r="AD85" s="2035"/>
      <c r="AE85" s="1961"/>
      <c r="AF85" s="1981"/>
      <c r="AG85" s="2035"/>
      <c r="AH85" s="272"/>
      <c r="AI85" s="53"/>
      <c r="AJ85" s="634"/>
      <c r="AK85" s="909"/>
      <c r="AL85" s="1418"/>
      <c r="AM85" s="773"/>
    </row>
    <row r="86" spans="1:39" ht="15" customHeight="1">
      <c r="A86" s="147"/>
      <c r="B86" s="170" t="s">
        <v>22</v>
      </c>
      <c r="C86" s="28"/>
      <c r="D86" s="1515"/>
      <c r="E86" s="1515"/>
      <c r="F86" s="1515"/>
      <c r="G86" s="1515"/>
      <c r="H86" s="1515"/>
      <c r="I86" s="1515"/>
      <c r="J86" s="1515"/>
      <c r="K86" s="63"/>
      <c r="L86" s="63"/>
      <c r="M86" s="63"/>
      <c r="N86" s="63"/>
      <c r="O86" s="63"/>
      <c r="P86" s="1990"/>
      <c r="Q86" s="1990"/>
      <c r="R86" s="1990"/>
      <c r="S86" s="1990"/>
      <c r="T86" s="1990"/>
      <c r="U86" s="1990"/>
      <c r="V86" s="1990"/>
      <c r="W86" s="1990"/>
      <c r="X86" s="1990"/>
      <c r="Y86" s="1990"/>
      <c r="Z86" s="1990"/>
      <c r="AA86" s="1990"/>
      <c r="AB86" s="1990"/>
      <c r="AC86" s="2021"/>
      <c r="AD86" s="1979"/>
      <c r="AE86" s="1961"/>
      <c r="AF86" s="1981"/>
      <c r="AG86" s="1979"/>
      <c r="AH86" s="272"/>
      <c r="AI86" s="53"/>
      <c r="AJ86" s="634"/>
      <c r="AK86" s="909"/>
      <c r="AL86" s="1418"/>
      <c r="AM86" s="773"/>
    </row>
    <row r="87" spans="1:39" ht="12.75" customHeight="1">
      <c r="A87" s="147"/>
      <c r="B87" s="679" t="s">
        <v>150</v>
      </c>
      <c r="C87" s="28"/>
      <c r="D87" s="671"/>
      <c r="E87" s="1515"/>
      <c r="F87" s="671"/>
      <c r="G87" s="1515"/>
      <c r="H87" s="1515"/>
      <c r="I87" s="1515"/>
      <c r="J87" s="885"/>
      <c r="K87" s="63"/>
      <c r="L87" s="74"/>
      <c r="M87" s="63"/>
      <c r="N87" s="74"/>
      <c r="O87" s="63"/>
      <c r="P87" s="1999"/>
      <c r="Q87" s="1990"/>
      <c r="R87" s="1999"/>
      <c r="S87" s="1990"/>
      <c r="T87" s="1999"/>
      <c r="U87" s="1990"/>
      <c r="V87" s="1990"/>
      <c r="W87" s="1990"/>
      <c r="X87" s="1999"/>
      <c r="Y87" s="1990"/>
      <c r="Z87" s="1990"/>
      <c r="AA87" s="1990"/>
      <c r="AB87" s="1990"/>
      <c r="AC87" s="2021"/>
      <c r="AD87" s="1977"/>
      <c r="AE87" s="1979"/>
      <c r="AF87" s="1981"/>
      <c r="AG87" s="1977"/>
      <c r="AH87" s="272"/>
      <c r="AI87" s="53"/>
      <c r="AJ87" s="634"/>
      <c r="AK87" s="909"/>
      <c r="AL87" s="1433"/>
      <c r="AM87" s="773"/>
    </row>
    <row r="88" spans="1:39" s="876" customFormat="1" ht="15" customHeight="1">
      <c r="A88" s="1059"/>
      <c r="B88" s="1797" t="s">
        <v>24</v>
      </c>
      <c r="C88" s="104"/>
      <c r="D88" s="885">
        <v>0.9</v>
      </c>
      <c r="E88" s="1515"/>
      <c r="F88" s="885">
        <v>-2.9</v>
      </c>
      <c r="G88" s="1515"/>
      <c r="H88" s="885">
        <v>328</v>
      </c>
      <c r="I88" s="1515"/>
      <c r="J88" s="3862">
        <v>0</v>
      </c>
      <c r="K88" s="1521"/>
      <c r="L88" s="3862">
        <v>0.19999999999998863</v>
      </c>
      <c r="M88" s="1521"/>
      <c r="N88" s="3862">
        <f t="shared" ref="N88:N97" si="12">$AD88-$D88-$F88-$H88-$J88-$L88</f>
        <v>2353.3000000000002</v>
      </c>
      <c r="O88" s="1521"/>
      <c r="P88" s="885"/>
      <c r="Q88" s="1982"/>
      <c r="R88" s="1773"/>
      <c r="S88" s="1982"/>
      <c r="T88" s="1773"/>
      <c r="U88" s="1982"/>
      <c r="V88" s="1773"/>
      <c r="W88" s="1982"/>
      <c r="X88" s="1773"/>
      <c r="Y88" s="1982"/>
      <c r="Z88" s="1773"/>
      <c r="AA88" s="1983"/>
      <c r="AB88" s="1984"/>
      <c r="AC88" s="1986"/>
      <c r="AD88" s="1773">
        <v>2679.5</v>
      </c>
      <c r="AE88" s="2016"/>
      <c r="AF88" s="3138"/>
      <c r="AG88" s="1773">
        <v>2622.6</v>
      </c>
      <c r="AH88" s="1062"/>
      <c r="AI88" s="64"/>
      <c r="AJ88" s="884">
        <f>ROUND(SUM(+AD88-AG88),1)</f>
        <v>56.9</v>
      </c>
      <c r="AK88" s="884"/>
      <c r="AL88" s="1713">
        <f>ROUND(IF(AG88=0,1,AJ88/ABS(AG88)),3)</f>
        <v>2.1999999999999999E-2</v>
      </c>
      <c r="AM88" s="1803"/>
    </row>
    <row r="89" spans="1:39" s="876" customFormat="1" ht="15" customHeight="1">
      <c r="A89" s="1059"/>
      <c r="B89" s="1797" t="s">
        <v>25</v>
      </c>
      <c r="C89" s="104"/>
      <c r="D89" s="885">
        <v>0.1</v>
      </c>
      <c r="E89" s="1515"/>
      <c r="F89" s="885">
        <v>0.19999999999999998</v>
      </c>
      <c r="G89" s="1515"/>
      <c r="H89" s="885">
        <v>0.10000000000000006</v>
      </c>
      <c r="I89" s="1515"/>
      <c r="J89" s="3862">
        <v>0.5</v>
      </c>
      <c r="K89" s="1521"/>
      <c r="L89" s="3862">
        <v>0.7</v>
      </c>
      <c r="M89" s="1521"/>
      <c r="N89" s="3862">
        <f t="shared" si="12"/>
        <v>0.19999999999999996</v>
      </c>
      <c r="O89" s="1521"/>
      <c r="P89" s="885"/>
      <c r="Q89" s="1982"/>
      <c r="R89" s="1773"/>
      <c r="S89" s="1982"/>
      <c r="T89" s="1773"/>
      <c r="U89" s="1982"/>
      <c r="V89" s="1773"/>
      <c r="W89" s="1982"/>
      <c r="X89" s="1773"/>
      <c r="Y89" s="1982"/>
      <c r="Z89" s="1773"/>
      <c r="AA89" s="1983"/>
      <c r="AB89" s="1984"/>
      <c r="AC89" s="1986"/>
      <c r="AD89" s="1773">
        <v>1.8</v>
      </c>
      <c r="AE89" s="2016"/>
      <c r="AF89" s="3138"/>
      <c r="AG89" s="1773">
        <v>0.9</v>
      </c>
      <c r="AH89" s="1062"/>
      <c r="AI89" s="64"/>
      <c r="AJ89" s="884">
        <f>ROUND(SUM(+AD89-AG89),1)</f>
        <v>0.9</v>
      </c>
      <c r="AK89" s="884"/>
      <c r="AL89" s="1802">
        <f>ROUND(IF(AG89=0,1,AJ89/ABS(AG89)),3)</f>
        <v>1</v>
      </c>
      <c r="AM89" s="1803"/>
    </row>
    <row r="90" spans="1:39" s="876" customFormat="1" ht="15" customHeight="1">
      <c r="A90" s="1059"/>
      <c r="B90" s="1797" t="s">
        <v>26</v>
      </c>
      <c r="C90" s="104"/>
      <c r="D90" s="885">
        <v>10.1</v>
      </c>
      <c r="E90" s="1515"/>
      <c r="F90" s="885">
        <v>18</v>
      </c>
      <c r="G90" s="1515"/>
      <c r="H90" s="885">
        <v>5.6999999999999957</v>
      </c>
      <c r="I90" s="1515"/>
      <c r="J90" s="3862">
        <v>16.700000000000003</v>
      </c>
      <c r="K90" s="1521"/>
      <c r="L90" s="3862">
        <v>25.1</v>
      </c>
      <c r="M90" s="1521"/>
      <c r="N90" s="3862">
        <f t="shared" si="12"/>
        <v>9.9000000000000057</v>
      </c>
      <c r="O90" s="1521"/>
      <c r="P90" s="885"/>
      <c r="Q90" s="1982"/>
      <c r="R90" s="1773"/>
      <c r="S90" s="1982"/>
      <c r="T90" s="1773"/>
      <c r="U90" s="1982"/>
      <c r="V90" s="1773"/>
      <c r="W90" s="1982"/>
      <c r="X90" s="1773"/>
      <c r="Y90" s="1982"/>
      <c r="Z90" s="1773"/>
      <c r="AA90" s="1983"/>
      <c r="AB90" s="1984"/>
      <c r="AC90" s="1986"/>
      <c r="AD90" s="1773">
        <v>85.5</v>
      </c>
      <c r="AE90" s="2016"/>
      <c r="AF90" s="3138"/>
      <c r="AG90" s="1773">
        <v>71.3</v>
      </c>
      <c r="AH90" s="1062"/>
      <c r="AI90" s="64"/>
      <c r="AJ90" s="884">
        <f>ROUND(SUM(+AD90-AG90),1)</f>
        <v>14.2</v>
      </c>
      <c r="AK90" s="884"/>
      <c r="AL90" s="1802">
        <f>ROUND(IF(AG90=0,0,AJ90/ABS(AG90)),3)</f>
        <v>0.19900000000000001</v>
      </c>
      <c r="AM90" s="1803"/>
    </row>
    <row r="91" spans="1:39" s="876" customFormat="1" ht="15" customHeight="1">
      <c r="A91" s="1059"/>
      <c r="B91" s="679" t="s">
        <v>1199</v>
      </c>
      <c r="C91" s="104"/>
      <c r="D91" s="885" t="s">
        <v>14</v>
      </c>
      <c r="E91" s="1515"/>
      <c r="F91" s="885" t="s">
        <v>14</v>
      </c>
      <c r="G91" s="1515"/>
      <c r="H91" s="885" t="s">
        <v>14</v>
      </c>
      <c r="I91" s="1515"/>
      <c r="J91" s="885"/>
      <c r="K91" s="1521"/>
      <c r="L91" s="3862"/>
      <c r="M91" s="1521"/>
      <c r="N91" s="3862"/>
      <c r="O91" s="1521"/>
      <c r="P91" s="885"/>
      <c r="Q91" s="1982"/>
      <c r="R91" s="1773"/>
      <c r="S91" s="1982"/>
      <c r="T91" s="1773"/>
      <c r="U91" s="1982"/>
      <c r="V91" s="1773"/>
      <c r="W91" s="1982"/>
      <c r="X91" s="1773"/>
      <c r="Y91" s="1982"/>
      <c r="Z91" s="1773"/>
      <c r="AA91" s="1983"/>
      <c r="AB91" s="1984"/>
      <c r="AC91" s="1986"/>
      <c r="AD91" s="1773"/>
      <c r="AE91" s="2016"/>
      <c r="AF91" s="3138"/>
      <c r="AG91" s="1773"/>
      <c r="AH91" s="1062"/>
      <c r="AI91" s="64"/>
      <c r="AJ91" s="884"/>
      <c r="AK91" s="880"/>
      <c r="AL91" s="1802"/>
      <c r="AM91" s="1803"/>
    </row>
    <row r="92" spans="1:39" s="876" customFormat="1" ht="15" customHeight="1">
      <c r="A92" s="1059"/>
      <c r="B92" s="1798" t="s">
        <v>28</v>
      </c>
      <c r="C92" s="104"/>
      <c r="D92" s="885">
        <v>386.9</v>
      </c>
      <c r="E92" s="1515"/>
      <c r="F92" s="885">
        <v>461.4</v>
      </c>
      <c r="G92" s="1515"/>
      <c r="H92" s="885">
        <v>421.90000000000009</v>
      </c>
      <c r="I92" s="1515"/>
      <c r="J92" s="3862">
        <v>441.1</v>
      </c>
      <c r="K92" s="1521"/>
      <c r="L92" s="3862">
        <v>463.49999999999989</v>
      </c>
      <c r="M92" s="1521"/>
      <c r="N92" s="3862">
        <f t="shared" si="12"/>
        <v>472.19999999999982</v>
      </c>
      <c r="O92" s="1521"/>
      <c r="P92" s="885"/>
      <c r="Q92" s="1982"/>
      <c r="R92" s="1773"/>
      <c r="S92" s="1982"/>
      <c r="T92" s="1773"/>
      <c r="U92" s="1982"/>
      <c r="V92" s="1773"/>
      <c r="W92" s="1982"/>
      <c r="X92" s="1773"/>
      <c r="Y92" s="1982"/>
      <c r="Z92" s="1773"/>
      <c r="AA92" s="1983"/>
      <c r="AB92" s="1984"/>
      <c r="AC92" s="1986"/>
      <c r="AD92" s="1773">
        <v>2647</v>
      </c>
      <c r="AE92" s="2016"/>
      <c r="AF92" s="3138"/>
      <c r="AG92" s="1773">
        <v>2801.8</v>
      </c>
      <c r="AH92" s="1062"/>
      <c r="AI92" s="64"/>
      <c r="AJ92" s="884">
        <f t="shared" ref="AJ92:AJ97" si="13">ROUND(SUM(+AD92-AG92),1)</f>
        <v>-154.80000000000001</v>
      </c>
      <c r="AK92" s="884"/>
      <c r="AL92" s="1813">
        <f t="shared" ref="AL92:AL97" si="14">ROUND(IF(AG92=0,0,AJ92/ABS(AG92)),3)</f>
        <v>-5.5E-2</v>
      </c>
      <c r="AM92" s="1803"/>
    </row>
    <row r="93" spans="1:39" s="876" customFormat="1" ht="15" customHeight="1">
      <c r="A93" s="1059"/>
      <c r="B93" s="1797" t="s">
        <v>29</v>
      </c>
      <c r="C93" s="104"/>
      <c r="D93" s="885">
        <v>37.299999999999997</v>
      </c>
      <c r="E93" s="1515"/>
      <c r="F93" s="885">
        <v>47.2</v>
      </c>
      <c r="G93" s="1515"/>
      <c r="H93" s="885">
        <v>187</v>
      </c>
      <c r="I93" s="1515"/>
      <c r="J93" s="3862">
        <v>55.800000000000011</v>
      </c>
      <c r="K93" s="1521"/>
      <c r="L93" s="3862">
        <v>130.69999999999999</v>
      </c>
      <c r="M93" s="1521"/>
      <c r="N93" s="3862">
        <f t="shared" si="12"/>
        <v>118.00000000000006</v>
      </c>
      <c r="O93" s="1521"/>
      <c r="P93" s="885"/>
      <c r="Q93" s="1982"/>
      <c r="R93" s="1773"/>
      <c r="S93" s="1982"/>
      <c r="T93" s="1773"/>
      <c r="U93" s="1982"/>
      <c r="V93" s="1773"/>
      <c r="W93" s="1982"/>
      <c r="X93" s="1773"/>
      <c r="Y93" s="1982"/>
      <c r="Z93" s="1773"/>
      <c r="AA93" s="1983"/>
      <c r="AB93" s="1984"/>
      <c r="AC93" s="1986"/>
      <c r="AD93" s="1773">
        <v>576</v>
      </c>
      <c r="AE93" s="2016"/>
      <c r="AF93" s="3138"/>
      <c r="AG93" s="1773">
        <v>410.8</v>
      </c>
      <c r="AH93" s="1062"/>
      <c r="AI93" s="64"/>
      <c r="AJ93" s="884">
        <f t="shared" si="13"/>
        <v>165.2</v>
      </c>
      <c r="AK93" s="884"/>
      <c r="AL93" s="1802">
        <f t="shared" si="14"/>
        <v>0.40200000000000002</v>
      </c>
      <c r="AM93" s="1803"/>
    </row>
    <row r="94" spans="1:39" s="876" customFormat="1" ht="15" customHeight="1">
      <c r="A94" s="1059"/>
      <c r="B94" s="1797" t="s">
        <v>30</v>
      </c>
      <c r="C94" s="104"/>
      <c r="D94" s="885">
        <v>19.3</v>
      </c>
      <c r="E94" s="1515"/>
      <c r="F94" s="885">
        <v>19.999999999999996</v>
      </c>
      <c r="G94" s="1515"/>
      <c r="H94" s="885">
        <v>30.200000000000006</v>
      </c>
      <c r="I94" s="1515"/>
      <c r="J94" s="3862">
        <v>11.499999999999996</v>
      </c>
      <c r="K94" s="1521"/>
      <c r="L94" s="3862">
        <v>22.900000000000009</v>
      </c>
      <c r="M94" s="1521"/>
      <c r="N94" s="3862">
        <f t="shared" si="12"/>
        <v>21.199999999999985</v>
      </c>
      <c r="O94" s="1521"/>
      <c r="P94" s="885"/>
      <c r="Q94" s="1982"/>
      <c r="R94" s="1773"/>
      <c r="S94" s="1982"/>
      <c r="T94" s="1773"/>
      <c r="U94" s="1982"/>
      <c r="V94" s="1773"/>
      <c r="W94" s="1982"/>
      <c r="X94" s="1773"/>
      <c r="Y94" s="1982"/>
      <c r="Z94" s="1773"/>
      <c r="AA94" s="1983"/>
      <c r="AB94" s="1984"/>
      <c r="AC94" s="1986"/>
      <c r="AD94" s="1773">
        <v>125.1</v>
      </c>
      <c r="AE94" s="2016"/>
      <c r="AF94" s="3138"/>
      <c r="AG94" s="1773">
        <v>88.1</v>
      </c>
      <c r="AH94" s="1062"/>
      <c r="AI94" s="64"/>
      <c r="AJ94" s="884">
        <f t="shared" si="13"/>
        <v>37</v>
      </c>
      <c r="AK94" s="884"/>
      <c r="AL94" s="1802">
        <f t="shared" si="14"/>
        <v>0.42</v>
      </c>
      <c r="AM94" s="1803"/>
    </row>
    <row r="95" spans="1:39" s="876" customFormat="1" ht="15" customHeight="1">
      <c r="A95" s="1059"/>
      <c r="B95" s="1797" t="s">
        <v>31</v>
      </c>
      <c r="C95" s="104"/>
      <c r="D95" s="885">
        <v>0.2</v>
      </c>
      <c r="E95" s="1515"/>
      <c r="F95" s="885">
        <v>0.2</v>
      </c>
      <c r="G95" s="1515"/>
      <c r="H95" s="885">
        <v>0.49999999999999994</v>
      </c>
      <c r="I95" s="1515"/>
      <c r="J95" s="3862">
        <v>0</v>
      </c>
      <c r="K95" s="1521"/>
      <c r="L95" s="3862">
        <v>0.20000000000000023</v>
      </c>
      <c r="M95" s="1521"/>
      <c r="N95" s="3862">
        <f t="shared" si="12"/>
        <v>0.19999999999999996</v>
      </c>
      <c r="O95" s="1521"/>
      <c r="P95" s="885"/>
      <c r="Q95" s="1982"/>
      <c r="R95" s="1773"/>
      <c r="S95" s="1982"/>
      <c r="T95" s="1773"/>
      <c r="U95" s="1982"/>
      <c r="V95" s="1773"/>
      <c r="W95" s="1982"/>
      <c r="X95" s="1773"/>
      <c r="Y95" s="1982"/>
      <c r="Z95" s="1773"/>
      <c r="AA95" s="1983"/>
      <c r="AB95" s="1984"/>
      <c r="AC95" s="1986"/>
      <c r="AD95" s="1773">
        <v>1.3</v>
      </c>
      <c r="AE95" s="2016"/>
      <c r="AF95" s="3138"/>
      <c r="AG95" s="1773">
        <v>1</v>
      </c>
      <c r="AH95" s="1062"/>
      <c r="AI95" s="64"/>
      <c r="AJ95" s="884">
        <f t="shared" si="13"/>
        <v>0.3</v>
      </c>
      <c r="AK95" s="884"/>
      <c r="AL95" s="1802">
        <f t="shared" si="14"/>
        <v>0.3</v>
      </c>
      <c r="AM95" s="1803"/>
    </row>
    <row r="96" spans="1:39" s="876" customFormat="1" ht="15" customHeight="1">
      <c r="A96" s="1059"/>
      <c r="B96" s="1797" t="s">
        <v>32</v>
      </c>
      <c r="C96" s="104"/>
      <c r="D96" s="885">
        <v>0.3</v>
      </c>
      <c r="E96" s="1515"/>
      <c r="F96" s="885">
        <v>2.2000000000000002</v>
      </c>
      <c r="G96" s="1515"/>
      <c r="H96" s="885">
        <v>1.4</v>
      </c>
      <c r="I96" s="1515"/>
      <c r="J96" s="3862">
        <v>1.4</v>
      </c>
      <c r="K96" s="1521"/>
      <c r="L96" s="3862">
        <v>2.1000000000000005</v>
      </c>
      <c r="M96" s="1521"/>
      <c r="N96" s="3862">
        <f t="shared" si="12"/>
        <v>14.8</v>
      </c>
      <c r="O96" s="1521"/>
      <c r="P96" s="885"/>
      <c r="Q96" s="1982"/>
      <c r="R96" s="1773"/>
      <c r="S96" s="1982"/>
      <c r="T96" s="1773"/>
      <c r="U96" s="1982"/>
      <c r="V96" s="1773"/>
      <c r="W96" s="1982"/>
      <c r="X96" s="1773"/>
      <c r="Y96" s="1982"/>
      <c r="Z96" s="1773"/>
      <c r="AA96" s="1983"/>
      <c r="AB96" s="1984"/>
      <c r="AC96" s="1986"/>
      <c r="AD96" s="1773">
        <v>22.2</v>
      </c>
      <c r="AE96" s="2016"/>
      <c r="AF96" s="3138"/>
      <c r="AG96" s="1773">
        <v>17.399999999999999</v>
      </c>
      <c r="AH96" s="1062"/>
      <c r="AI96" s="64"/>
      <c r="AJ96" s="884">
        <f t="shared" si="13"/>
        <v>4.8</v>
      </c>
      <c r="AK96" s="884"/>
      <c r="AL96" s="1802">
        <f t="shared" si="14"/>
        <v>0.27600000000000002</v>
      </c>
      <c r="AM96" s="1803"/>
    </row>
    <row r="97" spans="1:39" s="876" customFormat="1" ht="15" customHeight="1">
      <c r="A97" s="1059"/>
      <c r="B97" s="1797" t="s">
        <v>33</v>
      </c>
      <c r="C97" s="104"/>
      <c r="D97" s="885">
        <v>199</v>
      </c>
      <c r="E97" s="1515"/>
      <c r="F97" s="885">
        <v>407.69999999999993</v>
      </c>
      <c r="G97" s="1515"/>
      <c r="H97" s="885">
        <v>283.30000000000007</v>
      </c>
      <c r="I97" s="1515"/>
      <c r="J97" s="3862">
        <v>299.79999999999995</v>
      </c>
      <c r="K97" s="1521"/>
      <c r="L97" s="3862">
        <v>409.79999999999995</v>
      </c>
      <c r="M97" s="1521"/>
      <c r="N97" s="3862">
        <f t="shared" si="12"/>
        <v>271.8000000000003</v>
      </c>
      <c r="O97" s="1521"/>
      <c r="P97" s="885"/>
      <c r="Q97" s="1982"/>
      <c r="R97" s="1773"/>
      <c r="S97" s="1982"/>
      <c r="T97" s="1773"/>
      <c r="U97" s="1982"/>
      <c r="V97" s="1773"/>
      <c r="W97" s="1982"/>
      <c r="X97" s="1773"/>
      <c r="Y97" s="1982"/>
      <c r="Z97" s="1773"/>
      <c r="AA97" s="1983"/>
      <c r="AB97" s="1984"/>
      <c r="AC97" s="1986"/>
      <c r="AD97" s="1773">
        <v>1871.4</v>
      </c>
      <c r="AE97" s="2016"/>
      <c r="AF97" s="3138"/>
      <c r="AG97" s="1773">
        <v>1409.9</v>
      </c>
      <c r="AH97" s="1062"/>
      <c r="AI97" s="64"/>
      <c r="AJ97" s="884">
        <f t="shared" si="13"/>
        <v>461.5</v>
      </c>
      <c r="AK97" s="884"/>
      <c r="AL97" s="1802">
        <f t="shared" si="14"/>
        <v>0.32700000000000001</v>
      </c>
      <c r="AM97" s="1803"/>
    </row>
    <row r="98" spans="1:39" ht="15" customHeight="1">
      <c r="A98" s="147"/>
      <c r="B98" s="26" t="s">
        <v>1094</v>
      </c>
      <c r="C98" s="28"/>
      <c r="D98" s="291">
        <f>ROUND(SUM(D88:D97),1)</f>
        <v>654.1</v>
      </c>
      <c r="E98" s="911"/>
      <c r="F98" s="291">
        <f>ROUND(SUM(F88:F97),1)</f>
        <v>954</v>
      </c>
      <c r="G98" s="911"/>
      <c r="H98" s="291">
        <f>ROUND(SUM(H88:H97),1)</f>
        <v>1258.0999999999999</v>
      </c>
      <c r="I98" s="911"/>
      <c r="J98" s="291">
        <f>ROUND(SUM(J88:J97),1)</f>
        <v>826.8</v>
      </c>
      <c r="K98" s="911"/>
      <c r="L98" s="291">
        <f>ROUND(SUM(L88:L97),1)</f>
        <v>1055.2</v>
      </c>
      <c r="M98" s="911"/>
      <c r="N98" s="291">
        <f>ROUND(SUM(N88:N97),1)</f>
        <v>3261.6</v>
      </c>
      <c r="O98" s="911"/>
      <c r="P98" s="2000">
        <f>ROUND(SUM(P88:P97),1)</f>
        <v>0</v>
      </c>
      <c r="Q98" s="1447"/>
      <c r="R98" s="2000">
        <f>ROUND(SUM(R88:R97),1)</f>
        <v>0</v>
      </c>
      <c r="S98" s="1447"/>
      <c r="T98" s="2000">
        <f>ROUND(SUM(T88:T97),1)</f>
        <v>0</v>
      </c>
      <c r="U98" s="1447"/>
      <c r="V98" s="2000">
        <f>ROUND(SUM(V88:V97),1)</f>
        <v>0</v>
      </c>
      <c r="W98" s="1447"/>
      <c r="X98" s="2000">
        <f>ROUND(SUM(X88:X97),1)</f>
        <v>0</v>
      </c>
      <c r="Y98" s="1447"/>
      <c r="Z98" s="2000">
        <f>ROUND(SUM(Z88:Z97),1)</f>
        <v>0</v>
      </c>
      <c r="AA98" s="1430"/>
      <c r="AB98" s="1447"/>
      <c r="AC98" s="2024"/>
      <c r="AD98" s="2001">
        <f>ROUND(SUM(AD88:AD97),1)</f>
        <v>8009.8</v>
      </c>
      <c r="AE98" s="1448"/>
      <c r="AF98" s="3122"/>
      <c r="AG98" s="2001">
        <f>ROUND(SUM(AG88:AG97),1)</f>
        <v>7423.8</v>
      </c>
      <c r="AH98" s="279"/>
      <c r="AI98" s="73"/>
      <c r="AJ98" s="58">
        <f>ROUND(SUM(AD98-AG98),1)</f>
        <v>586</v>
      </c>
      <c r="AK98" s="163"/>
      <c r="AL98" s="1420">
        <f>ROUND(SUM((AD98-AG98)/ABS(AG98)),3)</f>
        <v>7.9000000000000001E-2</v>
      </c>
      <c r="AM98" s="773"/>
    </row>
    <row r="99" spans="1:39" ht="15" customHeight="1">
      <c r="A99" s="147"/>
      <c r="B99" s="28" t="s">
        <v>168</v>
      </c>
      <c r="C99" s="28"/>
      <c r="D99" s="1515"/>
      <c r="E99" s="1515"/>
      <c r="F99" s="1515"/>
      <c r="G99" s="1515"/>
      <c r="H99" s="1515"/>
      <c r="I99" s="1515"/>
      <c r="J99" s="1515"/>
      <c r="K99" s="63"/>
      <c r="L99" s="63"/>
      <c r="M99" s="63"/>
      <c r="N99" s="63"/>
      <c r="O99" s="63"/>
      <c r="P99" s="1990"/>
      <c r="Q99" s="1990"/>
      <c r="R99" s="1990"/>
      <c r="S99" s="1990"/>
      <c r="T99" s="1990"/>
      <c r="U99" s="1990"/>
      <c r="V99" s="1990"/>
      <c r="W99" s="1990"/>
      <c r="X99" s="1990"/>
      <c r="Y99" s="1990"/>
      <c r="Z99" s="1990"/>
      <c r="AA99" s="1990"/>
      <c r="AB99" s="1990"/>
      <c r="AC99" s="2021"/>
      <c r="AD99" s="1979"/>
      <c r="AE99" s="1979"/>
      <c r="AF99" s="1981"/>
      <c r="AG99" s="1979"/>
      <c r="AH99" s="272"/>
      <c r="AI99" s="53"/>
      <c r="AJ99" s="634"/>
      <c r="AK99" s="909"/>
      <c r="AL99" s="1418"/>
      <c r="AM99" s="773"/>
    </row>
    <row r="100" spans="1:39" s="876" customFormat="1" ht="15" customHeight="1">
      <c r="A100" s="1059"/>
      <c r="B100" s="104" t="s">
        <v>152</v>
      </c>
      <c r="C100" s="104"/>
      <c r="D100" s="885">
        <v>399.6</v>
      </c>
      <c r="E100" s="1515"/>
      <c r="F100" s="885">
        <v>406</v>
      </c>
      <c r="G100" s="1515"/>
      <c r="H100" s="885">
        <v>327.60000000000002</v>
      </c>
      <c r="I100" s="1515"/>
      <c r="J100" s="3862">
        <v>409.4</v>
      </c>
      <c r="K100" s="1521"/>
      <c r="L100" s="3862">
        <v>387.40000000000009</v>
      </c>
      <c r="M100" s="1521"/>
      <c r="N100" s="3862">
        <f t="shared" ref="N100:N103" si="15">$AD100-$D100-$F100-$H100-$J100-$L100</f>
        <v>595.4000000000002</v>
      </c>
      <c r="O100" s="1521"/>
      <c r="P100" s="885"/>
      <c r="Q100" s="1982"/>
      <c r="R100" s="1773"/>
      <c r="S100" s="1982"/>
      <c r="T100" s="1773"/>
      <c r="U100" s="1982"/>
      <c r="V100" s="1773"/>
      <c r="W100" s="1982"/>
      <c r="X100" s="1773"/>
      <c r="Y100" s="1982"/>
      <c r="Z100" s="1773"/>
      <c r="AA100" s="1983"/>
      <c r="AB100" s="1984"/>
      <c r="AC100" s="1986"/>
      <c r="AD100" s="1773">
        <v>2525.4</v>
      </c>
      <c r="AE100" s="2016"/>
      <c r="AF100" s="3138"/>
      <c r="AG100" s="1773">
        <v>2694.9</v>
      </c>
      <c r="AH100" s="1062"/>
      <c r="AI100" s="64"/>
      <c r="AJ100" s="884">
        <f>ROUND(SUM(+AD100-AG100),1)</f>
        <v>-169.5</v>
      </c>
      <c r="AK100" s="884"/>
      <c r="AL100" s="1802">
        <f>ROUND(IF(AG100=0,0,AJ100/ABS(AG100)),3)</f>
        <v>-6.3E-2</v>
      </c>
      <c r="AM100" s="1803"/>
    </row>
    <row r="101" spans="1:39" s="876" customFormat="1" ht="15" customHeight="1">
      <c r="A101" s="1059"/>
      <c r="B101" s="104" t="s">
        <v>169</v>
      </c>
      <c r="C101" s="104"/>
      <c r="D101" s="885">
        <v>225.6</v>
      </c>
      <c r="E101" s="1515"/>
      <c r="F101" s="885">
        <v>233.9</v>
      </c>
      <c r="G101" s="1515"/>
      <c r="H101" s="885">
        <v>216.79999999999993</v>
      </c>
      <c r="I101" s="1515"/>
      <c r="J101" s="3862">
        <v>231.3000000000001</v>
      </c>
      <c r="K101" s="1521"/>
      <c r="L101" s="885">
        <v>263.60000000000002</v>
      </c>
      <c r="M101" s="1521"/>
      <c r="N101" s="3862">
        <f t="shared" si="15"/>
        <v>235.30000000000007</v>
      </c>
      <c r="O101" s="1521"/>
      <c r="P101" s="885"/>
      <c r="Q101" s="1982"/>
      <c r="R101" s="1773"/>
      <c r="S101" s="1982"/>
      <c r="T101" s="1773"/>
      <c r="U101" s="1982"/>
      <c r="V101" s="1773"/>
      <c r="W101" s="1982"/>
      <c r="X101" s="1773"/>
      <c r="Y101" s="1982"/>
      <c r="Z101" s="1773"/>
      <c r="AA101" s="1983"/>
      <c r="AB101" s="1984"/>
      <c r="AC101" s="1986"/>
      <c r="AD101" s="1773">
        <v>1406.5</v>
      </c>
      <c r="AE101" s="2016"/>
      <c r="AF101" s="3138"/>
      <c r="AG101" s="1773">
        <v>1177.6000000000001</v>
      </c>
      <c r="AH101" s="1062"/>
      <c r="AI101" s="64"/>
      <c r="AJ101" s="884">
        <f>ROUND(SUM(+AD101-AG101),1)</f>
        <v>228.9</v>
      </c>
      <c r="AK101" s="884"/>
      <c r="AL101" s="1802">
        <f>ROUND(IF(AG101=0,0,AJ101/ABS(AG101)),3)</f>
        <v>0.19400000000000001</v>
      </c>
      <c r="AM101" s="1803"/>
    </row>
    <row r="102" spans="1:39" s="876" customFormat="1" ht="15" customHeight="1">
      <c r="A102" s="1059"/>
      <c r="B102" s="104" t="s">
        <v>170</v>
      </c>
      <c r="C102" s="104"/>
      <c r="D102" s="885">
        <v>59.8</v>
      </c>
      <c r="E102" s="1515"/>
      <c r="F102" s="885">
        <v>63.400000000000006</v>
      </c>
      <c r="G102" s="1515"/>
      <c r="H102" s="885">
        <v>76.599999999999994</v>
      </c>
      <c r="I102" s="1515"/>
      <c r="J102" s="3862">
        <v>118</v>
      </c>
      <c r="K102" s="1521"/>
      <c r="L102" s="3862">
        <v>66.000000000000028</v>
      </c>
      <c r="M102" s="1521"/>
      <c r="N102" s="3862">
        <f t="shared" si="15"/>
        <v>88.899999999999949</v>
      </c>
      <c r="O102" s="1521"/>
      <c r="P102" s="885"/>
      <c r="Q102" s="1982"/>
      <c r="R102" s="1773"/>
      <c r="S102" s="1982"/>
      <c r="T102" s="1773"/>
      <c r="U102" s="1982"/>
      <c r="V102" s="1773"/>
      <c r="W102" s="1982"/>
      <c r="X102" s="1773"/>
      <c r="Y102" s="1982"/>
      <c r="Z102" s="1773"/>
      <c r="AA102" s="1983"/>
      <c r="AB102" s="1984"/>
      <c r="AC102" s="1986"/>
      <c r="AD102" s="1773">
        <v>472.7</v>
      </c>
      <c r="AE102" s="2016"/>
      <c r="AF102" s="3138"/>
      <c r="AG102" s="1773">
        <v>403.6</v>
      </c>
      <c r="AH102" s="1062"/>
      <c r="AI102" s="64"/>
      <c r="AJ102" s="884">
        <f>ROUND(SUM(+AD102-AG102),1)</f>
        <v>69.099999999999994</v>
      </c>
      <c r="AK102" s="884"/>
      <c r="AL102" s="1802">
        <f>ROUND(IF(AG102=0,0,AJ102/ABS(AG102)),3)</f>
        <v>0.17100000000000001</v>
      </c>
      <c r="AM102" s="1803"/>
    </row>
    <row r="103" spans="1:39" s="876" customFormat="1" ht="15" customHeight="1">
      <c r="A103" s="1059"/>
      <c r="B103" s="104" t="s">
        <v>171</v>
      </c>
      <c r="C103" s="104"/>
      <c r="D103" s="885">
        <v>0</v>
      </c>
      <c r="E103" s="1515"/>
      <c r="F103" s="885">
        <v>0</v>
      </c>
      <c r="G103" s="1515"/>
      <c r="H103" s="885">
        <v>0</v>
      </c>
      <c r="I103" s="1515"/>
      <c r="J103" s="3862">
        <v>0</v>
      </c>
      <c r="K103" s="1521"/>
      <c r="L103" s="3862">
        <v>0</v>
      </c>
      <c r="M103" s="1521"/>
      <c r="N103" s="3862">
        <f t="shared" si="15"/>
        <v>0</v>
      </c>
      <c r="O103" s="1521"/>
      <c r="P103" s="885"/>
      <c r="Q103" s="1982"/>
      <c r="R103" s="1773"/>
      <c r="S103" s="1982"/>
      <c r="T103" s="1773"/>
      <c r="U103" s="1982"/>
      <c r="V103" s="1773"/>
      <c r="W103" s="1982"/>
      <c r="X103" s="1773"/>
      <c r="Y103" s="1982"/>
      <c r="Z103" s="1773"/>
      <c r="AA103" s="1983"/>
      <c r="AB103" s="1984"/>
      <c r="AC103" s="1986"/>
      <c r="AD103" s="1773">
        <v>0</v>
      </c>
      <c r="AE103" s="2016"/>
      <c r="AF103" s="3138"/>
      <c r="AG103" s="1773">
        <v>0</v>
      </c>
      <c r="AH103" s="1062"/>
      <c r="AI103" s="64"/>
      <c r="AJ103" s="884">
        <f>ROUND(SUM(+AD103-AG103),1)</f>
        <v>0</v>
      </c>
      <c r="AK103" s="884"/>
      <c r="AL103" s="1708">
        <f>ROUND(IF(AG103=0,0,AJ103/ABS(AG103)),3)</f>
        <v>0</v>
      </c>
      <c r="AM103" s="1803"/>
    </row>
    <row r="104" spans="1:39" ht="15" customHeight="1">
      <c r="A104" s="147"/>
      <c r="B104" s="28"/>
      <c r="C104" s="28"/>
      <c r="D104" s="677"/>
      <c r="E104" s="1515"/>
      <c r="F104" s="677"/>
      <c r="G104" s="1515"/>
      <c r="H104" s="677"/>
      <c r="I104" s="1515"/>
      <c r="J104" s="677"/>
      <c r="K104" s="63"/>
      <c r="L104" s="85"/>
      <c r="M104" s="63"/>
      <c r="N104" s="85"/>
      <c r="O104" s="63"/>
      <c r="P104" s="1989"/>
      <c r="Q104" s="1990"/>
      <c r="R104" s="1989"/>
      <c r="S104" s="1990"/>
      <c r="T104" s="1989"/>
      <c r="U104" s="1990"/>
      <c r="V104" s="1989"/>
      <c r="W104" s="1990"/>
      <c r="X104" s="1989"/>
      <c r="Y104" s="1990"/>
      <c r="Z104" s="1989"/>
      <c r="AA104" s="1991"/>
      <c r="AB104" s="1990"/>
      <c r="AC104" s="2021"/>
      <c r="AD104" s="2035"/>
      <c r="AE104" s="1961"/>
      <c r="AF104" s="1981"/>
      <c r="AG104" s="2035"/>
      <c r="AH104" s="272"/>
      <c r="AI104" s="53"/>
      <c r="AJ104" s="1393"/>
      <c r="AK104" s="909"/>
      <c r="AL104" s="1432"/>
      <c r="AM104" s="773"/>
    </row>
    <row r="105" spans="1:39" ht="15" customHeight="1">
      <c r="A105" s="147"/>
      <c r="B105" s="26" t="s">
        <v>155</v>
      </c>
      <c r="C105" s="28"/>
      <c r="D105" s="911">
        <f>ROUND(SUM(D98:D103),1)</f>
        <v>1339.1</v>
      </c>
      <c r="E105" s="911"/>
      <c r="F105" s="911">
        <f>ROUND(SUM(F98:F103),1)</f>
        <v>1657.3</v>
      </c>
      <c r="G105" s="911"/>
      <c r="H105" s="911">
        <f>ROUND(SUM(H98:H103),1)</f>
        <v>1879.1</v>
      </c>
      <c r="I105" s="911"/>
      <c r="J105" s="911">
        <f>ROUND(SUM(J98:J103),1)</f>
        <v>1585.5</v>
      </c>
      <c r="K105" s="911"/>
      <c r="L105" s="911">
        <f>ROUND(SUM(L98:L103),1)</f>
        <v>1772.2</v>
      </c>
      <c r="M105" s="911"/>
      <c r="N105" s="911">
        <f>ROUND(SUM(N98:N103),1)</f>
        <v>4181.2</v>
      </c>
      <c r="O105" s="911"/>
      <c r="P105" s="1447">
        <f>ROUND(SUM(P98:P103),1)</f>
        <v>0</v>
      </c>
      <c r="Q105" s="1447"/>
      <c r="R105" s="1447">
        <f>ROUND(SUM(R98:R103),1)</f>
        <v>0</v>
      </c>
      <c r="S105" s="1447"/>
      <c r="T105" s="1447">
        <f>ROUND(SUM(T98:T103),1)</f>
        <v>0</v>
      </c>
      <c r="U105" s="1447"/>
      <c r="V105" s="1447">
        <f>ROUND(SUM(V98:V103),1)</f>
        <v>0</v>
      </c>
      <c r="W105" s="1447"/>
      <c r="X105" s="1447">
        <f>ROUND(SUM(X98:X103),1)</f>
        <v>0</v>
      </c>
      <c r="Y105" s="1447"/>
      <c r="Z105" s="1447">
        <f>ROUND(SUM(Z98:Z103),1)</f>
        <v>0</v>
      </c>
      <c r="AA105" s="1447"/>
      <c r="AB105" s="1447"/>
      <c r="AC105" s="2024"/>
      <c r="AD105" s="2034">
        <f>ROUND(SUM(AD98:AD103),1)</f>
        <v>12414.4</v>
      </c>
      <c r="AE105" s="1448"/>
      <c r="AF105" s="3122"/>
      <c r="AG105" s="2034">
        <f>ROUND(SUM(AG98:AG103),1)</f>
        <v>11699.9</v>
      </c>
      <c r="AH105" s="279"/>
      <c r="AI105" s="73"/>
      <c r="AJ105" s="71">
        <f>ROUND(SUM(AD105-AG105),1)</f>
        <v>714.5</v>
      </c>
      <c r="AK105" s="207"/>
      <c r="AL105" s="1421">
        <f>ROUND(SUM((AD105-AG105)/ABS(AG105)),3)</f>
        <v>6.0999999999999999E-2</v>
      </c>
      <c r="AM105" s="773"/>
    </row>
    <row r="106" spans="1:39" ht="15" customHeight="1">
      <c r="A106" s="147"/>
      <c r="B106" s="28"/>
      <c r="C106" s="28"/>
      <c r="D106" s="677"/>
      <c r="E106" s="1515"/>
      <c r="F106" s="677"/>
      <c r="G106" s="1515"/>
      <c r="H106" s="677"/>
      <c r="I106" s="1515"/>
      <c r="J106" s="677"/>
      <c r="K106" s="63"/>
      <c r="L106" s="85"/>
      <c r="M106" s="63"/>
      <c r="N106" s="85"/>
      <c r="O106" s="63"/>
      <c r="P106" s="1989"/>
      <c r="Q106" s="1990"/>
      <c r="R106" s="1989"/>
      <c r="S106" s="1990"/>
      <c r="T106" s="1989"/>
      <c r="U106" s="1990"/>
      <c r="V106" s="1989"/>
      <c r="W106" s="1990"/>
      <c r="X106" s="1989"/>
      <c r="Y106" s="1990"/>
      <c r="Z106" s="1989"/>
      <c r="AA106" s="1991"/>
      <c r="AB106" s="1990"/>
      <c r="AC106" s="2021"/>
      <c r="AD106" s="2035"/>
      <c r="AE106" s="1961"/>
      <c r="AF106" s="1981"/>
      <c r="AG106" s="2035"/>
      <c r="AH106" s="272"/>
      <c r="AI106" s="53"/>
      <c r="AJ106" s="634"/>
      <c r="AK106" s="909"/>
      <c r="AL106" s="1418"/>
      <c r="AM106" s="773"/>
    </row>
    <row r="107" spans="1:39" ht="15" customHeight="1">
      <c r="A107" s="147"/>
      <c r="B107" s="26" t="s">
        <v>156</v>
      </c>
      <c r="C107" s="28"/>
      <c r="D107" s="1515"/>
      <c r="E107" s="1515"/>
      <c r="F107" s="1515"/>
      <c r="G107" s="1515"/>
      <c r="H107" s="1515"/>
      <c r="I107" s="1515"/>
      <c r="J107" s="1515"/>
      <c r="K107" s="63"/>
      <c r="L107" s="63"/>
      <c r="M107" s="63"/>
      <c r="N107" s="63"/>
      <c r="O107" s="63"/>
      <c r="P107" s="1990"/>
      <c r="Q107" s="1990"/>
      <c r="R107" s="1990"/>
      <c r="S107" s="1990"/>
      <c r="T107" s="1990"/>
      <c r="U107" s="1990"/>
      <c r="V107" s="1990"/>
      <c r="W107" s="1990"/>
      <c r="X107" s="1990"/>
      <c r="Y107" s="1990"/>
      <c r="Z107" s="1990"/>
      <c r="AA107" s="1990"/>
      <c r="AB107" s="1990"/>
      <c r="AC107" s="2021"/>
      <c r="AD107" s="1979"/>
      <c r="AE107" s="1961"/>
      <c r="AF107" s="1981"/>
      <c r="AG107" s="1979"/>
      <c r="AH107" s="272"/>
      <c r="AI107" s="53"/>
      <c r="AJ107" s="932"/>
      <c r="AK107" s="909"/>
      <c r="AL107" s="1418"/>
      <c r="AM107" s="773"/>
    </row>
    <row r="108" spans="1:39" ht="15" customHeight="1">
      <c r="A108" s="147"/>
      <c r="B108" s="26" t="s">
        <v>44</v>
      </c>
      <c r="C108" s="28"/>
      <c r="D108" s="911">
        <f>ROUND(SUM(D84-D105),1)</f>
        <v>366.7</v>
      </c>
      <c r="E108" s="911"/>
      <c r="F108" s="911">
        <f>ROUND(SUM(F84-F105),1)</f>
        <v>-182.1</v>
      </c>
      <c r="G108" s="911"/>
      <c r="H108" s="911">
        <f>ROUND(SUM(H84-H105),1)</f>
        <v>246.9</v>
      </c>
      <c r="I108" s="911"/>
      <c r="J108" s="911">
        <f>ROUND(SUM(J84-J105),1)</f>
        <v>72.5</v>
      </c>
      <c r="K108" s="911"/>
      <c r="L108" s="911">
        <f>ROUND(SUM(L84-L105),1)</f>
        <v>-48.1</v>
      </c>
      <c r="M108" s="911"/>
      <c r="N108" s="911">
        <f>ROUND(SUM(N84-N105),1)</f>
        <v>-1756.9</v>
      </c>
      <c r="O108" s="911"/>
      <c r="P108" s="1447">
        <f>ROUND(SUM(P84-P105),1)</f>
        <v>0</v>
      </c>
      <c r="Q108" s="1447"/>
      <c r="R108" s="1447">
        <f>ROUND(SUM(R84-R105),1)</f>
        <v>0</v>
      </c>
      <c r="S108" s="1447"/>
      <c r="T108" s="1447">
        <f>ROUND(SUM(T84-T105),1)</f>
        <v>0</v>
      </c>
      <c r="U108" s="1447"/>
      <c r="V108" s="1447">
        <f>ROUND(SUM(V84-V105),1)</f>
        <v>0</v>
      </c>
      <c r="W108" s="1447"/>
      <c r="X108" s="1447">
        <f>ROUND(SUM(X84-X105),1)</f>
        <v>0</v>
      </c>
      <c r="Y108" s="1447"/>
      <c r="Z108" s="1447">
        <f>ROUND(SUM(Z84-Z105),1)</f>
        <v>0</v>
      </c>
      <c r="AA108" s="1447"/>
      <c r="AB108" s="1447"/>
      <c r="AC108" s="2024"/>
      <c r="AD108" s="2034">
        <f>ROUND(SUM(AD84-AD105),1)</f>
        <v>-1301</v>
      </c>
      <c r="AE108" s="1448"/>
      <c r="AF108" s="3122"/>
      <c r="AG108" s="2034">
        <f>ROUND(SUM(AG84-AG105),1)</f>
        <v>-2033.4</v>
      </c>
      <c r="AH108" s="279"/>
      <c r="AI108" s="73"/>
      <c r="AJ108" s="71">
        <f>ROUND(SUM(AD108-AG108),1)</f>
        <v>732.4</v>
      </c>
      <c r="AK108" s="206"/>
      <c r="AL108" s="3544">
        <f>ROUND(IF(AG108=0,0,AJ108/ABS(AG108)),3)</f>
        <v>0.36</v>
      </c>
      <c r="AM108" s="773"/>
    </row>
    <row r="109" spans="1:39" ht="15" customHeight="1">
      <c r="A109" s="147"/>
      <c r="B109" s="28"/>
      <c r="C109" s="28"/>
      <c r="D109" s="677"/>
      <c r="E109" s="1515"/>
      <c r="F109" s="677"/>
      <c r="G109" s="1515"/>
      <c r="H109" s="677"/>
      <c r="I109" s="1515"/>
      <c r="J109" s="677"/>
      <c r="K109" s="63"/>
      <c r="L109" s="85"/>
      <c r="M109" s="63"/>
      <c r="N109" s="85"/>
      <c r="O109" s="63"/>
      <c r="P109" s="1989"/>
      <c r="Q109" s="1990"/>
      <c r="R109" s="1989"/>
      <c r="S109" s="1990"/>
      <c r="T109" s="1989"/>
      <c r="U109" s="1990"/>
      <c r="V109" s="1989"/>
      <c r="W109" s="1990"/>
      <c r="X109" s="1989"/>
      <c r="Y109" s="1990"/>
      <c r="Z109" s="1989"/>
      <c r="AA109" s="1991"/>
      <c r="AB109" s="1990"/>
      <c r="AC109" s="2021"/>
      <c r="AD109" s="2035"/>
      <c r="AE109" s="1961"/>
      <c r="AF109" s="1981"/>
      <c r="AG109" s="2035"/>
      <c r="AH109" s="272"/>
      <c r="AI109" s="53"/>
      <c r="AJ109" s="634"/>
      <c r="AK109" s="909"/>
      <c r="AL109" s="1418"/>
      <c r="AM109" s="773"/>
    </row>
    <row r="110" spans="1:39" ht="15" customHeight="1">
      <c r="A110" s="147"/>
      <c r="B110" s="26" t="s">
        <v>45</v>
      </c>
      <c r="C110" s="28"/>
      <c r="D110" s="1515"/>
      <c r="E110" s="1515"/>
      <c r="F110" s="1515"/>
      <c r="G110" s="1515"/>
      <c r="H110" s="1515"/>
      <c r="I110" s="1515"/>
      <c r="J110" s="1515"/>
      <c r="K110" s="63"/>
      <c r="L110" s="63"/>
      <c r="M110" s="63"/>
      <c r="N110" s="63"/>
      <c r="O110" s="63"/>
      <c r="P110" s="1990"/>
      <c r="Q110" s="1990"/>
      <c r="R110" s="1990"/>
      <c r="S110" s="1990"/>
      <c r="T110" s="1990"/>
      <c r="U110" s="1990"/>
      <c r="V110" s="1990"/>
      <c r="W110" s="1990"/>
      <c r="X110" s="1990"/>
      <c r="Y110" s="1990"/>
      <c r="Z110" s="1990"/>
      <c r="AA110" s="1990"/>
      <c r="AB110" s="1990"/>
      <c r="AC110" s="2021"/>
      <c r="AD110" s="1979"/>
      <c r="AE110" s="1961"/>
      <c r="AF110" s="1981"/>
      <c r="AG110" s="1979"/>
      <c r="AH110" s="272"/>
      <c r="AI110" s="53"/>
      <c r="AJ110" s="634"/>
      <c r="AK110" s="909"/>
      <c r="AL110" s="1418"/>
      <c r="AM110" s="773"/>
    </row>
    <row r="111" spans="1:39" s="876" customFormat="1" ht="15" customHeight="1">
      <c r="A111" s="1059"/>
      <c r="B111" s="104" t="s">
        <v>175</v>
      </c>
      <c r="C111" s="104"/>
      <c r="D111" s="885">
        <v>263.5</v>
      </c>
      <c r="E111" s="1515"/>
      <c r="F111" s="885">
        <v>151</v>
      </c>
      <c r="G111" s="1515"/>
      <c r="H111" s="885">
        <v>908.3</v>
      </c>
      <c r="I111" s="1515"/>
      <c r="J111" s="3862">
        <v>593.20000000000005</v>
      </c>
      <c r="K111" s="1521"/>
      <c r="L111" s="3862">
        <v>109.40000000000009</v>
      </c>
      <c r="M111" s="1521"/>
      <c r="N111" s="3862">
        <f t="shared" ref="N111:N112" si="16">$AD111-$D111-$F111-$H111-$J111-$L111</f>
        <v>183</v>
      </c>
      <c r="O111" s="1521"/>
      <c r="P111" s="1773"/>
      <c r="Q111" s="1982"/>
      <c r="R111" s="1773"/>
      <c r="S111" s="1982"/>
      <c r="T111" s="1773"/>
      <c r="U111" s="1982"/>
      <c r="V111" s="1773"/>
      <c r="W111" s="1982"/>
      <c r="X111" s="1773"/>
      <c r="Y111" s="1982"/>
      <c r="Z111" s="1773"/>
      <c r="AA111" s="1983"/>
      <c r="AB111" s="1984"/>
      <c r="AC111" s="1986"/>
      <c r="AD111" s="1773">
        <v>2208.4</v>
      </c>
      <c r="AE111" s="2016"/>
      <c r="AF111" s="3138"/>
      <c r="AG111" s="1773">
        <v>1619.3</v>
      </c>
      <c r="AH111" s="1062"/>
      <c r="AI111" s="64"/>
      <c r="AJ111" s="884">
        <f>ROUND(SUM(+AD111-AG111),1)</f>
        <v>589.1</v>
      </c>
      <c r="AK111" s="884"/>
      <c r="AL111" s="1802">
        <f>ROUND(IF(AG111=0,0,AJ111/ABS(AG111)),3)</f>
        <v>0.36399999999999999</v>
      </c>
      <c r="AM111" s="1803"/>
    </row>
    <row r="112" spans="1:39" s="876" customFormat="1" ht="15" customHeight="1">
      <c r="A112" s="1059"/>
      <c r="B112" s="104" t="s">
        <v>173</v>
      </c>
      <c r="C112" s="104"/>
      <c r="D112" s="885">
        <v>-9.5</v>
      </c>
      <c r="E112" s="1515"/>
      <c r="F112" s="885">
        <v>-3.3000000000000007</v>
      </c>
      <c r="G112" s="1515"/>
      <c r="H112" s="885">
        <v>-57.300000000000011</v>
      </c>
      <c r="I112" s="1515"/>
      <c r="J112" s="3862">
        <v>-9.0999999999999943</v>
      </c>
      <c r="K112" s="1521"/>
      <c r="L112" s="3862">
        <v>-2.3999999999999915</v>
      </c>
      <c r="M112" s="1521"/>
      <c r="N112" s="3862">
        <f t="shared" si="16"/>
        <v>-36</v>
      </c>
      <c r="O112" s="1521"/>
      <c r="P112" s="1773"/>
      <c r="Q112" s="1982"/>
      <c r="R112" s="1773"/>
      <c r="S112" s="1982"/>
      <c r="T112" s="1773"/>
      <c r="U112" s="1982"/>
      <c r="V112" s="1773"/>
      <c r="W112" s="1982"/>
      <c r="X112" s="1773"/>
      <c r="Y112" s="1982"/>
      <c r="Z112" s="1773"/>
      <c r="AA112" s="1983"/>
      <c r="AB112" s="1984"/>
      <c r="AC112" s="1986"/>
      <c r="AD112" s="1773">
        <v>-117.6</v>
      </c>
      <c r="AE112" s="2016"/>
      <c r="AF112" s="3138"/>
      <c r="AG112" s="3387">
        <v>-182.7</v>
      </c>
      <c r="AH112" s="1062"/>
      <c r="AI112" s="64"/>
      <c r="AJ112" s="1013">
        <f>ROUND(SUM(+AD112-AG112)*-1,1)</f>
        <v>-65.099999999999994</v>
      </c>
      <c r="AK112" s="1013"/>
      <c r="AL112" s="2111">
        <f>ROUND(IF(AG112=0,0,AJ112/ABS(AG112)),3)</f>
        <v>-0.35599999999999998</v>
      </c>
      <c r="AM112" s="1803"/>
    </row>
    <row r="113" spans="1:49" ht="15" customHeight="1">
      <c r="A113" s="147"/>
      <c r="B113" s="28"/>
      <c r="C113" s="28"/>
      <c r="D113" s="85"/>
      <c r="E113" s="63"/>
      <c r="F113" s="85"/>
      <c r="G113" s="63"/>
      <c r="H113" s="85"/>
      <c r="I113" s="63"/>
      <c r="J113" s="85"/>
      <c r="K113" s="63"/>
      <c r="L113" s="85"/>
      <c r="M113" s="63"/>
      <c r="N113" s="85"/>
      <c r="O113" s="63"/>
      <c r="P113" s="85"/>
      <c r="Q113" s="63"/>
      <c r="R113" s="85"/>
      <c r="S113" s="63"/>
      <c r="T113" s="85"/>
      <c r="U113" s="63"/>
      <c r="V113" s="85"/>
      <c r="W113" s="63"/>
      <c r="X113" s="85"/>
      <c r="Y113" s="63"/>
      <c r="Z113" s="85"/>
      <c r="AA113" s="53"/>
      <c r="AB113" s="63"/>
      <c r="AC113" s="54"/>
      <c r="AD113" s="123"/>
      <c r="AE113" s="64"/>
      <c r="AF113" s="1061"/>
      <c r="AG113" s="64"/>
      <c r="AH113" s="272"/>
      <c r="AI113" s="53"/>
      <c r="AJ113" s="1393"/>
      <c r="AK113" s="909"/>
      <c r="AL113" s="1432"/>
      <c r="AM113" s="773"/>
    </row>
    <row r="114" spans="1:49" ht="15" customHeight="1">
      <c r="A114" s="147"/>
      <c r="B114" s="26" t="s">
        <v>1095</v>
      </c>
      <c r="C114" s="28"/>
      <c r="D114" s="911">
        <f>ROUND(SUM(D111:D113),1)</f>
        <v>254</v>
      </c>
      <c r="E114" s="911"/>
      <c r="F114" s="911">
        <f>ROUND(SUM(F111:F113),1)</f>
        <v>147.69999999999999</v>
      </c>
      <c r="G114" s="911"/>
      <c r="H114" s="911">
        <f>ROUND(SUM(H111:H113),1)</f>
        <v>851</v>
      </c>
      <c r="I114" s="911"/>
      <c r="J114" s="911">
        <f>ROUND(SUM(J111:J113),1)</f>
        <v>584.1</v>
      </c>
      <c r="K114" s="911"/>
      <c r="L114" s="911">
        <f>ROUND(SUM(L111:L113),1)</f>
        <v>107</v>
      </c>
      <c r="M114" s="911"/>
      <c r="N114" s="911">
        <f>ROUND(SUM(N111:N113),1)</f>
        <v>147</v>
      </c>
      <c r="O114" s="911"/>
      <c r="P114" s="911">
        <f>ROUND(SUM(P111:P113),1)</f>
        <v>0</v>
      </c>
      <c r="Q114" s="911"/>
      <c r="R114" s="911">
        <f>ROUND(SUM(R111:R113),1)</f>
        <v>0</v>
      </c>
      <c r="S114" s="911"/>
      <c r="T114" s="911">
        <f>ROUND(SUM(T111:T113),1)</f>
        <v>0</v>
      </c>
      <c r="U114" s="911"/>
      <c r="V114" s="911">
        <f>ROUND(SUM(V111:V113),1)</f>
        <v>0</v>
      </c>
      <c r="W114" s="911"/>
      <c r="X114" s="911">
        <f>ROUND(SUM(X111:X113),1)</f>
        <v>0</v>
      </c>
      <c r="Y114" s="911"/>
      <c r="Z114" s="911">
        <f>ROUND(SUM(Z111:Z113),1)</f>
        <v>0</v>
      </c>
      <c r="AA114" s="911"/>
      <c r="AB114" s="911"/>
      <c r="AC114" s="61"/>
      <c r="AD114" s="109">
        <f>ROUND(SUM(AD111:AD113),1)</f>
        <v>2090.8000000000002</v>
      </c>
      <c r="AE114" s="112"/>
      <c r="AF114" s="3141"/>
      <c r="AG114" s="109">
        <f>ROUND(SUM(AG111:AG113),1)</f>
        <v>1436.6</v>
      </c>
      <c r="AH114" s="279"/>
      <c r="AI114" s="73"/>
      <c r="AJ114" s="71">
        <f>ROUND(SUM(AD114-AG114),1)</f>
        <v>654.20000000000005</v>
      </c>
      <c r="AK114" s="163"/>
      <c r="AL114" s="1421">
        <f>ROUND(SUM((AD114-AG114)/ABS(AG114)),3)</f>
        <v>0.45500000000000002</v>
      </c>
      <c r="AM114" s="1358"/>
    </row>
    <row r="115" spans="1:49" ht="15" customHeight="1">
      <c r="A115" s="147"/>
      <c r="B115" s="28"/>
      <c r="C115" s="28"/>
      <c r="D115" s="85"/>
      <c r="E115" s="63"/>
      <c r="F115" s="85"/>
      <c r="G115" s="63"/>
      <c r="H115" s="85"/>
      <c r="I115" s="63"/>
      <c r="J115" s="85"/>
      <c r="K115" s="63"/>
      <c r="L115" s="85"/>
      <c r="M115" s="63"/>
      <c r="N115" s="85"/>
      <c r="O115" s="63"/>
      <c r="P115" s="85"/>
      <c r="Q115" s="63"/>
      <c r="R115" s="85"/>
      <c r="S115" s="63"/>
      <c r="T115" s="85"/>
      <c r="U115" s="63"/>
      <c r="V115" s="85"/>
      <c r="W115" s="63"/>
      <c r="X115" s="85"/>
      <c r="Y115" s="63"/>
      <c r="Z115" s="85"/>
      <c r="AA115" s="53"/>
      <c r="AB115" s="63"/>
      <c r="AC115" s="54"/>
      <c r="AD115" s="123"/>
      <c r="AE115" s="64"/>
      <c r="AF115" s="1061"/>
      <c r="AG115" s="123"/>
      <c r="AH115" s="272"/>
      <c r="AI115" s="53"/>
      <c r="AJ115" s="634"/>
      <c r="AK115" s="909"/>
      <c r="AL115" s="1418"/>
      <c r="AM115" s="773"/>
    </row>
    <row r="116" spans="1:49" ht="15" customHeight="1">
      <c r="A116" s="147"/>
      <c r="B116" s="26" t="s">
        <v>164</v>
      </c>
      <c r="C116" s="28"/>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54"/>
      <c r="AD116" s="115"/>
      <c r="AE116" s="64"/>
      <c r="AF116" s="1061"/>
      <c r="AG116" s="115"/>
      <c r="AH116" s="272"/>
      <c r="AI116" s="53"/>
      <c r="AJ116" s="634"/>
      <c r="AK116" s="909"/>
      <c r="AL116" s="1418"/>
      <c r="AM116" s="773"/>
    </row>
    <row r="117" spans="1:49" ht="15" customHeight="1">
      <c r="A117" s="147"/>
      <c r="B117" s="26" t="s">
        <v>1144</v>
      </c>
      <c r="C117" s="28"/>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54"/>
      <c r="AD117" s="115"/>
      <c r="AE117" s="64"/>
      <c r="AF117" s="1061"/>
      <c r="AG117" s="136"/>
      <c r="AH117" s="272"/>
      <c r="AI117" s="53"/>
      <c r="AJ117" s="634"/>
      <c r="AK117" s="909"/>
      <c r="AL117" s="1418"/>
      <c r="AM117" s="773"/>
    </row>
    <row r="118" spans="1:49" ht="15" customHeight="1">
      <c r="A118" s="147"/>
      <c r="B118" s="26" t="s">
        <v>1091</v>
      </c>
      <c r="C118" s="28"/>
      <c r="D118" s="818">
        <f>ROUND(SUM(D108+D114),1)</f>
        <v>620.70000000000005</v>
      </c>
      <c r="E118" s="1516"/>
      <c r="F118" s="818">
        <f>ROUND(SUM(F108+F114),1)</f>
        <v>-34.4</v>
      </c>
      <c r="G118" s="1516"/>
      <c r="H118" s="818">
        <f>ROUND(SUM(H108+H114),1)</f>
        <v>1097.9000000000001</v>
      </c>
      <c r="I118" s="1516"/>
      <c r="J118" s="818">
        <f>ROUND(SUM(J108+J114),1)</f>
        <v>656.6</v>
      </c>
      <c r="K118" s="1516"/>
      <c r="L118" s="818">
        <f>ROUND(SUM(L108+L114),1)</f>
        <v>58.9</v>
      </c>
      <c r="M118" s="1516"/>
      <c r="N118" s="818">
        <f>ROUND(SUM(N108+N114),1)</f>
        <v>-1609.9</v>
      </c>
      <c r="O118" s="1516"/>
      <c r="P118" s="818">
        <f>ROUND(SUM(P108+P114),1)</f>
        <v>0</v>
      </c>
      <c r="Q118" s="1516"/>
      <c r="R118" s="818">
        <f>ROUND(SUM(R108+R114),1)</f>
        <v>0</v>
      </c>
      <c r="S118" s="1516"/>
      <c r="T118" s="818">
        <f>ROUND(SUM(T108+T114),1)</f>
        <v>0</v>
      </c>
      <c r="U118" s="1516"/>
      <c r="V118" s="818">
        <f>ROUND(SUM(V108+V114),1)</f>
        <v>0</v>
      </c>
      <c r="W118" s="1516"/>
      <c r="X118" s="818">
        <f>ROUND(SUM(X108+X114),1)</f>
        <v>0</v>
      </c>
      <c r="Y118" s="1516"/>
      <c r="Z118" s="818">
        <f>ROUND(SUM(Z108+Z114),1)</f>
        <v>0</v>
      </c>
      <c r="AA118" s="1516"/>
      <c r="AB118" s="1843"/>
      <c r="AC118" s="1516"/>
      <c r="AD118" s="1096">
        <f>ROUND(SUM(AD108+AD114),1)</f>
        <v>789.8</v>
      </c>
      <c r="AE118" s="3131"/>
      <c r="AF118" s="112"/>
      <c r="AG118" s="1096">
        <f>ROUND(SUM(AG108+AG114),1)</f>
        <v>-596.79999999999995</v>
      </c>
      <c r="AH118" s="272"/>
      <c r="AI118" s="1516"/>
      <c r="AJ118" s="818">
        <f>ROUND(SUM(AJ108+AJ114),1)</f>
        <v>1386.6</v>
      </c>
      <c r="AK118" s="1516"/>
      <c r="AL118" s="1842">
        <f>ROUND(IF(AG118=0,0,AJ118/ABS(AG118)),3)</f>
        <v>2.323</v>
      </c>
      <c r="AM118" s="773"/>
    </row>
    <row r="119" spans="1:49" ht="15" customHeight="1">
      <c r="A119" s="147"/>
      <c r="B119" s="26"/>
      <c r="C119" s="28"/>
      <c r="D119" s="162"/>
      <c r="E119" s="162"/>
      <c r="F119" s="162"/>
      <c r="G119" s="162"/>
      <c r="H119" s="162"/>
      <c r="I119" s="162"/>
      <c r="J119" s="162"/>
      <c r="K119" s="162"/>
      <c r="L119" s="162"/>
      <c r="M119" s="162"/>
      <c r="N119" s="162"/>
      <c r="O119" s="162"/>
      <c r="P119" s="162"/>
      <c r="Q119" s="162"/>
      <c r="R119" s="162"/>
      <c r="S119" s="162"/>
      <c r="T119" s="216"/>
      <c r="U119" s="162"/>
      <c r="V119" s="162"/>
      <c r="W119" s="162"/>
      <c r="X119" s="162"/>
      <c r="Y119" s="162"/>
      <c r="Z119" s="162"/>
      <c r="AA119" s="162"/>
      <c r="AB119" s="162"/>
      <c r="AC119" s="1960"/>
      <c r="AD119" s="114"/>
      <c r="AE119" s="114"/>
      <c r="AF119" s="3142"/>
      <c r="AG119" s="114"/>
      <c r="AH119" s="56"/>
      <c r="AI119" s="268"/>
      <c r="AJ119" s="1395"/>
      <c r="AK119" s="1395"/>
      <c r="AL119" s="1433"/>
      <c r="AM119" s="773"/>
    </row>
    <row r="120" spans="1:49" ht="17.25" customHeight="1" thickBot="1">
      <c r="A120" s="147"/>
      <c r="B120" s="26" t="s">
        <v>1101</v>
      </c>
      <c r="C120" s="28"/>
      <c r="D120" s="264">
        <f>ROUND(SUM(+D118+D13),1)</f>
        <v>6329.3</v>
      </c>
      <c r="E120" s="162"/>
      <c r="F120" s="264">
        <f>ROUND(SUM(+F118+F13),1)</f>
        <v>6294.9</v>
      </c>
      <c r="G120" s="162"/>
      <c r="H120" s="264">
        <f>ROUND(SUM(+H118+H13),1)</f>
        <v>7392.8</v>
      </c>
      <c r="I120" s="162"/>
      <c r="J120" s="264">
        <v>8049.4</v>
      </c>
      <c r="K120" s="162"/>
      <c r="L120" s="264">
        <f>ROUND(SUM(+L118+L13),1)</f>
        <v>8108.3</v>
      </c>
      <c r="M120" s="162"/>
      <c r="N120" s="264">
        <f>ROUND(SUM(+N118+N13),1)</f>
        <v>6498.4</v>
      </c>
      <c r="O120" s="162"/>
      <c r="P120" s="264">
        <f>ROUND(SUM(+P118+P13),1)</f>
        <v>0</v>
      </c>
      <c r="Q120" s="162"/>
      <c r="R120" s="264">
        <f>ROUND(SUM(+R118+R13),1)</f>
        <v>0</v>
      </c>
      <c r="S120" s="162"/>
      <c r="T120" s="264">
        <f>ROUND(SUM(+T118+T13),1)</f>
        <v>0</v>
      </c>
      <c r="U120" s="162"/>
      <c r="V120" s="264">
        <f>ROUND(SUM(+V118+V13),1)</f>
        <v>0</v>
      </c>
      <c r="W120" s="162"/>
      <c r="X120" s="264">
        <f>ROUND(SUM(+X118+X13),1)</f>
        <v>0</v>
      </c>
      <c r="Y120" s="162"/>
      <c r="Z120" s="264">
        <f>ROUND(SUM(+Z118+Z13),1)</f>
        <v>0</v>
      </c>
      <c r="AA120" s="162"/>
      <c r="AB120" s="162"/>
      <c r="AC120" s="1960"/>
      <c r="AD120" s="259">
        <f>ROUND(SUM(+AD118+AD13),1)</f>
        <v>6498.4</v>
      </c>
      <c r="AE120" s="114"/>
      <c r="AF120" s="3142"/>
      <c r="AG120" s="259">
        <f>ROUND(SUM(+AG118+AG13),1)</f>
        <v>4803.8999999999996</v>
      </c>
      <c r="AH120" s="56"/>
      <c r="AI120" s="268"/>
      <c r="AJ120" s="264">
        <f>ROUND(SUM(+AJ118+AJ13),1)</f>
        <v>1694.5</v>
      </c>
      <c r="AK120" s="1395"/>
      <c r="AL120" s="1840">
        <f>ROUND(IF(AG120=0,0,AJ120/ABS(AG120)),3)</f>
        <v>0.35299999999999998</v>
      </c>
      <c r="AM120" s="773"/>
    </row>
    <row r="121" spans="1:49" ht="15" customHeight="1" thickTop="1">
      <c r="A121" s="147"/>
      <c r="B121" s="26"/>
      <c r="C121" s="28"/>
      <c r="D121" s="162"/>
      <c r="E121" s="162"/>
      <c r="F121" s="162"/>
      <c r="G121" s="162"/>
      <c r="H121" s="162"/>
      <c r="I121" s="162"/>
      <c r="J121" s="162"/>
      <c r="K121" s="162"/>
      <c r="L121" s="162"/>
      <c r="M121" s="162"/>
      <c r="N121" s="162"/>
      <c r="O121" s="162"/>
      <c r="P121" s="216"/>
      <c r="Q121" s="162"/>
      <c r="R121" s="162"/>
      <c r="S121" s="162"/>
      <c r="T121" s="162"/>
      <c r="U121" s="162"/>
      <c r="V121" s="162"/>
      <c r="W121" s="162"/>
      <c r="X121" s="162"/>
      <c r="Y121" s="162"/>
      <c r="Z121" s="162"/>
      <c r="AA121" s="162"/>
      <c r="AB121" s="162"/>
      <c r="AC121" s="56"/>
      <c r="AD121" s="114"/>
      <c r="AE121" s="114"/>
      <c r="AF121" s="114"/>
      <c r="AG121" s="114"/>
      <c r="AH121" s="56"/>
      <c r="AI121" s="34"/>
      <c r="AJ121" s="1395"/>
      <c r="AK121" s="1395"/>
      <c r="AL121" s="1433"/>
      <c r="AM121" s="773"/>
    </row>
    <row r="122" spans="1:49" ht="15" customHeight="1">
      <c r="A122" s="147"/>
      <c r="B122" s="26"/>
      <c r="C122" s="28"/>
      <c r="D122" s="162"/>
      <c r="E122" s="162"/>
      <c r="F122" s="162"/>
      <c r="G122" s="162"/>
      <c r="H122" s="162"/>
      <c r="I122" s="162"/>
      <c r="J122" s="162"/>
      <c r="K122" s="162"/>
      <c r="L122" s="162"/>
      <c r="M122" s="162"/>
      <c r="N122" s="162"/>
      <c r="O122" s="162"/>
      <c r="P122" s="56"/>
      <c r="Q122" s="162"/>
      <c r="R122" s="162"/>
      <c r="S122" s="162"/>
      <c r="T122" s="162"/>
      <c r="U122" s="162"/>
      <c r="V122" s="162"/>
      <c r="W122" s="162"/>
      <c r="X122" s="162"/>
      <c r="Y122" s="162"/>
      <c r="Z122" s="162"/>
      <c r="AA122" s="162"/>
      <c r="AB122" s="162"/>
      <c r="AC122" s="56"/>
      <c r="AD122" s="114"/>
      <c r="AE122" s="114"/>
      <c r="AF122" s="114"/>
      <c r="AG122" s="640" t="s">
        <v>14</v>
      </c>
      <c r="AH122" s="56"/>
      <c r="AI122" s="34"/>
      <c r="AJ122" s="1395"/>
      <c r="AK122" s="1395"/>
      <c r="AL122" s="1433"/>
      <c r="AM122" s="773"/>
    </row>
    <row r="123" spans="1:49" ht="15" customHeight="1">
      <c r="B123" s="909"/>
      <c r="C123" s="27"/>
      <c r="D123" s="265"/>
      <c r="E123" s="265"/>
      <c r="F123" s="265"/>
      <c r="G123" s="265"/>
      <c r="H123" s="265"/>
      <c r="I123" s="265"/>
      <c r="J123" s="265"/>
      <c r="K123" s="265"/>
      <c r="L123" s="265"/>
      <c r="M123" s="265"/>
      <c r="N123" s="265"/>
      <c r="O123" s="265"/>
      <c r="P123" s="265"/>
      <c r="Q123" s="265"/>
      <c r="R123" s="265"/>
      <c r="S123" s="265"/>
      <c r="T123" s="265"/>
      <c r="U123" s="265"/>
      <c r="V123" s="265"/>
      <c r="W123" s="265"/>
      <c r="X123" s="265"/>
      <c r="Y123" s="265"/>
      <c r="Z123" s="265"/>
      <c r="AA123" s="265"/>
      <c r="AB123" s="265"/>
      <c r="AC123" s="265"/>
      <c r="AD123" s="2105"/>
      <c r="AE123" s="2105"/>
      <c r="AF123" s="2105"/>
      <c r="AG123" s="1010" t="s">
        <v>14</v>
      </c>
      <c r="AH123" s="265"/>
      <c r="AI123" s="265"/>
      <c r="AJ123" s="1394"/>
      <c r="AK123" s="1394"/>
      <c r="AL123" s="1418"/>
      <c r="AM123" s="773"/>
      <c r="AN123" s="292"/>
      <c r="AO123" s="292"/>
      <c r="AP123" s="292"/>
      <c r="AQ123" s="292"/>
      <c r="AR123" s="292"/>
      <c r="AS123" s="292"/>
      <c r="AT123" s="292"/>
      <c r="AU123" s="292"/>
      <c r="AV123" s="292"/>
      <c r="AW123" s="292"/>
    </row>
    <row r="124" spans="1:49" ht="15" customHeight="1">
      <c r="B124" s="27"/>
      <c r="AL124" s="1435"/>
      <c r="AM124" s="773"/>
    </row>
    <row r="125" spans="1:49" ht="15" customHeight="1">
      <c r="B125" s="27"/>
      <c r="AL125" s="1435"/>
      <c r="AM125" s="773"/>
    </row>
    <row r="126" spans="1:49">
      <c r="AL126" s="1435"/>
      <c r="AM126" s="773"/>
    </row>
    <row r="127" spans="1:49" ht="15" customHeight="1">
      <c r="AL127" s="1435"/>
      <c r="AM127" s="773"/>
    </row>
    <row r="128" spans="1:49" ht="15" customHeight="1">
      <c r="D128" s="909"/>
      <c r="F128" s="909"/>
      <c r="H128" s="909"/>
      <c r="AJ128" s="1841"/>
      <c r="AL128" s="1435"/>
      <c r="AM128" s="773"/>
    </row>
    <row r="129" spans="38:39" ht="15" customHeight="1">
      <c r="AL129" s="773"/>
      <c r="AM129" s="773"/>
    </row>
    <row r="130" spans="38:39" ht="15" customHeight="1">
      <c r="AL130" s="773"/>
      <c r="AM130" s="773"/>
    </row>
    <row r="131" spans="38:39" ht="15" customHeight="1">
      <c r="AL131" s="773"/>
      <c r="AM131" s="773"/>
    </row>
    <row r="132" spans="38:39" ht="15" customHeight="1">
      <c r="AL132" s="773"/>
      <c r="AM132" s="773"/>
    </row>
    <row r="133" spans="38:39" ht="15" customHeight="1">
      <c r="AL133" s="773"/>
      <c r="AM133" s="773"/>
    </row>
    <row r="134" spans="38:39" ht="15" customHeight="1">
      <c r="AL134" s="773"/>
      <c r="AM134" s="773"/>
    </row>
    <row r="135" spans="38:39" ht="15" customHeight="1">
      <c r="AL135" s="773"/>
      <c r="AM135" s="773"/>
    </row>
    <row r="136" spans="38:39" ht="15" customHeight="1">
      <c r="AL136" s="773"/>
      <c r="AM136" s="773"/>
    </row>
    <row r="137" spans="38:39" ht="15" customHeight="1">
      <c r="AL137" s="773"/>
      <c r="AM137" s="773"/>
    </row>
    <row r="138" spans="38:39" ht="15" customHeight="1">
      <c r="AL138" s="773"/>
      <c r="AM138" s="773"/>
    </row>
    <row r="139" spans="38:39" ht="15" customHeight="1">
      <c r="AL139" s="773"/>
      <c r="AM139" s="773"/>
    </row>
    <row r="140" spans="38:39" ht="15" customHeight="1">
      <c r="AL140" s="773"/>
      <c r="AM140" s="773"/>
    </row>
    <row r="141" spans="38:39" ht="15" customHeight="1">
      <c r="AL141" s="773"/>
      <c r="AM141" s="773"/>
    </row>
    <row r="142" spans="38:39" ht="15" customHeight="1">
      <c r="AL142" s="773"/>
      <c r="AM142" s="773"/>
    </row>
    <row r="143" spans="38:39" ht="15" customHeight="1">
      <c r="AL143" s="773"/>
      <c r="AM143" s="773"/>
    </row>
    <row r="144" spans="38:39" ht="15" customHeight="1">
      <c r="AL144" s="773"/>
      <c r="AM144" s="773"/>
    </row>
    <row r="145" spans="38:39" ht="15" customHeight="1">
      <c r="AL145" s="773"/>
      <c r="AM145" s="773"/>
    </row>
    <row r="146" spans="38:39" ht="15" customHeight="1">
      <c r="AL146" s="773"/>
      <c r="AM146" s="773"/>
    </row>
    <row r="147" spans="38:39" ht="15" customHeight="1">
      <c r="AL147" s="773"/>
      <c r="AM147" s="773"/>
    </row>
    <row r="148" spans="38:39" ht="15" customHeight="1">
      <c r="AL148" s="773"/>
      <c r="AM148" s="773"/>
    </row>
    <row r="149" spans="38:39" ht="15" customHeight="1">
      <c r="AL149" s="773"/>
      <c r="AM149" s="773"/>
    </row>
    <row r="150" spans="38:39" ht="15" customHeight="1">
      <c r="AL150" s="773"/>
      <c r="AM150" s="773"/>
    </row>
    <row r="151" spans="38:39" ht="15" customHeight="1">
      <c r="AL151" s="773"/>
      <c r="AM151" s="773"/>
    </row>
    <row r="152" spans="38:39" ht="15" customHeight="1">
      <c r="AL152" s="773"/>
      <c r="AM152" s="773"/>
    </row>
    <row r="153" spans="38:39" ht="15" customHeight="1">
      <c r="AL153" s="773"/>
      <c r="AM153" s="773"/>
    </row>
    <row r="154" spans="38:39" ht="15" customHeight="1">
      <c r="AL154" s="773"/>
      <c r="AM154" s="773"/>
    </row>
    <row r="155" spans="38:39" ht="11.25" customHeight="1">
      <c r="AL155" s="773"/>
      <c r="AM155" s="773"/>
    </row>
    <row r="156" spans="38:39" ht="15" customHeight="1">
      <c r="AL156" s="773"/>
      <c r="AM156" s="773"/>
    </row>
    <row r="157" spans="38:39" ht="15" customHeight="1">
      <c r="AL157" s="773"/>
      <c r="AM157" s="773"/>
    </row>
    <row r="158" spans="38:39" ht="15" customHeight="1"/>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5" min="1" max="37" man="1"/>
  </rowBreaks>
  <ignoredErrors>
    <ignoredError sqref="AL42 AL55 AL47 AL67 AL36 AL38:AL40 AL24:AL25 AL20 AL28:AL35" unlockedFormula="1"/>
    <ignoredError sqref="AL80" evalError="1"/>
    <ignoredError sqref="AL74:AL75 AL23 AL51 AJ71:AK71 AJ73:AK73 AM73 AJ72:AK72 AM72 AJ70:AK70 AM70 AM71 AL71 AL73 AL69:AL70 AL72 AL58:AL60 AL62:AL66" formula="1"/>
    <ignoredError sqref="AL61 AL22"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1:AY142"/>
  <sheetViews>
    <sheetView showGridLines="0" zoomScale="80" zoomScaleNormal="70" workbookViewId="0"/>
  </sheetViews>
  <sheetFormatPr defaultColWidth="8.84375" defaultRowHeight="12.5"/>
  <cols>
    <col min="1" max="1" width="1.84375" style="244" customWidth="1"/>
    <col min="2" max="2" width="44.84375" style="244" customWidth="1"/>
    <col min="3" max="3" width="1.84375" style="244" customWidth="1"/>
    <col min="4" max="4" width="15.07421875" style="244" bestFit="1" customWidth="1"/>
    <col min="5" max="5" width="1.84375" style="244" customWidth="1"/>
    <col min="6" max="6" width="12" style="244" customWidth="1"/>
    <col min="7" max="7" width="1.84375" style="244" customWidth="1"/>
    <col min="8" max="8" width="11.07421875" style="244" bestFit="1" customWidth="1"/>
    <col min="9" max="9" width="1.84375" style="244" customWidth="1"/>
    <col min="10" max="10" width="11" style="244" customWidth="1"/>
    <col min="11" max="11" width="1.84375" style="244" customWidth="1"/>
    <col min="12" max="12" width="11.07421875" style="244" customWidth="1"/>
    <col min="13" max="13" width="1.84375" style="244" customWidth="1"/>
    <col min="14" max="14" width="12.07421875" style="244" customWidth="1"/>
    <col min="15" max="15" width="1.84375" style="244" customWidth="1"/>
    <col min="16" max="16" width="11" style="244" bestFit="1" customWidth="1"/>
    <col min="17" max="17" width="1.84375" style="244" customWidth="1"/>
    <col min="18" max="18" width="11.53515625" style="244" bestFit="1" customWidth="1"/>
    <col min="19" max="19" width="1.84375" style="244" customWidth="1"/>
    <col min="20" max="20" width="11.4609375" style="244" customWidth="1"/>
    <col min="21" max="21" width="1.84375" style="244" customWidth="1"/>
    <col min="22" max="22" width="11.07421875" style="244" customWidth="1"/>
    <col min="23" max="23" width="1.84375" style="244" customWidth="1"/>
    <col min="24" max="24" width="11.07421875" style="244" bestFit="1" customWidth="1"/>
    <col min="25" max="25" width="1.84375" style="244" customWidth="1"/>
    <col min="26" max="26" width="10.84375" style="244" bestFit="1" customWidth="1"/>
    <col min="27" max="27" width="1" style="244" customWidth="1"/>
    <col min="28" max="29" width="1.84375" style="244" customWidth="1"/>
    <col min="30" max="30" width="12.07421875" style="876" customWidth="1"/>
    <col min="31" max="32" width="1.07421875" style="876" customWidth="1"/>
    <col min="33" max="33" width="11.84375" style="876" customWidth="1"/>
    <col min="34" max="34" width="1.4609375" style="244" customWidth="1"/>
    <col min="35" max="35" width="0.84375" style="244" customWidth="1"/>
    <col min="36" max="36" width="13.07421875" style="244" bestFit="1" customWidth="1"/>
    <col min="37" max="37" width="0.84375" style="244" customWidth="1"/>
    <col min="38" max="38" width="13.84375" style="773" bestFit="1" customWidth="1"/>
    <col min="39" max="16384" width="8.84375" style="244"/>
  </cols>
  <sheetData>
    <row r="1" spans="1:41" ht="15.5">
      <c r="B1" s="635" t="s">
        <v>882</v>
      </c>
    </row>
    <row r="2" spans="1:41" ht="15.5">
      <c r="A2" s="243"/>
      <c r="M2" s="26"/>
      <c r="N2" s="26"/>
      <c r="O2" s="262"/>
    </row>
    <row r="3" spans="1:41" ht="18">
      <c r="A3" s="243"/>
      <c r="B3" s="246" t="s">
        <v>0</v>
      </c>
      <c r="M3" s="26"/>
      <c r="N3" s="26"/>
      <c r="O3" s="262"/>
      <c r="AF3" s="3069"/>
      <c r="AG3" s="3413"/>
      <c r="AH3" s="285"/>
      <c r="AI3" s="285"/>
      <c r="AJ3" s="285"/>
      <c r="AK3" s="285"/>
      <c r="AL3" s="247" t="s">
        <v>167</v>
      </c>
    </row>
    <row r="4" spans="1:41" ht="18">
      <c r="A4" s="243"/>
      <c r="B4" s="246" t="s">
        <v>176</v>
      </c>
      <c r="L4" s="26"/>
      <c r="M4" s="26"/>
      <c r="O4" s="262"/>
    </row>
    <row r="5" spans="1:41" ht="18">
      <c r="A5" s="243"/>
      <c r="B5" s="1518" t="s">
        <v>147</v>
      </c>
      <c r="L5" s="262"/>
      <c r="M5" s="262"/>
      <c r="O5" s="262"/>
      <c r="X5" s="286"/>
    </row>
    <row r="6" spans="1:41" ht="20">
      <c r="A6" s="243"/>
      <c r="B6" s="1518" t="str">
        <f>'Cashflow Governmental'!A6</f>
        <v xml:space="preserve">FISCAL YEAR 2021-2022   </v>
      </c>
      <c r="L6" s="262"/>
      <c r="M6" s="262"/>
      <c r="O6" s="262"/>
      <c r="AL6" s="774"/>
    </row>
    <row r="7" spans="1:41" ht="18">
      <c r="A7" s="243"/>
      <c r="B7" s="246" t="s">
        <v>1280</v>
      </c>
      <c r="AI7" s="147"/>
      <c r="AJ7" s="147"/>
      <c r="AK7" s="147"/>
      <c r="AL7" s="775"/>
    </row>
    <row r="8" spans="1:41" ht="13.5" customHeight="1">
      <c r="A8" s="243"/>
      <c r="B8" s="293"/>
      <c r="AI8" s="147"/>
      <c r="AJ8" s="147"/>
      <c r="AK8" s="147"/>
      <c r="AL8" s="775"/>
    </row>
    <row r="9" spans="1:41" ht="15.5">
      <c r="A9" s="243"/>
      <c r="L9" s="262"/>
      <c r="M9" s="262"/>
      <c r="N9" s="262"/>
      <c r="O9" s="262"/>
      <c r="AC9" s="3967" t="str">
        <f>'Exhibit G'!AC9:AL9</f>
        <v>6 Months Ended September 30</v>
      </c>
      <c r="AD9" s="3967"/>
      <c r="AE9" s="3967"/>
      <c r="AF9" s="3967"/>
      <c r="AG9" s="3967"/>
      <c r="AH9" s="3967"/>
      <c r="AI9" s="3967"/>
      <c r="AJ9" s="3967"/>
      <c r="AK9" s="3967"/>
      <c r="AL9" s="3967"/>
    </row>
    <row r="10" spans="1:41" ht="15.5">
      <c r="A10" s="243"/>
      <c r="B10" s="27"/>
      <c r="C10" s="27"/>
      <c r="D10" s="735" t="str">
        <f>'Cashflow Governmental'!C13</f>
        <v>2021</v>
      </c>
      <c r="E10" s="26"/>
      <c r="F10" s="26"/>
      <c r="G10" s="26"/>
      <c r="H10" s="26"/>
      <c r="I10" s="26"/>
      <c r="J10" s="26"/>
      <c r="K10" s="26"/>
      <c r="L10" s="26"/>
      <c r="M10" s="26"/>
      <c r="N10" s="26"/>
      <c r="O10" s="26"/>
      <c r="P10" s="26"/>
      <c r="Q10" s="26"/>
      <c r="R10" s="26"/>
      <c r="S10" s="26"/>
      <c r="T10" s="26"/>
      <c r="U10" s="26"/>
      <c r="V10" s="735">
        <f>'Cashflow Governmental'!U13</f>
        <v>2022</v>
      </c>
      <c r="W10" s="26"/>
      <c r="X10" s="26"/>
      <c r="Y10" s="26"/>
      <c r="Z10" s="26"/>
      <c r="AA10" s="26"/>
      <c r="AB10" s="26"/>
      <c r="AC10" s="26"/>
      <c r="AD10" s="3126"/>
      <c r="AE10" s="3126"/>
      <c r="AF10" s="3126"/>
      <c r="AG10" s="3126"/>
      <c r="AH10" s="207"/>
      <c r="AI10" s="206"/>
      <c r="AJ10" s="739" t="s">
        <v>7</v>
      </c>
      <c r="AK10" s="739"/>
      <c r="AL10" s="776" t="s">
        <v>8</v>
      </c>
      <c r="AM10" s="742"/>
      <c r="AN10" s="742"/>
      <c r="AO10" s="742"/>
    </row>
    <row r="11" spans="1:41" ht="15.5">
      <c r="A11" s="243"/>
      <c r="B11" s="27"/>
      <c r="C11" s="27"/>
      <c r="D11" s="726" t="s">
        <v>123</v>
      </c>
      <c r="E11" s="26"/>
      <c r="F11" s="726" t="s">
        <v>124</v>
      </c>
      <c r="G11" s="26"/>
      <c r="H11" s="726" t="s">
        <v>125</v>
      </c>
      <c r="I11" s="26"/>
      <c r="J11" s="726" t="s">
        <v>126</v>
      </c>
      <c r="K11" s="26"/>
      <c r="L11" s="726" t="s">
        <v>127</v>
      </c>
      <c r="M11" s="26"/>
      <c r="N11" s="726" t="s">
        <v>142</v>
      </c>
      <c r="O11" s="26"/>
      <c r="P11" s="726" t="s">
        <v>143</v>
      </c>
      <c r="Q11" s="26"/>
      <c r="R11" s="726" t="s">
        <v>130</v>
      </c>
      <c r="S11" s="26"/>
      <c r="T11" s="726" t="s">
        <v>131</v>
      </c>
      <c r="U11" s="26"/>
      <c r="V11" s="726" t="s">
        <v>132</v>
      </c>
      <c r="W11" s="26"/>
      <c r="X11" s="726" t="s">
        <v>133</v>
      </c>
      <c r="Y11" s="26"/>
      <c r="Z11" s="726" t="s">
        <v>184</v>
      </c>
      <c r="AA11" s="726"/>
      <c r="AB11" s="26"/>
      <c r="AC11" s="26"/>
      <c r="AD11" s="730">
        <f>'Cashflow Governmental'!AB14</f>
        <v>2021</v>
      </c>
      <c r="AE11" s="730"/>
      <c r="AF11" s="102" t="s">
        <v>14</v>
      </c>
      <c r="AG11" s="730">
        <f>'Cashflow Governmental'!AE14</f>
        <v>2020</v>
      </c>
      <c r="AH11" s="725"/>
      <c r="AI11" s="206"/>
      <c r="AJ11" s="744" t="s">
        <v>11</v>
      </c>
      <c r="AK11" s="738"/>
      <c r="AL11" s="777" t="s">
        <v>12</v>
      </c>
      <c r="AM11" s="742"/>
      <c r="AN11" s="742"/>
      <c r="AO11" s="742"/>
    </row>
    <row r="12" spans="1:41" ht="6.75" customHeight="1">
      <c r="A12" s="243"/>
      <c r="B12" s="27"/>
      <c r="C12" s="27"/>
      <c r="D12" s="40"/>
      <c r="E12" s="27"/>
      <c r="F12" s="40"/>
      <c r="G12" s="27"/>
      <c r="H12" s="40"/>
      <c r="I12" s="27"/>
      <c r="J12" s="40"/>
      <c r="K12" s="27"/>
      <c r="L12" s="40"/>
      <c r="M12" s="27"/>
      <c r="N12" s="267"/>
      <c r="O12" s="27"/>
      <c r="P12" s="40"/>
      <c r="Q12" s="27"/>
      <c r="R12" s="40"/>
      <c r="S12" s="27"/>
      <c r="T12" s="40"/>
      <c r="U12" s="27"/>
      <c r="V12" s="40"/>
      <c r="W12" s="27"/>
      <c r="X12" s="40"/>
      <c r="Y12" s="27"/>
      <c r="Z12" s="40"/>
      <c r="AA12" s="34"/>
      <c r="AB12" s="27"/>
      <c r="AC12" s="1048"/>
      <c r="AD12" s="3143"/>
      <c r="AE12" s="3143"/>
      <c r="AF12" s="3133"/>
      <c r="AG12" s="3143"/>
      <c r="AH12" s="34"/>
      <c r="AI12" s="268"/>
      <c r="AJ12" s="27"/>
      <c r="AK12" s="27"/>
      <c r="AL12" s="261"/>
    </row>
    <row r="13" spans="1:41" ht="15.5">
      <c r="A13" s="243"/>
      <c r="B13" s="1835" t="s">
        <v>1169</v>
      </c>
      <c r="C13" s="27"/>
      <c r="D13" s="303">
        <v>4960.7</v>
      </c>
      <c r="E13" s="27"/>
      <c r="F13" s="216">
        <f>D94</f>
        <v>7300.6</v>
      </c>
      <c r="G13" s="27"/>
      <c r="H13" s="216">
        <f>F94</f>
        <v>20207.8</v>
      </c>
      <c r="I13" s="27"/>
      <c r="J13" s="216">
        <f>H94</f>
        <v>19723.2</v>
      </c>
      <c r="K13" s="27"/>
      <c r="L13" s="216">
        <f>J94</f>
        <v>19231.599999999999</v>
      </c>
      <c r="M13" s="27"/>
      <c r="N13" s="216">
        <f>L94</f>
        <v>18591.7</v>
      </c>
      <c r="O13" s="27"/>
      <c r="P13" s="216"/>
      <c r="Q13" s="27"/>
      <c r="R13" s="216"/>
      <c r="S13" s="27"/>
      <c r="T13" s="216"/>
      <c r="U13" s="27"/>
      <c r="V13" s="216"/>
      <c r="W13" s="27"/>
      <c r="X13" s="216"/>
      <c r="Y13" s="27"/>
      <c r="Z13" s="216"/>
      <c r="AA13" s="34"/>
      <c r="AB13" s="27"/>
      <c r="AC13" s="1048"/>
      <c r="AD13" s="136">
        <f>D13</f>
        <v>4960.7</v>
      </c>
      <c r="AE13" s="1078"/>
      <c r="AF13" s="3133"/>
      <c r="AG13" s="136">
        <v>911.4</v>
      </c>
      <c r="AH13" s="34"/>
      <c r="AI13" s="268"/>
      <c r="AJ13" s="91">
        <f>+AD13-AG13</f>
        <v>4049.2999999999997</v>
      </c>
      <c r="AK13" s="27"/>
      <c r="AL13" s="270">
        <f>-AJ13/AG13</f>
        <v>-4.4429449199034448</v>
      </c>
    </row>
    <row r="14" spans="1:41" ht="15.5">
      <c r="A14" s="243"/>
      <c r="B14" s="1835"/>
      <c r="C14" s="27"/>
      <c r="D14" s="34"/>
      <c r="E14" s="27"/>
      <c r="F14" s="34"/>
      <c r="G14" s="27"/>
      <c r="H14" s="34"/>
      <c r="I14" s="27"/>
      <c r="J14" s="34"/>
      <c r="K14" s="27"/>
      <c r="L14" s="34"/>
      <c r="M14" s="27"/>
      <c r="N14" s="1047"/>
      <c r="O14" s="27"/>
      <c r="P14" s="34"/>
      <c r="Q14" s="27"/>
      <c r="R14" s="34"/>
      <c r="S14" s="27"/>
      <c r="T14" s="34"/>
      <c r="U14" s="27"/>
      <c r="V14" s="34"/>
      <c r="W14" s="27"/>
      <c r="X14" s="34"/>
      <c r="Y14" s="27"/>
      <c r="Z14" s="34"/>
      <c r="AA14" s="34"/>
      <c r="AB14" s="1845"/>
      <c r="AC14" s="34"/>
      <c r="AD14" s="1078"/>
      <c r="AE14" s="1078"/>
      <c r="AF14" s="3133"/>
      <c r="AG14" s="1078"/>
      <c r="AH14" s="271"/>
      <c r="AI14" s="34"/>
      <c r="AJ14" s="27"/>
      <c r="AK14" s="27"/>
      <c r="AL14" s="261"/>
    </row>
    <row r="15" spans="1:41" ht="15" customHeight="1">
      <c r="A15" s="147"/>
      <c r="B15" s="26" t="s">
        <v>13</v>
      </c>
      <c r="C15" s="28"/>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09"/>
      <c r="AD15" s="103"/>
      <c r="AE15" s="103"/>
      <c r="AF15" s="3134"/>
      <c r="AG15" s="103"/>
      <c r="AH15" s="290"/>
      <c r="AI15" s="34"/>
      <c r="AJ15" s="289"/>
      <c r="AK15" s="289"/>
      <c r="AL15" s="295"/>
    </row>
    <row r="16" spans="1:41" ht="7.5" customHeight="1">
      <c r="A16" s="147"/>
      <c r="B16" s="28"/>
      <c r="C16" s="28"/>
      <c r="D16" s="167"/>
      <c r="E16" s="162"/>
      <c r="F16" s="167"/>
      <c r="G16" s="162"/>
      <c r="H16" s="167"/>
      <c r="I16" s="162"/>
      <c r="J16" s="167"/>
      <c r="K16" s="162"/>
      <c r="L16" s="167"/>
      <c r="M16" s="162"/>
      <c r="N16" s="167"/>
      <c r="O16" s="162"/>
      <c r="P16" s="167"/>
      <c r="Q16" s="162"/>
      <c r="R16" s="167"/>
      <c r="S16" s="162"/>
      <c r="T16" s="167"/>
      <c r="U16" s="162"/>
      <c r="V16" s="167"/>
      <c r="W16" s="63"/>
      <c r="X16" s="167"/>
      <c r="Y16" s="63"/>
      <c r="Z16" s="167"/>
      <c r="AA16" s="167"/>
      <c r="AB16" s="162"/>
      <c r="AC16" s="249"/>
      <c r="AD16" s="115"/>
      <c r="AE16" s="3144"/>
      <c r="AF16" s="3147"/>
      <c r="AG16" s="354"/>
      <c r="AH16" s="290"/>
      <c r="AI16" s="34"/>
      <c r="AJ16" s="932"/>
      <c r="AK16" s="634"/>
      <c r="AL16" s="899"/>
    </row>
    <row r="17" spans="1:39" ht="15" customHeight="1">
      <c r="A17" s="147"/>
      <c r="B17" s="258" t="s">
        <v>930</v>
      </c>
      <c r="C17" s="28"/>
      <c r="D17" s="74"/>
      <c r="E17" s="162"/>
      <c r="F17" s="167"/>
      <c r="G17" s="162"/>
      <c r="H17" s="137"/>
      <c r="I17" s="162"/>
      <c r="J17" s="137"/>
      <c r="K17" s="162"/>
      <c r="L17" s="137"/>
      <c r="M17" s="162"/>
      <c r="N17" s="137"/>
      <c r="O17" s="162"/>
      <c r="P17" s="294"/>
      <c r="Q17" s="162"/>
      <c r="R17" s="166"/>
      <c r="S17" s="162"/>
      <c r="T17" s="167"/>
      <c r="U17" s="162"/>
      <c r="V17" s="74"/>
      <c r="W17" s="63"/>
      <c r="X17" s="74"/>
      <c r="Y17" s="63"/>
      <c r="Z17" s="74"/>
      <c r="AA17" s="74"/>
      <c r="AB17" s="162"/>
      <c r="AC17" s="249"/>
      <c r="AD17" s="115"/>
      <c r="AE17" s="115"/>
      <c r="AF17" s="1061"/>
      <c r="AG17" s="115"/>
      <c r="AH17" s="272"/>
      <c r="AI17" s="53"/>
      <c r="AJ17" s="932"/>
      <c r="AK17" s="932"/>
      <c r="AL17" s="659"/>
    </row>
    <row r="18" spans="1:39" ht="15" customHeight="1">
      <c r="A18" s="147"/>
      <c r="B18" s="881" t="s">
        <v>1049</v>
      </c>
      <c r="C18" s="28"/>
      <c r="D18" s="671" t="s">
        <v>14</v>
      </c>
      <c r="E18" s="162"/>
      <c r="F18" s="167"/>
      <c r="G18" s="162"/>
      <c r="H18" s="137"/>
      <c r="I18" s="162"/>
      <c r="J18" s="137"/>
      <c r="K18" s="162"/>
      <c r="L18" s="137"/>
      <c r="M18" s="162"/>
      <c r="N18" s="137"/>
      <c r="O18" s="162"/>
      <c r="P18" s="294"/>
      <c r="Q18" s="162"/>
      <c r="R18" s="166"/>
      <c r="S18" s="162"/>
      <c r="T18" s="167"/>
      <c r="U18" s="162"/>
      <c r="V18" s="74"/>
      <c r="W18" s="63"/>
      <c r="X18" s="74"/>
      <c r="Y18" s="63"/>
      <c r="Z18" s="74"/>
      <c r="AA18" s="74"/>
      <c r="AB18" s="162"/>
      <c r="AC18" s="249"/>
      <c r="AD18" s="115"/>
      <c r="AE18" s="115"/>
      <c r="AF18" s="1061"/>
      <c r="AG18" s="115"/>
      <c r="AH18" s="272"/>
      <c r="AI18" s="53"/>
      <c r="AJ18" s="932"/>
      <c r="AK18" s="932"/>
      <c r="AL18" s="659"/>
    </row>
    <row r="19" spans="1:39" ht="15" customHeight="1">
      <c r="A19" s="147"/>
      <c r="B19" s="881" t="s">
        <v>963</v>
      </c>
      <c r="C19" s="28"/>
      <c r="D19" s="673">
        <v>0</v>
      </c>
      <c r="E19" s="883"/>
      <c r="F19" s="3863">
        <v>0</v>
      </c>
      <c r="G19" s="884"/>
      <c r="H19" s="3863">
        <v>0</v>
      </c>
      <c r="I19" s="884"/>
      <c r="J19" s="3863">
        <v>0</v>
      </c>
      <c r="K19" s="1521"/>
      <c r="L19" s="3863">
        <v>0</v>
      </c>
      <c r="M19" s="1521"/>
      <c r="N19" s="3863">
        <f>$AD19-$D19-$F19-$H19-$J19-$L19</f>
        <v>0</v>
      </c>
      <c r="O19" s="1780"/>
      <c r="P19" s="1773"/>
      <c r="Q19" s="1971"/>
      <c r="R19" s="1773"/>
      <c r="S19" s="1971"/>
      <c r="T19" s="1773"/>
      <c r="U19" s="1971"/>
      <c r="V19" s="1773"/>
      <c r="W19" s="1971"/>
      <c r="X19" s="1773"/>
      <c r="Y19" s="1971"/>
      <c r="Z19" s="1773"/>
      <c r="AA19" s="1972"/>
      <c r="AB19" s="1826"/>
      <c r="AC19" s="1973"/>
      <c r="AD19" s="1773">
        <v>0</v>
      </c>
      <c r="AE19" s="1984"/>
      <c r="AF19" s="1986"/>
      <c r="AG19" s="1773">
        <v>0</v>
      </c>
      <c r="AH19" s="1365"/>
      <c r="AI19" s="932"/>
      <c r="AJ19" s="884">
        <f>ROUND(SUM(+AD19-AG19),1)</f>
        <v>0</v>
      </c>
      <c r="AK19" s="932"/>
      <c r="AL19" s="1424">
        <f>ROUND(IF(AG19=0,0,AJ19/ABS(AG19)),3)</f>
        <v>0</v>
      </c>
    </row>
    <row r="20" spans="1:39" s="876" customFormat="1" ht="15" customHeight="1">
      <c r="A20" s="1059"/>
      <c r="B20" s="881" t="s">
        <v>1050</v>
      </c>
      <c r="C20" s="104"/>
      <c r="D20" s="673" t="s">
        <v>14</v>
      </c>
      <c r="E20" s="804"/>
      <c r="F20" s="673"/>
      <c r="G20" s="804"/>
      <c r="H20" s="673"/>
      <c r="I20" s="804"/>
      <c r="J20" s="3863"/>
      <c r="K20" s="137"/>
      <c r="L20" s="673"/>
      <c r="M20" s="137"/>
      <c r="N20" s="673"/>
      <c r="O20" s="137"/>
      <c r="P20" s="1773"/>
      <c r="Q20" s="1975"/>
      <c r="R20" s="1773"/>
      <c r="S20" s="1975"/>
      <c r="T20" s="1773"/>
      <c r="U20" s="1975"/>
      <c r="V20" s="1773"/>
      <c r="W20" s="1979"/>
      <c r="X20" s="1773"/>
      <c r="Y20" s="1979"/>
      <c r="Z20" s="1773"/>
      <c r="AA20" s="1978"/>
      <c r="AB20" s="1975"/>
      <c r="AC20" s="1980"/>
      <c r="AD20" s="1979"/>
      <c r="AE20" s="1979"/>
      <c r="AF20" s="1981"/>
      <c r="AG20" s="1979"/>
      <c r="AH20" s="1062"/>
      <c r="AI20" s="64"/>
      <c r="AJ20" s="1013"/>
      <c r="AK20" s="1013"/>
      <c r="AL20" s="1434"/>
    </row>
    <row r="21" spans="1:39" s="876" customFormat="1" ht="15" customHeight="1">
      <c r="A21" s="1059"/>
      <c r="B21" s="881" t="s">
        <v>965</v>
      </c>
      <c r="C21" s="104"/>
      <c r="D21" s="673">
        <v>5.5</v>
      </c>
      <c r="E21" s="804"/>
      <c r="F21" s="673">
        <v>35.6</v>
      </c>
      <c r="G21" s="804"/>
      <c r="H21" s="673">
        <v>0.10000000000000142</v>
      </c>
      <c r="I21" s="804"/>
      <c r="J21" s="3863">
        <v>2</v>
      </c>
      <c r="K21" s="1521"/>
      <c r="L21" s="3863">
        <v>11</v>
      </c>
      <c r="M21" s="1521"/>
      <c r="N21" s="3863">
        <f t="shared" ref="N21:N51" si="0">$AD21-$D21-$F21-$H21-$J21-$L21</f>
        <v>9.9999999999994316E-2</v>
      </c>
      <c r="O21" s="1521"/>
      <c r="P21" s="1773"/>
      <c r="Q21" s="1982"/>
      <c r="R21" s="1773"/>
      <c r="S21" s="1982"/>
      <c r="T21" s="1773"/>
      <c r="U21" s="1982"/>
      <c r="V21" s="1773"/>
      <c r="W21" s="1982"/>
      <c r="X21" s="1773"/>
      <c r="Y21" s="1982"/>
      <c r="Z21" s="1773"/>
      <c r="AA21" s="1983"/>
      <c r="AB21" s="1984"/>
      <c r="AC21" s="1985"/>
      <c r="AD21" s="1773">
        <v>54.3</v>
      </c>
      <c r="AE21" s="1984"/>
      <c r="AF21" s="1986"/>
      <c r="AG21" s="1773">
        <v>54.2</v>
      </c>
      <c r="AH21" s="1062"/>
      <c r="AI21" s="64"/>
      <c r="AJ21" s="1013">
        <f>ROUND(SUM(+AD21-AG21),1)</f>
        <v>0.1</v>
      </c>
      <c r="AK21" s="1013"/>
      <c r="AL21" s="1708">
        <f>ROUND(IF(AG21=0,0,AJ21/ABS(AG21)),3)</f>
        <v>2E-3</v>
      </c>
      <c r="AM21" s="1792"/>
    </row>
    <row r="22" spans="1:39" ht="15" customHeight="1">
      <c r="A22" s="147"/>
      <c r="B22" s="881" t="s">
        <v>966</v>
      </c>
      <c r="C22" s="28"/>
      <c r="D22" s="673">
        <v>0</v>
      </c>
      <c r="E22" s="804"/>
      <c r="F22" s="673">
        <v>0</v>
      </c>
      <c r="G22" s="804"/>
      <c r="H22" s="673">
        <v>0</v>
      </c>
      <c r="I22" s="804"/>
      <c r="J22" s="3863">
        <v>0</v>
      </c>
      <c r="K22" s="1521"/>
      <c r="L22" s="3863">
        <v>0</v>
      </c>
      <c r="M22" s="1521"/>
      <c r="N22" s="3863">
        <f t="shared" si="0"/>
        <v>0</v>
      </c>
      <c r="O22" s="1521"/>
      <c r="P22" s="1773"/>
      <c r="Q22" s="1982"/>
      <c r="R22" s="1773"/>
      <c r="S22" s="1982"/>
      <c r="T22" s="1773"/>
      <c r="U22" s="1982"/>
      <c r="V22" s="1773"/>
      <c r="W22" s="1982"/>
      <c r="X22" s="1773"/>
      <c r="Y22" s="1982"/>
      <c r="Z22" s="1773"/>
      <c r="AA22" s="1983"/>
      <c r="AB22" s="1984"/>
      <c r="AC22" s="1985"/>
      <c r="AD22" s="1773">
        <v>0</v>
      </c>
      <c r="AE22" s="1984"/>
      <c r="AF22" s="1986"/>
      <c r="AG22" s="1773">
        <v>0</v>
      </c>
      <c r="AH22" s="272"/>
      <c r="AI22" s="53"/>
      <c r="AJ22" s="932">
        <f t="shared" ref="AJ22:AJ51" si="1">ROUND(SUM(+AD22-AG22),1)</f>
        <v>0</v>
      </c>
      <c r="AK22" s="932"/>
      <c r="AL22" s="1424">
        <f>ROUND(IF(AG22=0,0,AJ22/ABS(AG22)),3)</f>
        <v>0</v>
      </c>
    </row>
    <row r="23" spans="1:39" ht="15" customHeight="1">
      <c r="A23" s="147"/>
      <c r="B23" s="881" t="s">
        <v>967</v>
      </c>
      <c r="C23" s="28"/>
      <c r="D23" s="673">
        <v>0</v>
      </c>
      <c r="E23" s="804"/>
      <c r="F23" s="673">
        <v>0</v>
      </c>
      <c r="G23" s="804"/>
      <c r="H23" s="673">
        <v>0</v>
      </c>
      <c r="I23" s="804"/>
      <c r="J23" s="3863">
        <v>0</v>
      </c>
      <c r="K23" s="1521"/>
      <c r="L23" s="3863">
        <v>0</v>
      </c>
      <c r="M23" s="1521"/>
      <c r="N23" s="3863">
        <f t="shared" si="0"/>
        <v>0</v>
      </c>
      <c r="O23" s="1521"/>
      <c r="P23" s="1773"/>
      <c r="Q23" s="1982"/>
      <c r="R23" s="1773"/>
      <c r="S23" s="1982"/>
      <c r="T23" s="1773"/>
      <c r="U23" s="1982"/>
      <c r="V23" s="1773"/>
      <c r="W23" s="1982"/>
      <c r="X23" s="1773"/>
      <c r="Y23" s="1982"/>
      <c r="Z23" s="1773"/>
      <c r="AA23" s="1983"/>
      <c r="AB23" s="1984"/>
      <c r="AC23" s="1985"/>
      <c r="AD23" s="1773">
        <v>0</v>
      </c>
      <c r="AE23" s="1984"/>
      <c r="AF23" s="1986"/>
      <c r="AG23" s="1773">
        <v>0</v>
      </c>
      <c r="AH23" s="272"/>
      <c r="AI23" s="53"/>
      <c r="AJ23" s="932">
        <f t="shared" si="1"/>
        <v>0</v>
      </c>
      <c r="AK23" s="932"/>
      <c r="AL23" s="1424">
        <f>ROUND(IF(AG23=0,0,AJ23/ABS(AG23)),3)</f>
        <v>0</v>
      </c>
    </row>
    <row r="24" spans="1:39" ht="15" customHeight="1">
      <c r="A24" s="147"/>
      <c r="B24" s="881" t="s">
        <v>968</v>
      </c>
      <c r="C24" s="28"/>
      <c r="D24" s="673">
        <v>0</v>
      </c>
      <c r="E24" s="804"/>
      <c r="F24" s="673">
        <v>0</v>
      </c>
      <c r="G24" s="804"/>
      <c r="H24" s="673">
        <v>0</v>
      </c>
      <c r="I24" s="804"/>
      <c r="J24" s="3863">
        <v>0</v>
      </c>
      <c r="K24" s="1521"/>
      <c r="L24" s="3863">
        <v>0</v>
      </c>
      <c r="M24" s="1521"/>
      <c r="N24" s="3863">
        <f t="shared" si="0"/>
        <v>0</v>
      </c>
      <c r="O24" s="1521"/>
      <c r="P24" s="1773"/>
      <c r="Q24" s="1982"/>
      <c r="R24" s="1773"/>
      <c r="S24" s="1982"/>
      <c r="T24" s="1773"/>
      <c r="U24" s="1982"/>
      <c r="V24" s="1773"/>
      <c r="W24" s="1982"/>
      <c r="X24" s="1773"/>
      <c r="Y24" s="1982"/>
      <c r="Z24" s="1773"/>
      <c r="AA24" s="1983"/>
      <c r="AB24" s="1984"/>
      <c r="AC24" s="1985"/>
      <c r="AD24" s="1773">
        <v>0</v>
      </c>
      <c r="AE24" s="1984"/>
      <c r="AF24" s="1986"/>
      <c r="AG24" s="1773">
        <v>0</v>
      </c>
      <c r="AH24" s="272"/>
      <c r="AI24" s="53"/>
      <c r="AJ24" s="932">
        <f t="shared" si="1"/>
        <v>0</v>
      </c>
      <c r="AK24" s="932"/>
      <c r="AL24" s="1424">
        <f>ROUND(IF(AG24=0,0,AJ24/ABS(AG24)),3)</f>
        <v>0</v>
      </c>
    </row>
    <row r="25" spans="1:39" ht="15" customHeight="1">
      <c r="A25" s="147"/>
      <c r="B25" s="881" t="s">
        <v>1055</v>
      </c>
      <c r="C25" s="28"/>
      <c r="D25" s="673" t="s">
        <v>14</v>
      </c>
      <c r="E25" s="804"/>
      <c r="F25" s="673"/>
      <c r="G25" s="804"/>
      <c r="H25" s="673"/>
      <c r="I25" s="804"/>
      <c r="J25" s="3863"/>
      <c r="K25" s="137"/>
      <c r="L25" s="3863"/>
      <c r="M25" s="137"/>
      <c r="N25" s="3863"/>
      <c r="O25" s="137"/>
      <c r="P25" s="1773"/>
      <c r="Q25" s="1975"/>
      <c r="R25" s="1773"/>
      <c r="S25" s="1975"/>
      <c r="T25" s="1773"/>
      <c r="U25" s="1975"/>
      <c r="V25" s="1773"/>
      <c r="W25" s="1979"/>
      <c r="X25" s="1773"/>
      <c r="Y25" s="1979"/>
      <c r="Z25" s="1773"/>
      <c r="AA25" s="1978"/>
      <c r="AB25" s="1975"/>
      <c r="AC25" s="1980"/>
      <c r="AD25" s="1979"/>
      <c r="AE25" s="1979"/>
      <c r="AF25" s="1981"/>
      <c r="AG25" s="1979"/>
      <c r="AH25" s="272"/>
      <c r="AI25" s="53"/>
      <c r="AJ25" s="932"/>
      <c r="AK25" s="932"/>
      <c r="AL25" s="1424"/>
    </row>
    <row r="26" spans="1:39" ht="15" customHeight="1">
      <c r="A26" s="147"/>
      <c r="B26" s="881" t="s">
        <v>969</v>
      </c>
      <c r="C26" s="28"/>
      <c r="D26" s="673">
        <v>0</v>
      </c>
      <c r="E26" s="804"/>
      <c r="F26" s="673">
        <v>0</v>
      </c>
      <c r="G26" s="804"/>
      <c r="H26" s="673">
        <v>0</v>
      </c>
      <c r="I26" s="804"/>
      <c r="J26" s="3863">
        <v>0</v>
      </c>
      <c r="K26" s="1521"/>
      <c r="L26" s="3863">
        <v>0</v>
      </c>
      <c r="M26" s="1521"/>
      <c r="N26" s="3863">
        <f t="shared" si="0"/>
        <v>0</v>
      </c>
      <c r="O26" s="1521"/>
      <c r="P26" s="1773"/>
      <c r="Q26" s="1982"/>
      <c r="R26" s="1773"/>
      <c r="S26" s="1982"/>
      <c r="T26" s="1773"/>
      <c r="U26" s="1982"/>
      <c r="V26" s="1773"/>
      <c r="W26" s="1982"/>
      <c r="X26" s="1773"/>
      <c r="Y26" s="1982"/>
      <c r="Z26" s="1773"/>
      <c r="AA26" s="1983"/>
      <c r="AB26" s="1984"/>
      <c r="AC26" s="1985"/>
      <c r="AD26" s="1773">
        <v>0</v>
      </c>
      <c r="AE26" s="1984"/>
      <c r="AF26" s="1986"/>
      <c r="AG26" s="1773">
        <v>0</v>
      </c>
      <c r="AH26" s="272"/>
      <c r="AI26" s="53"/>
      <c r="AJ26" s="932">
        <f t="shared" si="1"/>
        <v>0</v>
      </c>
      <c r="AK26" s="932"/>
      <c r="AL26" s="1424">
        <f t="shared" ref="AL26:AL31" si="2">ROUND(IF(AG26=0,0,AJ26/ABS(AG26)),3)</f>
        <v>0</v>
      </c>
    </row>
    <row r="27" spans="1:39" ht="15" customHeight="1">
      <c r="A27" s="147"/>
      <c r="B27" s="881" t="s">
        <v>970</v>
      </c>
      <c r="C27" s="28"/>
      <c r="D27" s="673">
        <v>0</v>
      </c>
      <c r="E27" s="804"/>
      <c r="F27" s="673">
        <v>0</v>
      </c>
      <c r="G27" s="804"/>
      <c r="H27" s="673">
        <v>0</v>
      </c>
      <c r="I27" s="804"/>
      <c r="J27" s="3863">
        <v>0</v>
      </c>
      <c r="K27" s="1521"/>
      <c r="L27" s="3863">
        <v>0</v>
      </c>
      <c r="M27" s="1521"/>
      <c r="N27" s="3863">
        <f t="shared" si="0"/>
        <v>0</v>
      </c>
      <c r="O27" s="1521"/>
      <c r="P27" s="1773"/>
      <c r="Q27" s="1982"/>
      <c r="R27" s="1773"/>
      <c r="S27" s="1982"/>
      <c r="T27" s="1773"/>
      <c r="U27" s="1982"/>
      <c r="V27" s="1773"/>
      <c r="W27" s="1982"/>
      <c r="X27" s="1773"/>
      <c r="Y27" s="1982"/>
      <c r="Z27" s="1773"/>
      <c r="AA27" s="1983"/>
      <c r="AB27" s="1984"/>
      <c r="AC27" s="1985"/>
      <c r="AD27" s="1773">
        <v>0</v>
      </c>
      <c r="AE27" s="1984"/>
      <c r="AF27" s="1986"/>
      <c r="AG27" s="1773">
        <v>0</v>
      </c>
      <c r="AH27" s="272"/>
      <c r="AI27" s="53"/>
      <c r="AJ27" s="932">
        <f t="shared" si="1"/>
        <v>0</v>
      </c>
      <c r="AK27" s="932"/>
      <c r="AL27" s="1424">
        <f t="shared" si="2"/>
        <v>0</v>
      </c>
    </row>
    <row r="28" spans="1:39" ht="15" customHeight="1">
      <c r="A28" s="147"/>
      <c r="B28" s="881" t="s">
        <v>971</v>
      </c>
      <c r="C28" s="28"/>
      <c r="D28" s="673">
        <v>0</v>
      </c>
      <c r="E28" s="804"/>
      <c r="F28" s="673">
        <v>0</v>
      </c>
      <c r="G28" s="804"/>
      <c r="H28" s="673">
        <v>0</v>
      </c>
      <c r="I28" s="804"/>
      <c r="J28" s="3863">
        <v>0</v>
      </c>
      <c r="K28" s="1521"/>
      <c r="L28" s="3863">
        <v>0</v>
      </c>
      <c r="M28" s="1521"/>
      <c r="N28" s="3863">
        <f t="shared" si="0"/>
        <v>0</v>
      </c>
      <c r="O28" s="1521"/>
      <c r="P28" s="1773"/>
      <c r="Q28" s="1982"/>
      <c r="R28" s="1773"/>
      <c r="S28" s="1982"/>
      <c r="T28" s="1773"/>
      <c r="U28" s="1982"/>
      <c r="V28" s="1773"/>
      <c r="W28" s="1982"/>
      <c r="X28" s="1773"/>
      <c r="Y28" s="1982"/>
      <c r="Z28" s="1773"/>
      <c r="AA28" s="1983"/>
      <c r="AB28" s="1984"/>
      <c r="AC28" s="1985"/>
      <c r="AD28" s="1773">
        <v>0</v>
      </c>
      <c r="AE28" s="1984"/>
      <c r="AF28" s="1986"/>
      <c r="AG28" s="1773">
        <v>0</v>
      </c>
      <c r="AH28" s="272"/>
      <c r="AI28" s="53"/>
      <c r="AJ28" s="932">
        <f t="shared" si="1"/>
        <v>0</v>
      </c>
      <c r="AK28" s="932"/>
      <c r="AL28" s="1424">
        <f t="shared" si="2"/>
        <v>0</v>
      </c>
    </row>
    <row r="29" spans="1:39" ht="15" customHeight="1">
      <c r="A29" s="147"/>
      <c r="B29" s="881" t="s">
        <v>972</v>
      </c>
      <c r="C29" s="28"/>
      <c r="D29" s="673">
        <v>0</v>
      </c>
      <c r="E29" s="804"/>
      <c r="F29" s="673">
        <v>0</v>
      </c>
      <c r="G29" s="804"/>
      <c r="H29" s="673">
        <v>0</v>
      </c>
      <c r="I29" s="804"/>
      <c r="J29" s="3863">
        <v>0</v>
      </c>
      <c r="K29" s="1521"/>
      <c r="L29" s="3863">
        <v>0</v>
      </c>
      <c r="M29" s="1521"/>
      <c r="N29" s="3863">
        <f t="shared" si="0"/>
        <v>0</v>
      </c>
      <c r="O29" s="1521"/>
      <c r="P29" s="1773"/>
      <c r="Q29" s="1982"/>
      <c r="R29" s="1773"/>
      <c r="S29" s="1982"/>
      <c r="T29" s="1773"/>
      <c r="U29" s="1982"/>
      <c r="V29" s="1773"/>
      <c r="W29" s="1982"/>
      <c r="X29" s="1773"/>
      <c r="Y29" s="1982"/>
      <c r="Z29" s="1773"/>
      <c r="AA29" s="1983"/>
      <c r="AB29" s="1984"/>
      <c r="AC29" s="1985"/>
      <c r="AD29" s="1773">
        <v>0</v>
      </c>
      <c r="AE29" s="1984"/>
      <c r="AF29" s="1986"/>
      <c r="AG29" s="1773">
        <v>0</v>
      </c>
      <c r="AH29" s="272"/>
      <c r="AI29" s="53"/>
      <c r="AJ29" s="932">
        <f t="shared" si="1"/>
        <v>0</v>
      </c>
      <c r="AK29" s="932"/>
      <c r="AL29" s="1424">
        <f t="shared" si="2"/>
        <v>0</v>
      </c>
    </row>
    <row r="30" spans="1:39" ht="15" customHeight="1">
      <c r="A30" s="147"/>
      <c r="B30" s="881" t="s">
        <v>973</v>
      </c>
      <c r="C30" s="28"/>
      <c r="D30" s="673">
        <v>0</v>
      </c>
      <c r="E30" s="804"/>
      <c r="F30" s="673">
        <v>0</v>
      </c>
      <c r="G30" s="804"/>
      <c r="H30" s="673">
        <v>0</v>
      </c>
      <c r="I30" s="804"/>
      <c r="J30" s="3863">
        <v>0</v>
      </c>
      <c r="K30" s="1521"/>
      <c r="L30" s="3863">
        <v>0</v>
      </c>
      <c r="M30" s="1521"/>
      <c r="N30" s="3863">
        <f t="shared" si="0"/>
        <v>0</v>
      </c>
      <c r="O30" s="1521"/>
      <c r="P30" s="1773"/>
      <c r="Q30" s="1982"/>
      <c r="R30" s="1773"/>
      <c r="S30" s="1982"/>
      <c r="T30" s="1773"/>
      <c r="U30" s="1982"/>
      <c r="V30" s="1773"/>
      <c r="W30" s="1982"/>
      <c r="X30" s="1773"/>
      <c r="Y30" s="1982"/>
      <c r="Z30" s="1773"/>
      <c r="AA30" s="1983"/>
      <c r="AB30" s="1984"/>
      <c r="AC30" s="1985"/>
      <c r="AD30" s="1773">
        <v>0</v>
      </c>
      <c r="AE30" s="1984"/>
      <c r="AF30" s="1986"/>
      <c r="AG30" s="1773">
        <v>0</v>
      </c>
      <c r="AH30" s="272"/>
      <c r="AI30" s="53"/>
      <c r="AJ30" s="932">
        <f t="shared" si="1"/>
        <v>0</v>
      </c>
      <c r="AK30" s="932"/>
      <c r="AL30" s="1424">
        <f t="shared" si="2"/>
        <v>0</v>
      </c>
    </row>
    <row r="31" spans="1:39" ht="15" customHeight="1">
      <c r="A31" s="147"/>
      <c r="B31" s="881" t="s">
        <v>931</v>
      </c>
      <c r="C31" s="28"/>
      <c r="D31" s="673">
        <v>0.4</v>
      </c>
      <c r="E31" s="804"/>
      <c r="F31" s="673">
        <v>0.4</v>
      </c>
      <c r="G31" s="804"/>
      <c r="H31" s="673">
        <v>0.30000000000000004</v>
      </c>
      <c r="I31" s="804"/>
      <c r="J31" s="3863">
        <v>0.29999999999999982</v>
      </c>
      <c r="K31" s="1521"/>
      <c r="L31" s="3863">
        <v>0.29999999999999993</v>
      </c>
      <c r="M31" s="1521"/>
      <c r="N31" s="3863">
        <f t="shared" si="0"/>
        <v>0.40000000000000047</v>
      </c>
      <c r="O31" s="1521"/>
      <c r="P31" s="1773"/>
      <c r="Q31" s="1982"/>
      <c r="R31" s="1773"/>
      <c r="S31" s="1982"/>
      <c r="T31" s="1773"/>
      <c r="U31" s="1982"/>
      <c r="V31" s="1773"/>
      <c r="W31" s="1982"/>
      <c r="X31" s="1773"/>
      <c r="Y31" s="1982"/>
      <c r="Z31" s="1773"/>
      <c r="AA31" s="1983"/>
      <c r="AB31" s="1984"/>
      <c r="AC31" s="1985"/>
      <c r="AD31" s="1773">
        <v>2.1</v>
      </c>
      <c r="AE31" s="1984"/>
      <c r="AF31" s="1986"/>
      <c r="AG31" s="1773">
        <v>1.4000000000000001</v>
      </c>
      <c r="AH31" s="272"/>
      <c r="AI31" s="53"/>
      <c r="AJ31" s="932">
        <f>ROUND(SUM(+AD31-AG31),1)</f>
        <v>0.7</v>
      </c>
      <c r="AK31" s="932"/>
      <c r="AL31" s="1424">
        <f t="shared" si="2"/>
        <v>0.5</v>
      </c>
    </row>
    <row r="32" spans="1:39" s="876" customFormat="1" ht="15" customHeight="1">
      <c r="A32" s="1059"/>
      <c r="B32" s="881" t="s">
        <v>932</v>
      </c>
      <c r="C32" s="104"/>
      <c r="D32" s="673">
        <v>0.6</v>
      </c>
      <c r="E32" s="804"/>
      <c r="F32" s="673">
        <v>0.50000000000000011</v>
      </c>
      <c r="G32" s="804"/>
      <c r="H32" s="673">
        <v>0.70000000000000007</v>
      </c>
      <c r="I32" s="804"/>
      <c r="J32" s="3863">
        <v>0.79999999999999993</v>
      </c>
      <c r="K32" s="1521"/>
      <c r="L32" s="3863">
        <v>0.8999999999999998</v>
      </c>
      <c r="M32" s="1521"/>
      <c r="N32" s="3863">
        <f t="shared" si="0"/>
        <v>0.79999999999999993</v>
      </c>
      <c r="O32" s="1521"/>
      <c r="P32" s="1773"/>
      <c r="Q32" s="1982"/>
      <c r="R32" s="1773"/>
      <c r="S32" s="1982"/>
      <c r="T32" s="1773"/>
      <c r="U32" s="1982"/>
      <c r="V32" s="1773"/>
      <c r="W32" s="1982"/>
      <c r="X32" s="1773"/>
      <c r="Y32" s="1982"/>
      <c r="Z32" s="1773"/>
      <c r="AA32" s="1983"/>
      <c r="AB32" s="1984"/>
      <c r="AC32" s="1985"/>
      <c r="AD32" s="1773">
        <v>4.3</v>
      </c>
      <c r="AE32" s="1984"/>
      <c r="AF32" s="1986"/>
      <c r="AG32" s="1773">
        <v>11.2</v>
      </c>
      <c r="AH32" s="1062"/>
      <c r="AI32" s="64"/>
      <c r="AJ32" s="1013">
        <f t="shared" si="1"/>
        <v>-6.9</v>
      </c>
      <c r="AK32" s="1013"/>
      <c r="AL32" s="1708">
        <f>ROUND(IF(AG32=0,1,AJ32/ABS(AG32)),3)</f>
        <v>-0.61599999999999999</v>
      </c>
    </row>
    <row r="33" spans="1:38" s="876" customFormat="1" ht="15" customHeight="1">
      <c r="A33" s="1059"/>
      <c r="B33" s="881" t="s">
        <v>950</v>
      </c>
      <c r="C33" s="104"/>
      <c r="D33" s="673">
        <v>0</v>
      </c>
      <c r="E33" s="804"/>
      <c r="F33" s="673">
        <v>0</v>
      </c>
      <c r="G33" s="804"/>
      <c r="H33" s="673">
        <v>0</v>
      </c>
      <c r="I33" s="804"/>
      <c r="J33" s="3863">
        <v>0</v>
      </c>
      <c r="K33" s="1521"/>
      <c r="L33" s="3863">
        <v>0</v>
      </c>
      <c r="M33" s="1521"/>
      <c r="N33" s="3863">
        <f t="shared" si="0"/>
        <v>0</v>
      </c>
      <c r="O33" s="1521"/>
      <c r="P33" s="1773"/>
      <c r="Q33" s="1982"/>
      <c r="R33" s="1773"/>
      <c r="S33" s="1982"/>
      <c r="T33" s="1773"/>
      <c r="U33" s="1982"/>
      <c r="V33" s="1773"/>
      <c r="W33" s="1982"/>
      <c r="X33" s="1773"/>
      <c r="Y33" s="1982"/>
      <c r="Z33" s="1773"/>
      <c r="AA33" s="1983"/>
      <c r="AB33" s="1984"/>
      <c r="AC33" s="1985"/>
      <c r="AD33" s="1773">
        <v>0</v>
      </c>
      <c r="AE33" s="1984"/>
      <c r="AF33" s="1986"/>
      <c r="AG33" s="1773">
        <v>0</v>
      </c>
      <c r="AH33" s="1062"/>
      <c r="AI33" s="64"/>
      <c r="AJ33" s="1013">
        <f>ROUND(SUM(+AD33-AG33),1)</f>
        <v>0</v>
      </c>
      <c r="AK33" s="1013"/>
      <c r="AL33" s="1708">
        <f>ROUND(IF(AG33=0,0,AJ33/ABS(AG33)),3)</f>
        <v>0</v>
      </c>
    </row>
    <row r="34" spans="1:38" s="876" customFormat="1" ht="15" customHeight="1">
      <c r="A34" s="1059"/>
      <c r="B34" s="881" t="s">
        <v>1053</v>
      </c>
      <c r="C34" s="104"/>
      <c r="D34" s="673" t="s">
        <v>14</v>
      </c>
      <c r="E34" s="804"/>
      <c r="F34" s="673"/>
      <c r="G34" s="804"/>
      <c r="H34" s="673"/>
      <c r="I34" s="804"/>
      <c r="J34" s="3863"/>
      <c r="K34" s="137"/>
      <c r="L34" s="3863"/>
      <c r="M34" s="137"/>
      <c r="N34" s="3863"/>
      <c r="O34" s="137"/>
      <c r="P34" s="1773"/>
      <c r="Q34" s="1975"/>
      <c r="R34" s="1773"/>
      <c r="S34" s="1975"/>
      <c r="T34" s="1773"/>
      <c r="U34" s="1975"/>
      <c r="V34" s="1773"/>
      <c r="W34" s="1979"/>
      <c r="X34" s="1773"/>
      <c r="Y34" s="1979"/>
      <c r="Z34" s="1773"/>
      <c r="AA34" s="1978"/>
      <c r="AB34" s="1975"/>
      <c r="AC34" s="1980"/>
      <c r="AD34" s="1979"/>
      <c r="AE34" s="1979"/>
      <c r="AF34" s="1981"/>
      <c r="AG34" s="1979"/>
      <c r="AH34" s="1062"/>
      <c r="AI34" s="64"/>
      <c r="AJ34" s="1013"/>
      <c r="AK34" s="1013"/>
      <c r="AL34" s="1434"/>
    </row>
    <row r="35" spans="1:38" s="876" customFormat="1" ht="15" customHeight="1">
      <c r="A35" s="1059"/>
      <c r="B35" s="881" t="s">
        <v>977</v>
      </c>
      <c r="C35" s="104"/>
      <c r="D35" s="673">
        <v>0</v>
      </c>
      <c r="E35" s="804"/>
      <c r="F35" s="673">
        <v>0</v>
      </c>
      <c r="G35" s="804"/>
      <c r="H35" s="673">
        <v>0</v>
      </c>
      <c r="I35" s="804"/>
      <c r="J35" s="3863">
        <v>0</v>
      </c>
      <c r="K35" s="1521"/>
      <c r="L35" s="3863">
        <v>0</v>
      </c>
      <c r="M35" s="1521"/>
      <c r="N35" s="3863">
        <f t="shared" si="0"/>
        <v>0</v>
      </c>
      <c r="O35" s="1521"/>
      <c r="P35" s="1773"/>
      <c r="Q35" s="1982"/>
      <c r="R35" s="1773"/>
      <c r="S35" s="1982"/>
      <c r="T35" s="1773"/>
      <c r="U35" s="1982"/>
      <c r="V35" s="1773"/>
      <c r="W35" s="1982"/>
      <c r="X35" s="1773"/>
      <c r="Y35" s="1982"/>
      <c r="Z35" s="1773"/>
      <c r="AA35" s="1983"/>
      <c r="AB35" s="1984"/>
      <c r="AC35" s="1985"/>
      <c r="AD35" s="1773">
        <v>0</v>
      </c>
      <c r="AE35" s="1984"/>
      <c r="AF35" s="1986"/>
      <c r="AG35" s="1773">
        <v>0</v>
      </c>
      <c r="AH35" s="1062"/>
      <c r="AI35" s="64"/>
      <c r="AJ35" s="1013">
        <f t="shared" si="1"/>
        <v>0</v>
      </c>
      <c r="AK35" s="1013"/>
      <c r="AL35" s="1708">
        <f t="shared" ref="AL35:AL39" si="3">ROUND(IF(AG35=0,0,AJ35/ABS(AG35)),3)</f>
        <v>0</v>
      </c>
    </row>
    <row r="36" spans="1:38" s="876" customFormat="1" ht="15" customHeight="1">
      <c r="A36" s="1059"/>
      <c r="B36" s="881" t="s">
        <v>978</v>
      </c>
      <c r="C36" s="104"/>
      <c r="D36" s="673">
        <v>0</v>
      </c>
      <c r="E36" s="804"/>
      <c r="F36" s="673">
        <v>0</v>
      </c>
      <c r="G36" s="804"/>
      <c r="H36" s="673">
        <v>0</v>
      </c>
      <c r="I36" s="804"/>
      <c r="J36" s="3863">
        <v>0</v>
      </c>
      <c r="K36" s="1521"/>
      <c r="L36" s="3863">
        <v>0</v>
      </c>
      <c r="M36" s="1521"/>
      <c r="N36" s="3863">
        <f t="shared" si="0"/>
        <v>0</v>
      </c>
      <c r="O36" s="1521"/>
      <c r="P36" s="1773"/>
      <c r="Q36" s="1982"/>
      <c r="R36" s="1773"/>
      <c r="S36" s="1982"/>
      <c r="T36" s="1773"/>
      <c r="U36" s="1982"/>
      <c r="V36" s="1773"/>
      <c r="W36" s="1982"/>
      <c r="X36" s="1773"/>
      <c r="Y36" s="1982"/>
      <c r="Z36" s="1773"/>
      <c r="AA36" s="1983"/>
      <c r="AB36" s="1984"/>
      <c r="AC36" s="1985"/>
      <c r="AD36" s="1773">
        <v>0</v>
      </c>
      <c r="AE36" s="1984"/>
      <c r="AF36" s="1986"/>
      <c r="AG36" s="1773">
        <v>0</v>
      </c>
      <c r="AH36" s="1062"/>
      <c r="AI36" s="64"/>
      <c r="AJ36" s="1013">
        <f t="shared" si="1"/>
        <v>0</v>
      </c>
      <c r="AK36" s="1013"/>
      <c r="AL36" s="1708">
        <f t="shared" si="3"/>
        <v>0</v>
      </c>
    </row>
    <row r="37" spans="1:38" s="876" customFormat="1" ht="15" customHeight="1">
      <c r="A37" s="1059"/>
      <c r="B37" s="881" t="s">
        <v>979</v>
      </c>
      <c r="C37" s="104"/>
      <c r="D37" s="673">
        <v>0</v>
      </c>
      <c r="E37" s="804"/>
      <c r="F37" s="673">
        <v>0</v>
      </c>
      <c r="G37" s="804"/>
      <c r="H37" s="673">
        <v>0</v>
      </c>
      <c r="I37" s="804"/>
      <c r="J37" s="3863">
        <v>0</v>
      </c>
      <c r="K37" s="1521"/>
      <c r="L37" s="3863">
        <v>0</v>
      </c>
      <c r="M37" s="1521"/>
      <c r="N37" s="3863">
        <f t="shared" si="0"/>
        <v>0</v>
      </c>
      <c r="O37" s="1521"/>
      <c r="P37" s="1773"/>
      <c r="Q37" s="1982"/>
      <c r="R37" s="1773"/>
      <c r="S37" s="1982"/>
      <c r="T37" s="1773"/>
      <c r="U37" s="1982"/>
      <c r="V37" s="1773"/>
      <c r="W37" s="1982"/>
      <c r="X37" s="1773"/>
      <c r="Y37" s="1982"/>
      <c r="Z37" s="1773"/>
      <c r="AA37" s="1983"/>
      <c r="AB37" s="1984"/>
      <c r="AC37" s="1985"/>
      <c r="AD37" s="1773">
        <v>0</v>
      </c>
      <c r="AE37" s="1984"/>
      <c r="AF37" s="1986"/>
      <c r="AG37" s="1773">
        <v>0</v>
      </c>
      <c r="AH37" s="1062"/>
      <c r="AI37" s="64"/>
      <c r="AJ37" s="1013">
        <f t="shared" si="1"/>
        <v>0</v>
      </c>
      <c r="AK37" s="1013"/>
      <c r="AL37" s="1708">
        <f t="shared" si="3"/>
        <v>0</v>
      </c>
    </row>
    <row r="38" spans="1:38" s="876" customFormat="1" ht="15" customHeight="1">
      <c r="A38" s="1059"/>
      <c r="B38" s="881" t="s">
        <v>980</v>
      </c>
      <c r="C38" s="104"/>
      <c r="D38" s="673">
        <v>0</v>
      </c>
      <c r="E38" s="804"/>
      <c r="F38" s="673">
        <v>0</v>
      </c>
      <c r="G38" s="804"/>
      <c r="H38" s="673">
        <v>0</v>
      </c>
      <c r="I38" s="804"/>
      <c r="J38" s="3863">
        <v>0</v>
      </c>
      <c r="K38" s="1521"/>
      <c r="L38" s="3863">
        <v>0</v>
      </c>
      <c r="M38" s="1521"/>
      <c r="N38" s="3863">
        <f t="shared" si="0"/>
        <v>0</v>
      </c>
      <c r="O38" s="1521"/>
      <c r="P38" s="1773"/>
      <c r="Q38" s="1982"/>
      <c r="R38" s="1773"/>
      <c r="S38" s="1982"/>
      <c r="T38" s="1773"/>
      <c r="U38" s="1982"/>
      <c r="V38" s="1773"/>
      <c r="W38" s="1982"/>
      <c r="X38" s="1773"/>
      <c r="Y38" s="1982"/>
      <c r="Z38" s="1773"/>
      <c r="AA38" s="1983"/>
      <c r="AB38" s="1984"/>
      <c r="AC38" s="1985"/>
      <c r="AD38" s="1773">
        <v>0</v>
      </c>
      <c r="AE38" s="1984"/>
      <c r="AF38" s="1986"/>
      <c r="AG38" s="1773">
        <v>0</v>
      </c>
      <c r="AH38" s="1062"/>
      <c r="AI38" s="64"/>
      <c r="AJ38" s="1013">
        <f t="shared" si="1"/>
        <v>0</v>
      </c>
      <c r="AK38" s="1013"/>
      <c r="AL38" s="1708">
        <f t="shared" si="3"/>
        <v>0</v>
      </c>
    </row>
    <row r="39" spans="1:38" s="876" customFormat="1" ht="15" customHeight="1">
      <c r="A39" s="1059"/>
      <c r="B39" s="881" t="s">
        <v>951</v>
      </c>
      <c r="C39" s="104"/>
      <c r="D39" s="673">
        <v>0</v>
      </c>
      <c r="E39" s="804"/>
      <c r="F39" s="673">
        <v>0</v>
      </c>
      <c r="G39" s="804"/>
      <c r="H39" s="673">
        <v>0</v>
      </c>
      <c r="I39" s="804"/>
      <c r="J39" s="3863">
        <v>0</v>
      </c>
      <c r="K39" s="1521"/>
      <c r="L39" s="3863">
        <v>0</v>
      </c>
      <c r="M39" s="1521"/>
      <c r="N39" s="3863">
        <f t="shared" si="0"/>
        <v>0</v>
      </c>
      <c r="O39" s="1521"/>
      <c r="P39" s="1773"/>
      <c r="Q39" s="1982"/>
      <c r="R39" s="1773"/>
      <c r="S39" s="1982"/>
      <c r="T39" s="1773"/>
      <c r="U39" s="1982"/>
      <c r="V39" s="1773"/>
      <c r="W39" s="1982"/>
      <c r="X39" s="1773"/>
      <c r="Y39" s="1982"/>
      <c r="Z39" s="1773"/>
      <c r="AA39" s="1983"/>
      <c r="AB39" s="1984"/>
      <c r="AC39" s="1985"/>
      <c r="AD39" s="1773">
        <v>0</v>
      </c>
      <c r="AE39" s="1984"/>
      <c r="AF39" s="1986"/>
      <c r="AG39" s="1773">
        <v>0</v>
      </c>
      <c r="AH39" s="1062"/>
      <c r="AI39" s="64"/>
      <c r="AJ39" s="1013">
        <f t="shared" si="1"/>
        <v>0</v>
      </c>
      <c r="AK39" s="1013"/>
      <c r="AL39" s="1708">
        <f t="shared" si="3"/>
        <v>0</v>
      </c>
    </row>
    <row r="40" spans="1:38" s="876" customFormat="1" ht="15" customHeight="1">
      <c r="A40" s="1059"/>
      <c r="B40" s="881" t="s">
        <v>1054</v>
      </c>
      <c r="C40" s="104"/>
      <c r="D40" s="673" t="s">
        <v>14</v>
      </c>
      <c r="E40" s="804"/>
      <c r="F40" s="673"/>
      <c r="G40" s="804"/>
      <c r="H40" s="673"/>
      <c r="I40" s="804"/>
      <c r="J40" s="3863"/>
      <c r="K40" s="137"/>
      <c r="L40" s="3863"/>
      <c r="M40" s="137"/>
      <c r="N40" s="3863"/>
      <c r="O40" s="137"/>
      <c r="P40" s="1773"/>
      <c r="Q40" s="1975"/>
      <c r="R40" s="1773"/>
      <c r="S40" s="1975"/>
      <c r="T40" s="1773"/>
      <c r="U40" s="1975"/>
      <c r="V40" s="1773"/>
      <c r="W40" s="1979"/>
      <c r="X40" s="1773"/>
      <c r="Y40" s="1979"/>
      <c r="Z40" s="1773"/>
      <c r="AA40" s="1978"/>
      <c r="AB40" s="1975"/>
      <c r="AC40" s="1980"/>
      <c r="AD40" s="1979"/>
      <c r="AE40" s="1979"/>
      <c r="AF40" s="1981"/>
      <c r="AG40" s="1979"/>
      <c r="AH40" s="1062"/>
      <c r="AI40" s="64"/>
      <c r="AJ40" s="1013"/>
      <c r="AK40" s="1013"/>
      <c r="AL40" s="1434"/>
    </row>
    <row r="41" spans="1:38" s="876" customFormat="1" ht="15" customHeight="1">
      <c r="A41" s="1059"/>
      <c r="B41" s="881" t="s">
        <v>981</v>
      </c>
      <c r="C41" s="104"/>
      <c r="D41" s="673">
        <v>0</v>
      </c>
      <c r="E41" s="804"/>
      <c r="F41" s="673">
        <v>0</v>
      </c>
      <c r="G41" s="804"/>
      <c r="H41" s="673">
        <v>0</v>
      </c>
      <c r="I41" s="804"/>
      <c r="J41" s="3863">
        <v>0</v>
      </c>
      <c r="K41" s="1521"/>
      <c r="L41" s="3863">
        <v>0</v>
      </c>
      <c r="M41" s="1521"/>
      <c r="N41" s="3863">
        <f t="shared" si="0"/>
        <v>0</v>
      </c>
      <c r="O41" s="1521"/>
      <c r="P41" s="1773"/>
      <c r="Q41" s="1982"/>
      <c r="R41" s="1773"/>
      <c r="S41" s="1982"/>
      <c r="T41" s="1773"/>
      <c r="U41" s="1982"/>
      <c r="V41" s="1773"/>
      <c r="W41" s="1982"/>
      <c r="X41" s="1773"/>
      <c r="Y41" s="1982"/>
      <c r="Z41" s="1773"/>
      <c r="AA41" s="1983"/>
      <c r="AB41" s="1984"/>
      <c r="AC41" s="1985"/>
      <c r="AD41" s="1773">
        <v>0</v>
      </c>
      <c r="AE41" s="1984"/>
      <c r="AF41" s="1986"/>
      <c r="AG41" s="1773">
        <v>0</v>
      </c>
      <c r="AH41" s="1062"/>
      <c r="AI41" s="64"/>
      <c r="AJ41" s="1013">
        <f t="shared" si="1"/>
        <v>0</v>
      </c>
      <c r="AK41" s="1013"/>
      <c r="AL41" s="1708">
        <f t="shared" ref="AL41:AL48" si="4">ROUND(IF(AG41=0,0,AJ41/ABS(AG41)),3)</f>
        <v>0</v>
      </c>
    </row>
    <row r="42" spans="1:38" s="876" customFormat="1" ht="15" customHeight="1">
      <c r="A42" s="1059"/>
      <c r="B42" s="881" t="s">
        <v>982</v>
      </c>
      <c r="C42" s="104"/>
      <c r="D42" s="673">
        <v>0</v>
      </c>
      <c r="E42" s="804"/>
      <c r="F42" s="673">
        <v>0</v>
      </c>
      <c r="G42" s="804"/>
      <c r="H42" s="673">
        <v>0</v>
      </c>
      <c r="I42" s="804"/>
      <c r="J42" s="3863">
        <v>0</v>
      </c>
      <c r="K42" s="1521"/>
      <c r="L42" s="3863">
        <v>0</v>
      </c>
      <c r="M42" s="1521"/>
      <c r="N42" s="3863">
        <f t="shared" si="0"/>
        <v>0</v>
      </c>
      <c r="O42" s="1521"/>
      <c r="P42" s="1773"/>
      <c r="Q42" s="1982"/>
      <c r="R42" s="1773"/>
      <c r="S42" s="1982"/>
      <c r="T42" s="1773"/>
      <c r="U42" s="1982"/>
      <c r="V42" s="1773"/>
      <c r="W42" s="1982"/>
      <c r="X42" s="1773"/>
      <c r="Y42" s="1982"/>
      <c r="Z42" s="1773"/>
      <c r="AA42" s="1983"/>
      <c r="AB42" s="1984"/>
      <c r="AC42" s="1985"/>
      <c r="AD42" s="1773">
        <v>0</v>
      </c>
      <c r="AE42" s="1984"/>
      <c r="AF42" s="1986"/>
      <c r="AG42" s="1773">
        <v>0</v>
      </c>
      <c r="AH42" s="1062"/>
      <c r="AI42" s="64"/>
      <c r="AJ42" s="1013">
        <f t="shared" si="1"/>
        <v>0</v>
      </c>
      <c r="AK42" s="1013"/>
      <c r="AL42" s="1708">
        <f t="shared" si="4"/>
        <v>0</v>
      </c>
    </row>
    <row r="43" spans="1:38" s="876" customFormat="1" ht="15" customHeight="1">
      <c r="A43" s="1059"/>
      <c r="B43" s="881" t="s">
        <v>983</v>
      </c>
      <c r="C43" s="104"/>
      <c r="D43" s="673">
        <v>0</v>
      </c>
      <c r="E43" s="804"/>
      <c r="F43" s="673">
        <v>0</v>
      </c>
      <c r="G43" s="804"/>
      <c r="H43" s="673">
        <v>0</v>
      </c>
      <c r="I43" s="804"/>
      <c r="J43" s="3863">
        <v>0</v>
      </c>
      <c r="K43" s="1521"/>
      <c r="L43" s="3863">
        <v>0</v>
      </c>
      <c r="M43" s="1521"/>
      <c r="N43" s="3863">
        <f t="shared" si="0"/>
        <v>0</v>
      </c>
      <c r="O43" s="1521"/>
      <c r="P43" s="1773"/>
      <c r="Q43" s="1982"/>
      <c r="R43" s="1773"/>
      <c r="S43" s="1982"/>
      <c r="T43" s="1773"/>
      <c r="U43" s="1982"/>
      <c r="V43" s="1773"/>
      <c r="W43" s="1982"/>
      <c r="X43" s="1773"/>
      <c r="Y43" s="1982"/>
      <c r="Z43" s="1773"/>
      <c r="AA43" s="1983"/>
      <c r="AB43" s="1984"/>
      <c r="AC43" s="1985"/>
      <c r="AD43" s="1773">
        <v>0</v>
      </c>
      <c r="AE43" s="1984"/>
      <c r="AF43" s="1986"/>
      <c r="AG43" s="1773">
        <v>0</v>
      </c>
      <c r="AH43" s="1062"/>
      <c r="AI43" s="64"/>
      <c r="AJ43" s="1013">
        <f t="shared" si="1"/>
        <v>0</v>
      </c>
      <c r="AK43" s="1013"/>
      <c r="AL43" s="1708">
        <f t="shared" si="4"/>
        <v>0</v>
      </c>
    </row>
    <row r="44" spans="1:38" s="876" customFormat="1" ht="15" customHeight="1">
      <c r="A44" s="1059"/>
      <c r="B44" s="881" t="s">
        <v>984</v>
      </c>
      <c r="C44" s="104"/>
      <c r="D44" s="673">
        <v>0</v>
      </c>
      <c r="E44" s="804"/>
      <c r="F44" s="673">
        <v>0</v>
      </c>
      <c r="G44" s="804"/>
      <c r="H44" s="673">
        <v>0</v>
      </c>
      <c r="I44" s="804"/>
      <c r="J44" s="3863">
        <v>0</v>
      </c>
      <c r="K44" s="1521"/>
      <c r="L44" s="3863">
        <v>0</v>
      </c>
      <c r="M44" s="1521"/>
      <c r="N44" s="3863">
        <f t="shared" si="0"/>
        <v>0</v>
      </c>
      <c r="O44" s="1521"/>
      <c r="P44" s="1773"/>
      <c r="Q44" s="1982"/>
      <c r="R44" s="1773"/>
      <c r="S44" s="1982"/>
      <c r="T44" s="1773"/>
      <c r="U44" s="1982"/>
      <c r="V44" s="1773"/>
      <c r="W44" s="1982"/>
      <c r="X44" s="1773"/>
      <c r="Y44" s="1982"/>
      <c r="Z44" s="1773"/>
      <c r="AA44" s="1983"/>
      <c r="AB44" s="1984"/>
      <c r="AC44" s="1985"/>
      <c r="AD44" s="1773">
        <v>0</v>
      </c>
      <c r="AE44" s="1984"/>
      <c r="AF44" s="1986"/>
      <c r="AG44" s="1773">
        <v>0</v>
      </c>
      <c r="AH44" s="1062"/>
      <c r="AI44" s="64"/>
      <c r="AJ44" s="1013">
        <f t="shared" si="1"/>
        <v>0</v>
      </c>
      <c r="AK44" s="1013"/>
      <c r="AL44" s="1708">
        <f t="shared" si="4"/>
        <v>0</v>
      </c>
    </row>
    <row r="45" spans="1:38" s="876" customFormat="1" ht="15" customHeight="1">
      <c r="A45" s="1059"/>
      <c r="B45" s="881" t="s">
        <v>985</v>
      </c>
      <c r="C45" s="104"/>
      <c r="D45" s="673">
        <v>0</v>
      </c>
      <c r="E45" s="804"/>
      <c r="F45" s="673">
        <v>0</v>
      </c>
      <c r="G45" s="804"/>
      <c r="H45" s="673">
        <v>0</v>
      </c>
      <c r="I45" s="804"/>
      <c r="J45" s="3863">
        <v>0</v>
      </c>
      <c r="K45" s="1521"/>
      <c r="L45" s="3863">
        <v>0</v>
      </c>
      <c r="M45" s="1521"/>
      <c r="N45" s="3863">
        <f t="shared" si="0"/>
        <v>0</v>
      </c>
      <c r="O45" s="1521"/>
      <c r="P45" s="1773"/>
      <c r="Q45" s="1982"/>
      <c r="R45" s="1773"/>
      <c r="S45" s="1982"/>
      <c r="T45" s="1773"/>
      <c r="U45" s="1982"/>
      <c r="V45" s="1773"/>
      <c r="W45" s="1982"/>
      <c r="X45" s="1773"/>
      <c r="Y45" s="1982"/>
      <c r="Z45" s="1773"/>
      <c r="AA45" s="1983"/>
      <c r="AB45" s="1984"/>
      <c r="AC45" s="1985"/>
      <c r="AD45" s="1773">
        <v>0</v>
      </c>
      <c r="AE45" s="1984"/>
      <c r="AF45" s="1986"/>
      <c r="AG45" s="1773">
        <v>0</v>
      </c>
      <c r="AH45" s="1062"/>
      <c r="AI45" s="64"/>
      <c r="AJ45" s="1013">
        <f t="shared" si="1"/>
        <v>0</v>
      </c>
      <c r="AK45" s="1013"/>
      <c r="AL45" s="1708">
        <f t="shared" si="4"/>
        <v>0</v>
      </c>
    </row>
    <row r="46" spans="1:38" s="876" customFormat="1" ht="15" customHeight="1">
      <c r="A46" s="1059"/>
      <c r="B46" s="881" t="s">
        <v>986</v>
      </c>
      <c r="C46" s="104"/>
      <c r="D46" s="673">
        <v>6.6</v>
      </c>
      <c r="E46" s="804"/>
      <c r="F46" s="673">
        <v>7.4</v>
      </c>
      <c r="G46" s="804"/>
      <c r="H46" s="673">
        <v>7</v>
      </c>
      <c r="I46" s="804"/>
      <c r="J46" s="3863">
        <v>7.1</v>
      </c>
      <c r="K46" s="1521"/>
      <c r="L46" s="3863">
        <v>6.7999999999999989</v>
      </c>
      <c r="M46" s="1521"/>
      <c r="N46" s="3863">
        <f t="shared" si="0"/>
        <v>7</v>
      </c>
      <c r="O46" s="1521"/>
      <c r="P46" s="1773"/>
      <c r="Q46" s="1982"/>
      <c r="R46" s="1773"/>
      <c r="S46" s="1982"/>
      <c r="T46" s="1773"/>
      <c r="U46" s="1982"/>
      <c r="V46" s="1773"/>
      <c r="W46" s="1982"/>
      <c r="X46" s="1773"/>
      <c r="Y46" s="1982"/>
      <c r="Z46" s="1773"/>
      <c r="AA46" s="1983"/>
      <c r="AB46" s="1984"/>
      <c r="AC46" s="1985"/>
      <c r="AD46" s="1773">
        <v>41.9</v>
      </c>
      <c r="AE46" s="1984"/>
      <c r="AF46" s="1986"/>
      <c r="AG46" s="1773">
        <v>46.5</v>
      </c>
      <c r="AH46" s="1062"/>
      <c r="AI46" s="64"/>
      <c r="AJ46" s="1013">
        <f t="shared" si="1"/>
        <v>-4.5999999999999996</v>
      </c>
      <c r="AK46" s="1013"/>
      <c r="AL46" s="1708">
        <f t="shared" si="4"/>
        <v>-9.9000000000000005E-2</v>
      </c>
    </row>
    <row r="47" spans="1:38" ht="15" customHeight="1">
      <c r="A47" s="147"/>
      <c r="B47" s="881" t="s">
        <v>987</v>
      </c>
      <c r="C47" s="28"/>
      <c r="D47" s="673">
        <v>0</v>
      </c>
      <c r="E47" s="804"/>
      <c r="F47" s="673">
        <v>0</v>
      </c>
      <c r="G47" s="804"/>
      <c r="H47" s="673">
        <v>0</v>
      </c>
      <c r="I47" s="804"/>
      <c r="J47" s="3863">
        <v>0</v>
      </c>
      <c r="K47" s="1521"/>
      <c r="L47" s="3863">
        <v>0</v>
      </c>
      <c r="M47" s="1521"/>
      <c r="N47" s="3863">
        <f t="shared" si="0"/>
        <v>0</v>
      </c>
      <c r="O47" s="1521"/>
      <c r="P47" s="1773"/>
      <c r="Q47" s="1982"/>
      <c r="R47" s="1773"/>
      <c r="S47" s="1982"/>
      <c r="T47" s="1773"/>
      <c r="U47" s="1982"/>
      <c r="V47" s="1773"/>
      <c r="W47" s="1982"/>
      <c r="X47" s="1773"/>
      <c r="Y47" s="1982"/>
      <c r="Z47" s="1773"/>
      <c r="AA47" s="1983"/>
      <c r="AB47" s="1984"/>
      <c r="AC47" s="1985"/>
      <c r="AD47" s="1773">
        <v>0</v>
      </c>
      <c r="AE47" s="1984"/>
      <c r="AF47" s="1986"/>
      <c r="AG47" s="1773">
        <v>0</v>
      </c>
      <c r="AH47" s="272"/>
      <c r="AI47" s="53"/>
      <c r="AJ47" s="932">
        <f t="shared" si="1"/>
        <v>0</v>
      </c>
      <c r="AK47" s="932"/>
      <c r="AL47" s="1424">
        <f t="shared" si="4"/>
        <v>0</v>
      </c>
    </row>
    <row r="48" spans="1:38" ht="15" customHeight="1">
      <c r="A48" s="147"/>
      <c r="B48" s="881" t="s">
        <v>988</v>
      </c>
      <c r="C48" s="28"/>
      <c r="D48" s="673">
        <v>0</v>
      </c>
      <c r="E48" s="804"/>
      <c r="F48" s="673">
        <v>0</v>
      </c>
      <c r="G48" s="804"/>
      <c r="H48" s="673">
        <v>0</v>
      </c>
      <c r="I48" s="804"/>
      <c r="J48" s="3863">
        <v>0</v>
      </c>
      <c r="K48" s="1521"/>
      <c r="L48" s="3863">
        <v>0</v>
      </c>
      <c r="M48" s="1521"/>
      <c r="N48" s="3863">
        <f t="shared" si="0"/>
        <v>0</v>
      </c>
      <c r="O48" s="1521"/>
      <c r="P48" s="1773"/>
      <c r="Q48" s="1982"/>
      <c r="R48" s="1773"/>
      <c r="S48" s="1982"/>
      <c r="T48" s="1773"/>
      <c r="U48" s="1982"/>
      <c r="V48" s="1773"/>
      <c r="W48" s="1982"/>
      <c r="X48" s="1773"/>
      <c r="Y48" s="1982"/>
      <c r="Z48" s="1773"/>
      <c r="AA48" s="1983"/>
      <c r="AB48" s="1984"/>
      <c r="AC48" s="1985"/>
      <c r="AD48" s="1773">
        <v>0</v>
      </c>
      <c r="AE48" s="1984"/>
      <c r="AF48" s="1986"/>
      <c r="AG48" s="1773">
        <v>0</v>
      </c>
      <c r="AH48" s="272"/>
      <c r="AI48" s="53"/>
      <c r="AJ48" s="932">
        <f t="shared" si="1"/>
        <v>0</v>
      </c>
      <c r="AK48" s="932"/>
      <c r="AL48" s="1424">
        <f t="shared" si="4"/>
        <v>0</v>
      </c>
    </row>
    <row r="49" spans="1:38" s="876" customFormat="1" ht="15" customHeight="1">
      <c r="A49" s="1059"/>
      <c r="B49" s="881" t="s">
        <v>989</v>
      </c>
      <c r="C49" s="104"/>
      <c r="D49" s="673">
        <v>0.2</v>
      </c>
      <c r="E49" s="804"/>
      <c r="F49" s="673">
        <v>1.5</v>
      </c>
      <c r="G49" s="804"/>
      <c r="H49" s="673">
        <v>1.0999999999999996</v>
      </c>
      <c r="I49" s="804"/>
      <c r="J49" s="3863">
        <v>0.5</v>
      </c>
      <c r="K49" s="1521"/>
      <c r="L49" s="3863">
        <v>2</v>
      </c>
      <c r="M49" s="1521"/>
      <c r="N49" s="3863">
        <f t="shared" si="0"/>
        <v>0.10000000000000053</v>
      </c>
      <c r="O49" s="1521"/>
      <c r="P49" s="1773"/>
      <c r="Q49" s="1982"/>
      <c r="R49" s="1773"/>
      <c r="S49" s="1982"/>
      <c r="T49" s="1773"/>
      <c r="U49" s="1982"/>
      <c r="V49" s="1773"/>
      <c r="W49" s="1982"/>
      <c r="X49" s="1773"/>
      <c r="Y49" s="1982"/>
      <c r="Z49" s="1773"/>
      <c r="AA49" s="1983"/>
      <c r="AB49" s="1984"/>
      <c r="AC49" s="1985"/>
      <c r="AD49" s="1773">
        <v>5.4</v>
      </c>
      <c r="AE49" s="1984"/>
      <c r="AF49" s="1986"/>
      <c r="AG49" s="1773">
        <v>1.2</v>
      </c>
      <c r="AH49" s="1062"/>
      <c r="AI49" s="64"/>
      <c r="AJ49" s="1013">
        <f t="shared" si="1"/>
        <v>4.2</v>
      </c>
      <c r="AK49" s="1013"/>
      <c r="AL49" s="1708">
        <f>ROUND(IF(AG49=0,1,AJ49/ABS(AG49)),3)</f>
        <v>3.5</v>
      </c>
    </row>
    <row r="50" spans="1:38" s="876" customFormat="1" ht="15" customHeight="1">
      <c r="A50" s="1059"/>
      <c r="B50" s="881" t="s">
        <v>961</v>
      </c>
      <c r="C50" s="104"/>
      <c r="D50" s="673">
        <v>0</v>
      </c>
      <c r="E50" s="804"/>
      <c r="F50" s="673">
        <v>0</v>
      </c>
      <c r="G50" s="804"/>
      <c r="H50" s="673">
        <v>0</v>
      </c>
      <c r="I50" s="804"/>
      <c r="J50" s="3863">
        <v>0</v>
      </c>
      <c r="K50" s="1521"/>
      <c r="L50" s="3863">
        <v>0</v>
      </c>
      <c r="M50" s="1521"/>
      <c r="N50" s="3863">
        <f t="shared" si="0"/>
        <v>0</v>
      </c>
      <c r="O50" s="1521"/>
      <c r="P50" s="1773"/>
      <c r="Q50" s="1982"/>
      <c r="R50" s="1773"/>
      <c r="S50" s="1982"/>
      <c r="T50" s="1773"/>
      <c r="U50" s="1982"/>
      <c r="V50" s="1773"/>
      <c r="W50" s="1982"/>
      <c r="X50" s="1773"/>
      <c r="Y50" s="1982"/>
      <c r="Z50" s="1773"/>
      <c r="AA50" s="1983"/>
      <c r="AB50" s="1984"/>
      <c r="AC50" s="1985"/>
      <c r="AD50" s="1773">
        <v>0</v>
      </c>
      <c r="AE50" s="1984"/>
      <c r="AF50" s="1986"/>
      <c r="AG50" s="1773">
        <v>0</v>
      </c>
      <c r="AH50" s="1062"/>
      <c r="AI50" s="64"/>
      <c r="AJ50" s="1013">
        <f t="shared" si="1"/>
        <v>0</v>
      </c>
      <c r="AK50" s="1013"/>
      <c r="AL50" s="1708">
        <f>ROUND(IF(AG50=0,0,AJ50/ABS(AG50)),3)</f>
        <v>0</v>
      </c>
    </row>
    <row r="51" spans="1:38" s="876" customFormat="1" ht="15" customHeight="1">
      <c r="A51" s="1059"/>
      <c r="B51" s="881" t="s">
        <v>962</v>
      </c>
      <c r="C51" s="104"/>
      <c r="D51" s="673">
        <v>0</v>
      </c>
      <c r="E51" s="804"/>
      <c r="F51" s="673">
        <v>0</v>
      </c>
      <c r="G51" s="804"/>
      <c r="H51" s="673">
        <v>0</v>
      </c>
      <c r="I51" s="804"/>
      <c r="J51" s="3863">
        <v>0</v>
      </c>
      <c r="K51" s="1521"/>
      <c r="L51" s="3863">
        <v>0</v>
      </c>
      <c r="M51" s="1521"/>
      <c r="N51" s="3863">
        <f t="shared" si="0"/>
        <v>0</v>
      </c>
      <c r="O51" s="1521"/>
      <c r="P51" s="1773"/>
      <c r="Q51" s="1982"/>
      <c r="R51" s="1773"/>
      <c r="S51" s="1982"/>
      <c r="T51" s="1773"/>
      <c r="U51" s="1982"/>
      <c r="V51" s="1773"/>
      <c r="W51" s="1982"/>
      <c r="X51" s="1773"/>
      <c r="Y51" s="1982"/>
      <c r="Z51" s="1773"/>
      <c r="AA51" s="1983"/>
      <c r="AB51" s="1984"/>
      <c r="AC51" s="1985"/>
      <c r="AD51" s="1773">
        <v>0</v>
      </c>
      <c r="AE51" s="1984"/>
      <c r="AF51" s="1986"/>
      <c r="AG51" s="1773">
        <v>0</v>
      </c>
      <c r="AH51" s="1062"/>
      <c r="AI51" s="64"/>
      <c r="AJ51" s="1013">
        <f t="shared" si="1"/>
        <v>0</v>
      </c>
      <c r="AK51" s="1013"/>
      <c r="AL51" s="1708">
        <f>ROUND(IF(AG51=0,0,AJ51/ABS(AG51)),3)</f>
        <v>0</v>
      </c>
    </row>
    <row r="52" spans="1:38" s="876" customFormat="1" ht="15" customHeight="1">
      <c r="A52" s="1059"/>
      <c r="B52" s="307" t="s">
        <v>1093</v>
      </c>
      <c r="C52" s="104"/>
      <c r="D52" s="1063">
        <f>ROUND(SUM(D19:D51),1)</f>
        <v>13.3</v>
      </c>
      <c r="E52" s="880"/>
      <c r="F52" s="1063">
        <f>ROUND(SUM(F19:F51),1)</f>
        <v>45.4</v>
      </c>
      <c r="G52" s="880"/>
      <c r="H52" s="1063">
        <f>ROUND(SUM(H19:H51),1)</f>
        <v>9.1999999999999993</v>
      </c>
      <c r="I52" s="880"/>
      <c r="J52" s="1063">
        <f>ROUND(SUM(J19:J51),1)</f>
        <v>10.7</v>
      </c>
      <c r="K52" s="137"/>
      <c r="L52" s="1063">
        <f>ROUND(SUM(L19:L51),1)</f>
        <v>21</v>
      </c>
      <c r="M52" s="137"/>
      <c r="N52" s="1063">
        <f>ROUND(SUM(N19:N51),1)</f>
        <v>8.4</v>
      </c>
      <c r="O52" s="137"/>
      <c r="P52" s="1987">
        <f>ROUND(SUM(P19:P51),1)</f>
        <v>0</v>
      </c>
      <c r="Q52" s="1975"/>
      <c r="R52" s="1987">
        <f>ROUND(SUM(R19:R51),1)</f>
        <v>0</v>
      </c>
      <c r="S52" s="1975"/>
      <c r="T52" s="1987">
        <f>ROUND(SUM(T19:T51),1)</f>
        <v>0</v>
      </c>
      <c r="U52" s="1975"/>
      <c r="V52" s="1987">
        <f>ROUND(SUM(V19:V51),1)</f>
        <v>0</v>
      </c>
      <c r="W52" s="1979"/>
      <c r="X52" s="1987">
        <f>ROUND(SUM(X19:X51),1)</f>
        <v>0</v>
      </c>
      <c r="Y52" s="1979"/>
      <c r="Z52" s="1987">
        <f>ROUND(SUM(Z19:Z51),1)</f>
        <v>0</v>
      </c>
      <c r="AA52" s="1988"/>
      <c r="AB52" s="1975"/>
      <c r="AC52" s="1980"/>
      <c r="AD52" s="1987">
        <f>ROUND(SUM(AD19:AD51),1)</f>
        <v>108</v>
      </c>
      <c r="AE52" s="1979"/>
      <c r="AF52" s="1981"/>
      <c r="AG52" s="1987">
        <f>ROUND(SUM(AG19:AG51),1)</f>
        <v>114.5</v>
      </c>
      <c r="AH52" s="1062"/>
      <c r="AI52" s="64"/>
      <c r="AJ52" s="1063">
        <f>ROUND(SUM(AJ19:AJ51),1)</f>
        <v>-6.5</v>
      </c>
      <c r="AK52" s="1013"/>
      <c r="AL52" s="1436">
        <f>ROUND(SUM((AD52-AG52)/ABS(AG52)),3)</f>
        <v>-5.7000000000000002E-2</v>
      </c>
    </row>
    <row r="53" spans="1:38" s="876" customFormat="1" ht="15" customHeight="1">
      <c r="A53" s="1059"/>
      <c r="B53" s="881"/>
      <c r="C53" s="104"/>
      <c r="D53" s="673"/>
      <c r="E53" s="880"/>
      <c r="F53" s="1111"/>
      <c r="G53" s="880"/>
      <c r="H53" s="884"/>
      <c r="I53" s="880"/>
      <c r="J53" s="884"/>
      <c r="K53" s="137"/>
      <c r="L53" s="884"/>
      <c r="M53" s="137"/>
      <c r="N53" s="115"/>
      <c r="O53" s="137"/>
      <c r="P53" s="1974"/>
      <c r="Q53" s="1975"/>
      <c r="R53" s="1976"/>
      <c r="S53" s="1975"/>
      <c r="T53" s="1977"/>
      <c r="U53" s="1975"/>
      <c r="V53" s="1978"/>
      <c r="W53" s="1979"/>
      <c r="X53" s="1978"/>
      <c r="Y53" s="1979"/>
      <c r="Z53" s="1978"/>
      <c r="AA53" s="1978"/>
      <c r="AB53" s="1975"/>
      <c r="AC53" s="1980"/>
      <c r="AD53" s="1979"/>
      <c r="AE53" s="1979"/>
      <c r="AF53" s="1981"/>
      <c r="AG53" s="1979"/>
      <c r="AH53" s="1062"/>
      <c r="AI53" s="64"/>
      <c r="AJ53" s="1013"/>
      <c r="AK53" s="1013"/>
      <c r="AL53" s="1434"/>
    </row>
    <row r="54" spans="1:38" ht="15" customHeight="1">
      <c r="A54" s="147"/>
      <c r="B54" s="277" t="s">
        <v>148</v>
      </c>
      <c r="C54" s="28"/>
      <c r="D54" s="673">
        <v>7158.4</v>
      </c>
      <c r="E54" s="804"/>
      <c r="F54" s="673">
        <v>18222.900000000001</v>
      </c>
      <c r="G54" s="804"/>
      <c r="H54" s="673">
        <v>7375</v>
      </c>
      <c r="I54" s="804"/>
      <c r="J54" s="3863">
        <v>5735.6999999999971</v>
      </c>
      <c r="K54" s="1521"/>
      <c r="L54" s="3863">
        <v>5788.5</v>
      </c>
      <c r="M54" s="1521"/>
      <c r="N54" s="3863">
        <f>$AD54-$D54-$F54-$H54-$J54-$L54</f>
        <v>7398.0999999999985</v>
      </c>
      <c r="O54" s="1521"/>
      <c r="P54" s="673"/>
      <c r="Q54" s="1982"/>
      <c r="R54" s="1773"/>
      <c r="S54" s="1982"/>
      <c r="T54" s="1773"/>
      <c r="U54" s="1982"/>
      <c r="V54" s="1773"/>
      <c r="W54" s="1982"/>
      <c r="X54" s="1773"/>
      <c r="Y54" s="1982"/>
      <c r="Z54" s="1773"/>
      <c r="AA54" s="1983"/>
      <c r="AB54" s="1984"/>
      <c r="AC54" s="1985"/>
      <c r="AD54" s="1773">
        <v>51678.6</v>
      </c>
      <c r="AE54" s="1984"/>
      <c r="AF54" s="1986"/>
      <c r="AG54" s="1773">
        <v>41759.1</v>
      </c>
      <c r="AH54" s="272"/>
      <c r="AI54" s="53"/>
      <c r="AJ54" s="932">
        <f>ROUND(SUM(+AD54-AG54),1)</f>
        <v>9919.5</v>
      </c>
      <c r="AK54" s="932"/>
      <c r="AL54" s="1437">
        <f>ROUND(SUM((AD54-AG54)/ABS(AG54)),3)</f>
        <v>0.23799999999999999</v>
      </c>
    </row>
    <row r="55" spans="1:38" ht="15" customHeight="1">
      <c r="A55" s="147"/>
      <c r="B55" s="28"/>
      <c r="C55" s="28"/>
      <c r="D55" s="1824"/>
      <c r="E55" s="804"/>
      <c r="F55" s="3673"/>
      <c r="G55" s="804"/>
      <c r="H55" s="1824"/>
      <c r="I55" s="804"/>
      <c r="J55" s="1824"/>
      <c r="K55" s="162"/>
      <c r="L55" s="1824"/>
      <c r="M55" s="162"/>
      <c r="N55" s="165"/>
      <c r="O55" s="162"/>
      <c r="P55" s="1453"/>
      <c r="Q55" s="1449"/>
      <c r="R55" s="1453"/>
      <c r="S55" s="1449"/>
      <c r="T55" s="1989"/>
      <c r="U55" s="1449"/>
      <c r="V55" s="1989"/>
      <c r="W55" s="1990"/>
      <c r="X55" s="1989"/>
      <c r="Y55" s="1990"/>
      <c r="Z55" s="1989"/>
      <c r="AA55" s="1991"/>
      <c r="AB55" s="1449"/>
      <c r="AC55" s="1992"/>
      <c r="AD55" s="2035"/>
      <c r="AE55" s="1961"/>
      <c r="AF55" s="1981"/>
      <c r="AG55" s="2035"/>
      <c r="AH55" s="272"/>
      <c r="AI55" s="53"/>
      <c r="AJ55" s="1397"/>
      <c r="AK55" s="1398"/>
      <c r="AL55" s="1438"/>
    </row>
    <row r="56" spans="1:38" ht="15" customHeight="1">
      <c r="A56" s="147"/>
      <c r="B56" s="26" t="s">
        <v>149</v>
      </c>
      <c r="C56" s="28"/>
      <c r="D56" s="911">
        <f>ROUND(SUM(+D52+D54),2)</f>
        <v>7171.7</v>
      </c>
      <c r="E56" s="204"/>
      <c r="F56" s="109">
        <f>ROUND(SUM(+F52+F54),2)</f>
        <v>18268.3</v>
      </c>
      <c r="G56" s="204"/>
      <c r="H56" s="911">
        <f>ROUND(SUM(+H52+H54),2)</f>
        <v>7384.2</v>
      </c>
      <c r="I56" s="204"/>
      <c r="J56" s="911">
        <f>ROUND(SUM(+J52+J54),2)</f>
        <v>5746.4</v>
      </c>
      <c r="K56" s="204"/>
      <c r="L56" s="911">
        <f>ROUND(SUM(+L52+L54),2)</f>
        <v>5809.5</v>
      </c>
      <c r="M56" s="204"/>
      <c r="N56" s="911">
        <f>ROUND(SUM(+N52+N54),2)</f>
        <v>7406.5</v>
      </c>
      <c r="O56" s="204"/>
      <c r="P56" s="1447">
        <f>ROUND(SUM(+P52+P54),2)</f>
        <v>0</v>
      </c>
      <c r="Q56" s="1994"/>
      <c r="R56" s="1447">
        <f>ROUND(SUM(+R52+R54),2)</f>
        <v>0</v>
      </c>
      <c r="S56" s="1994"/>
      <c r="T56" s="1447">
        <f>ROUND(SUM(+T52+T54),2)</f>
        <v>0</v>
      </c>
      <c r="U56" s="1994"/>
      <c r="V56" s="1447">
        <f>ROUND(SUM(+V52+V54),2)</f>
        <v>0</v>
      </c>
      <c r="W56" s="1447"/>
      <c r="X56" s="1447">
        <f>ROUND(SUM(+X52+X54),2)</f>
        <v>0</v>
      </c>
      <c r="Y56" s="1447"/>
      <c r="Z56" s="1447">
        <f>ROUND(SUM(+Z52+Z54),2)</f>
        <v>0</v>
      </c>
      <c r="AA56" s="1447"/>
      <c r="AB56" s="1994"/>
      <c r="AC56" s="1995"/>
      <c r="AD56" s="2034">
        <f>ROUND(SUM(+AD52+AD54),1)</f>
        <v>51786.6</v>
      </c>
      <c r="AE56" s="1448"/>
      <c r="AF56" s="3122"/>
      <c r="AG56" s="2034">
        <f>ROUND(SUM(+AG52+AG54),1)</f>
        <v>41873.599999999999</v>
      </c>
      <c r="AH56" s="279"/>
      <c r="AI56" s="73"/>
      <c r="AJ56" s="818">
        <f>ROUND(SUM(+AJ52+AJ54),1)</f>
        <v>9913</v>
      </c>
      <c r="AK56" s="281"/>
      <c r="AL56" s="1439">
        <f>ROUND(SUM((AD56-AG56)/ABS(AG56)),3)</f>
        <v>0.23699999999999999</v>
      </c>
    </row>
    <row r="57" spans="1:38" ht="15" customHeight="1">
      <c r="A57" s="147"/>
      <c r="B57" s="28"/>
      <c r="C57" s="28"/>
      <c r="D57" s="1824"/>
      <c r="E57" s="804"/>
      <c r="F57" s="1031"/>
      <c r="G57" s="804"/>
      <c r="H57" s="677"/>
      <c r="I57" s="804"/>
      <c r="J57" s="677"/>
      <c r="K57" s="162"/>
      <c r="L57" s="677"/>
      <c r="M57" s="162"/>
      <c r="N57" s="85"/>
      <c r="O57" s="162"/>
      <c r="P57" s="1989"/>
      <c r="Q57" s="1449"/>
      <c r="R57" s="1989"/>
      <c r="S57" s="1449"/>
      <c r="T57" s="1989"/>
      <c r="U57" s="1449"/>
      <c r="V57" s="2035"/>
      <c r="W57" s="1979"/>
      <c r="X57" s="2035"/>
      <c r="Y57" s="1979"/>
      <c r="Z57" s="2035"/>
      <c r="AA57" s="1961"/>
      <c r="AB57" s="1975"/>
      <c r="AC57" s="1980"/>
      <c r="AD57" s="2153"/>
      <c r="AE57" s="2002"/>
      <c r="AF57" s="3148"/>
      <c r="AG57" s="2153"/>
      <c r="AH57" s="1793"/>
      <c r="AI57" s="1078"/>
      <c r="AJ57" s="1794"/>
      <c r="AK57" s="1794"/>
      <c r="AL57" s="1795"/>
    </row>
    <row r="58" spans="1:38" ht="15" customHeight="1">
      <c r="A58" s="147"/>
      <c r="B58" s="170" t="s">
        <v>22</v>
      </c>
      <c r="C58" s="28"/>
      <c r="D58" s="804"/>
      <c r="E58" s="804"/>
      <c r="F58" s="884"/>
      <c r="G58" s="804"/>
      <c r="H58" s="1515"/>
      <c r="I58" s="804"/>
      <c r="J58" s="1515"/>
      <c r="K58" s="162"/>
      <c r="L58" s="1515"/>
      <c r="M58" s="162"/>
      <c r="N58" s="63"/>
      <c r="O58" s="162"/>
      <c r="P58" s="1990"/>
      <c r="Q58" s="1449"/>
      <c r="R58" s="1990"/>
      <c r="S58" s="1449"/>
      <c r="T58" s="1990"/>
      <c r="U58" s="1449"/>
      <c r="V58" s="1979"/>
      <c r="W58" s="1979"/>
      <c r="X58" s="1979"/>
      <c r="Y58" s="1979"/>
      <c r="Z58" s="1979"/>
      <c r="AA58" s="1979"/>
      <c r="AB58" s="1975"/>
      <c r="AC58" s="1980"/>
      <c r="AD58" s="1975"/>
      <c r="AE58" s="2002"/>
      <c r="AF58" s="3148"/>
      <c r="AG58" s="1975"/>
      <c r="AH58" s="1793"/>
      <c r="AI58" s="1078"/>
      <c r="AJ58" s="1794"/>
      <c r="AK58" s="1794"/>
      <c r="AL58" s="1795"/>
    </row>
    <row r="59" spans="1:38" ht="15" customHeight="1">
      <c r="A59" s="147"/>
      <c r="B59" s="679" t="s">
        <v>150</v>
      </c>
      <c r="C59" s="28"/>
      <c r="D59" s="671"/>
      <c r="E59" s="804"/>
      <c r="F59" s="673"/>
      <c r="G59" s="804"/>
      <c r="H59" s="673"/>
      <c r="I59" s="804"/>
      <c r="J59" s="673"/>
      <c r="K59" s="162"/>
      <c r="L59" s="673"/>
      <c r="M59" s="162"/>
      <c r="N59" s="116"/>
      <c r="O59" s="162"/>
      <c r="P59" s="1998"/>
      <c r="Q59" s="1449"/>
      <c r="R59" s="1999"/>
      <c r="S59" s="1449"/>
      <c r="T59" s="1999"/>
      <c r="U59" s="1449"/>
      <c r="V59" s="1979"/>
      <c r="W59" s="1979"/>
      <c r="X59" s="1979"/>
      <c r="Y59" s="1979"/>
      <c r="Z59" s="1979"/>
      <c r="AA59" s="1979"/>
      <c r="AB59" s="1975"/>
      <c r="AC59" s="1980"/>
      <c r="AD59" s="1975"/>
      <c r="AE59" s="2002"/>
      <c r="AF59" s="3148"/>
      <c r="AG59" s="1975"/>
      <c r="AH59" s="1793"/>
      <c r="AI59" s="1078"/>
      <c r="AJ59" s="1781"/>
      <c r="AK59" s="1794"/>
      <c r="AL59" s="1799"/>
    </row>
    <row r="60" spans="1:38" s="876" customFormat="1" ht="15" customHeight="1">
      <c r="A60" s="1059"/>
      <c r="B60" s="1797" t="s">
        <v>24</v>
      </c>
      <c r="C60" s="104"/>
      <c r="D60" s="673">
        <v>272.8</v>
      </c>
      <c r="E60" s="804"/>
      <c r="F60" s="673">
        <v>481.09999999999997</v>
      </c>
      <c r="G60" s="804"/>
      <c r="H60" s="673">
        <v>867.40000000000009</v>
      </c>
      <c r="I60" s="804"/>
      <c r="J60" s="3863">
        <v>384</v>
      </c>
      <c r="K60" s="1521"/>
      <c r="L60" s="3863">
        <v>684.39999999999964</v>
      </c>
      <c r="M60" s="1521"/>
      <c r="N60" s="3863">
        <f>$AD60-$D60-$F60-$H60-$J60-$L60</f>
        <v>351.20000000000027</v>
      </c>
      <c r="O60" s="673"/>
      <c r="P60" s="673"/>
      <c r="Q60" s="1982"/>
      <c r="R60" s="1773"/>
      <c r="S60" s="1982"/>
      <c r="T60" s="1773"/>
      <c r="U60" s="1982"/>
      <c r="V60" s="1773"/>
      <c r="W60" s="1982"/>
      <c r="X60" s="1773"/>
      <c r="Y60" s="1982"/>
      <c r="Z60" s="1773"/>
      <c r="AA60" s="1983"/>
      <c r="AB60" s="1984"/>
      <c r="AC60" s="1985"/>
      <c r="AD60" s="1773">
        <v>3040.9</v>
      </c>
      <c r="AE60" s="1984"/>
      <c r="AF60" s="1986"/>
      <c r="AG60" s="1773">
        <v>1743.4</v>
      </c>
      <c r="AH60" s="1062"/>
      <c r="AI60" s="64"/>
      <c r="AJ60" s="884">
        <f>ROUND(SUM(+AD60-AG60),1)</f>
        <v>1297.5</v>
      </c>
      <c r="AK60" s="884"/>
      <c r="AL60" s="1708">
        <f>ROUND(IF(AG60=0,0,AJ60/ABS(AG60)),3)</f>
        <v>0.74399999999999999</v>
      </c>
    </row>
    <row r="61" spans="1:38" ht="15" customHeight="1">
      <c r="A61" s="147"/>
      <c r="B61" s="176" t="s">
        <v>25</v>
      </c>
      <c r="C61" s="28"/>
      <c r="D61" s="673">
        <v>0.3</v>
      </c>
      <c r="E61" s="804"/>
      <c r="F61" s="673">
        <v>0.10000000000000003</v>
      </c>
      <c r="G61" s="804"/>
      <c r="H61" s="673">
        <v>0</v>
      </c>
      <c r="I61" s="804"/>
      <c r="J61" s="3863">
        <v>9.9999999999999978E-2</v>
      </c>
      <c r="K61" s="1521"/>
      <c r="L61" s="3863">
        <v>9.9999999999999978E-2</v>
      </c>
      <c r="M61" s="1521"/>
      <c r="N61" s="3863">
        <f>$AD61-$D61-$F61-$H61-$J61-$L61</f>
        <v>0</v>
      </c>
      <c r="O61" s="1521"/>
      <c r="P61" s="673"/>
      <c r="Q61" s="1982"/>
      <c r="R61" s="1773"/>
      <c r="S61" s="1982"/>
      <c r="T61" s="1773"/>
      <c r="U61" s="1982"/>
      <c r="V61" s="1773"/>
      <c r="W61" s="1982"/>
      <c r="X61" s="1773"/>
      <c r="Y61" s="1982"/>
      <c r="Z61" s="1773"/>
      <c r="AA61" s="1983"/>
      <c r="AB61" s="1984"/>
      <c r="AC61" s="1985"/>
      <c r="AD61" s="1773">
        <v>0.6</v>
      </c>
      <c r="AE61" s="1984"/>
      <c r="AF61" s="1986"/>
      <c r="AG61" s="1773">
        <v>0.3</v>
      </c>
      <c r="AH61" s="1062"/>
      <c r="AI61" s="64"/>
      <c r="AJ61" s="884">
        <f>ROUND(SUM(+AD61-AG61),1)</f>
        <v>0.3</v>
      </c>
      <c r="AK61" s="884"/>
      <c r="AL61" s="1813">
        <f>ROUND(IF(AG61=0,1,AJ61/ABS(AG61)),3)</f>
        <v>1</v>
      </c>
    </row>
    <row r="62" spans="1:38" s="876" customFormat="1" ht="15" customHeight="1">
      <c r="A62" s="1059"/>
      <c r="B62" s="1797" t="s">
        <v>26</v>
      </c>
      <c r="C62" s="104"/>
      <c r="D62" s="673">
        <v>11.2</v>
      </c>
      <c r="E62" s="804"/>
      <c r="F62" s="673">
        <v>21.900000000000002</v>
      </c>
      <c r="G62" s="804"/>
      <c r="H62" s="673">
        <v>10</v>
      </c>
      <c r="I62" s="804"/>
      <c r="J62" s="3863">
        <v>438.50000000000006</v>
      </c>
      <c r="K62" s="1521"/>
      <c r="L62" s="3863">
        <v>10.699999999999989</v>
      </c>
      <c r="M62" s="1521"/>
      <c r="N62" s="3863">
        <f>$AD62-$D62-$F62-$H62-$J62-$L62</f>
        <v>16.099999999999966</v>
      </c>
      <c r="O62" s="1521"/>
      <c r="P62" s="673"/>
      <c r="Q62" s="1982"/>
      <c r="R62" s="1773"/>
      <c r="S62" s="1982"/>
      <c r="T62" s="1773"/>
      <c r="U62" s="1982"/>
      <c r="V62" s="1773"/>
      <c r="W62" s="1982"/>
      <c r="X62" s="1773"/>
      <c r="Y62" s="1982"/>
      <c r="Z62" s="1773"/>
      <c r="AA62" s="1983"/>
      <c r="AB62" s="1984"/>
      <c r="AC62" s="1985"/>
      <c r="AD62" s="1773">
        <v>508.4</v>
      </c>
      <c r="AE62" s="1984"/>
      <c r="AF62" s="1986"/>
      <c r="AG62" s="1773">
        <v>3879.8</v>
      </c>
      <c r="AH62" s="1062"/>
      <c r="AI62" s="64"/>
      <c r="AJ62" s="884">
        <f>ROUND(SUM(+AD62-AG62),1)</f>
        <v>-3371.4</v>
      </c>
      <c r="AK62" s="884"/>
      <c r="AL62" s="3740">
        <f>ROUND(IF(AG62=0,0,AJ62/ABS(AG62)),3)</f>
        <v>-0.86899999999999999</v>
      </c>
    </row>
    <row r="63" spans="1:38" s="876" customFormat="1" ht="15" customHeight="1">
      <c r="A63" s="1059"/>
      <c r="B63" s="1797" t="s">
        <v>27</v>
      </c>
      <c r="C63" s="104"/>
      <c r="D63" s="673" t="s">
        <v>14</v>
      </c>
      <c r="E63" s="804"/>
      <c r="F63" s="673"/>
      <c r="G63" s="804"/>
      <c r="H63" s="673"/>
      <c r="I63" s="804"/>
      <c r="J63" s="3863"/>
      <c r="K63" s="1521"/>
      <c r="L63" s="3863"/>
      <c r="M63" s="1521"/>
      <c r="N63" s="3863"/>
      <c r="O63" s="1521"/>
      <c r="P63" s="673"/>
      <c r="Q63" s="1982"/>
      <c r="R63" s="1773"/>
      <c r="S63" s="1982"/>
      <c r="T63" s="1773"/>
      <c r="U63" s="1982"/>
      <c r="V63" s="1773"/>
      <c r="W63" s="1982"/>
      <c r="X63" s="1773"/>
      <c r="Y63" s="1982"/>
      <c r="Z63" s="1773"/>
      <c r="AA63" s="1983"/>
      <c r="AB63" s="1984"/>
      <c r="AC63" s="1985"/>
      <c r="AD63" s="1773"/>
      <c r="AE63" s="1984"/>
      <c r="AF63" s="1986"/>
      <c r="AG63" s="1773"/>
      <c r="AH63" s="1062"/>
      <c r="AI63" s="64"/>
      <c r="AJ63" s="673"/>
      <c r="AK63" s="1781"/>
      <c r="AL63" s="1799"/>
    </row>
    <row r="64" spans="1:38" s="876" customFormat="1" ht="15" customHeight="1">
      <c r="A64" s="1059"/>
      <c r="B64" s="1798" t="s">
        <v>28</v>
      </c>
      <c r="C64" s="104"/>
      <c r="D64" s="673">
        <v>3371.2</v>
      </c>
      <c r="E64" s="804"/>
      <c r="F64" s="673">
        <v>3740.5</v>
      </c>
      <c r="G64" s="804"/>
      <c r="H64" s="673">
        <v>4328.8</v>
      </c>
      <c r="I64" s="804"/>
      <c r="J64" s="3863">
        <v>3262.2999999999984</v>
      </c>
      <c r="K64" s="1521"/>
      <c r="L64" s="3863">
        <v>3980.7000000000007</v>
      </c>
      <c r="M64" s="1521"/>
      <c r="N64" s="3863">
        <f t="shared" ref="N64:N69" si="5">$AD64-$D64-$F64-$H64-$J64-$L64</f>
        <v>3710.5999999999995</v>
      </c>
      <c r="O64" s="1521"/>
      <c r="P64" s="673"/>
      <c r="Q64" s="1982"/>
      <c r="R64" s="1773"/>
      <c r="S64" s="1982"/>
      <c r="T64" s="1773"/>
      <c r="U64" s="1982"/>
      <c r="V64" s="1773"/>
      <c r="W64" s="1982"/>
      <c r="X64" s="1773"/>
      <c r="Y64" s="1982"/>
      <c r="Z64" s="1773"/>
      <c r="AA64" s="1983"/>
      <c r="AB64" s="1984"/>
      <c r="AC64" s="1985"/>
      <c r="AD64" s="1773">
        <v>22394.1</v>
      </c>
      <c r="AE64" s="1984"/>
      <c r="AF64" s="1986"/>
      <c r="AG64" s="1773">
        <v>23198.6</v>
      </c>
      <c r="AH64" s="1062"/>
      <c r="AI64" s="64"/>
      <c r="AJ64" s="884">
        <f t="shared" ref="AJ64:AJ69" si="6">ROUND(SUM(+AD64-AG64),1)</f>
        <v>-804.5</v>
      </c>
      <c r="AK64" s="884"/>
      <c r="AL64" s="1708">
        <f t="shared" ref="AL64:AL69" si="7">ROUND(IF(AG64=0,0,AJ64/ABS(AG64)),3)</f>
        <v>-3.5000000000000003E-2</v>
      </c>
    </row>
    <row r="65" spans="1:38" s="876" customFormat="1" ht="15" customHeight="1">
      <c r="A65" s="1059"/>
      <c r="B65" s="1797" t="s">
        <v>29</v>
      </c>
      <c r="C65" s="104"/>
      <c r="D65" s="673">
        <v>521.6</v>
      </c>
      <c r="E65" s="804"/>
      <c r="F65" s="673">
        <v>509.69999999999993</v>
      </c>
      <c r="G65" s="804"/>
      <c r="H65" s="673">
        <v>726.70000000000016</v>
      </c>
      <c r="I65" s="804"/>
      <c r="J65" s="3863">
        <v>652.19999999999993</v>
      </c>
      <c r="K65" s="1521"/>
      <c r="L65" s="3863">
        <v>627.4</v>
      </c>
      <c r="M65" s="1521"/>
      <c r="N65" s="3863">
        <f t="shared" si="5"/>
        <v>746.3000000000003</v>
      </c>
      <c r="O65" s="1521"/>
      <c r="P65" s="673"/>
      <c r="Q65" s="1982"/>
      <c r="R65" s="1773"/>
      <c r="S65" s="1982"/>
      <c r="T65" s="1773"/>
      <c r="U65" s="1982"/>
      <c r="V65" s="1773"/>
      <c r="W65" s="1982"/>
      <c r="X65" s="1773"/>
      <c r="Y65" s="1982"/>
      <c r="Z65" s="1773"/>
      <c r="AA65" s="1983"/>
      <c r="AB65" s="1984"/>
      <c r="AC65" s="1985"/>
      <c r="AD65" s="1773">
        <v>3783.9</v>
      </c>
      <c r="AE65" s="1984"/>
      <c r="AF65" s="1986"/>
      <c r="AG65" s="1773">
        <v>3256</v>
      </c>
      <c r="AH65" s="1062"/>
      <c r="AI65" s="64"/>
      <c r="AJ65" s="884">
        <f t="shared" si="6"/>
        <v>527.9</v>
      </c>
      <c r="AK65" s="884"/>
      <c r="AL65" s="1708">
        <f t="shared" si="7"/>
        <v>0.16200000000000001</v>
      </c>
    </row>
    <row r="66" spans="1:38" s="876" customFormat="1" ht="15" customHeight="1">
      <c r="A66" s="1059"/>
      <c r="B66" s="1797" t="s">
        <v>30</v>
      </c>
      <c r="C66" s="104"/>
      <c r="D66" s="673">
        <v>103.9</v>
      </c>
      <c r="E66" s="804"/>
      <c r="F66" s="673">
        <v>88</v>
      </c>
      <c r="G66" s="804"/>
      <c r="H66" s="673">
        <v>128.4</v>
      </c>
      <c r="I66" s="804"/>
      <c r="J66" s="3863">
        <v>197.20000000000002</v>
      </c>
      <c r="K66" s="1521"/>
      <c r="L66" s="3863">
        <v>62.400000000000006</v>
      </c>
      <c r="M66" s="1521"/>
      <c r="N66" s="3863">
        <f t="shared" si="5"/>
        <v>184</v>
      </c>
      <c r="O66" s="1521"/>
      <c r="P66" s="673"/>
      <c r="Q66" s="1982"/>
      <c r="R66" s="1773"/>
      <c r="S66" s="1982"/>
      <c r="T66" s="1773"/>
      <c r="U66" s="1982"/>
      <c r="V66" s="1773"/>
      <c r="W66" s="1982"/>
      <c r="X66" s="1773"/>
      <c r="Y66" s="1982"/>
      <c r="Z66" s="1773"/>
      <c r="AA66" s="1983"/>
      <c r="AB66" s="1984"/>
      <c r="AC66" s="1985"/>
      <c r="AD66" s="1773">
        <v>763.9</v>
      </c>
      <c r="AE66" s="1984"/>
      <c r="AF66" s="1986"/>
      <c r="AG66" s="1773">
        <v>685.7</v>
      </c>
      <c r="AH66" s="1062"/>
      <c r="AI66" s="64"/>
      <c r="AJ66" s="884">
        <f t="shared" si="6"/>
        <v>78.2</v>
      </c>
      <c r="AK66" s="884"/>
      <c r="AL66" s="1708">
        <f t="shared" si="7"/>
        <v>0.114</v>
      </c>
    </row>
    <row r="67" spans="1:38" s="876" customFormat="1" ht="15" customHeight="1">
      <c r="A67" s="1059"/>
      <c r="B67" s="1797" t="s">
        <v>31</v>
      </c>
      <c r="C67" s="104"/>
      <c r="D67" s="673">
        <v>158.5</v>
      </c>
      <c r="E67" s="804"/>
      <c r="F67" s="673">
        <v>200.39999999999998</v>
      </c>
      <c r="G67" s="804"/>
      <c r="H67" s="673">
        <v>496.1</v>
      </c>
      <c r="I67" s="804"/>
      <c r="J67" s="3863">
        <v>632.0999999999998</v>
      </c>
      <c r="K67" s="1521"/>
      <c r="L67" s="3863">
        <v>690.8000000000003</v>
      </c>
      <c r="M67" s="1521"/>
      <c r="N67" s="3863">
        <f t="shared" si="5"/>
        <v>1389.4</v>
      </c>
      <c r="O67" s="1521"/>
      <c r="P67" s="673"/>
      <c r="Q67" s="1982"/>
      <c r="R67" s="1773"/>
      <c r="S67" s="1982"/>
      <c r="T67" s="1773"/>
      <c r="U67" s="1982"/>
      <c r="V67" s="1773"/>
      <c r="W67" s="1982"/>
      <c r="X67" s="1773"/>
      <c r="Y67" s="1982"/>
      <c r="Z67" s="1773"/>
      <c r="AA67" s="1983"/>
      <c r="AB67" s="1984"/>
      <c r="AC67" s="1985"/>
      <c r="AD67" s="1773">
        <v>3567.3</v>
      </c>
      <c r="AE67" s="1984"/>
      <c r="AF67" s="1986"/>
      <c r="AG67" s="1773">
        <v>1819.3</v>
      </c>
      <c r="AH67" s="1062"/>
      <c r="AI67" s="64"/>
      <c r="AJ67" s="884">
        <f t="shared" si="6"/>
        <v>1748</v>
      </c>
      <c r="AK67" s="884"/>
      <c r="AL67" s="1708">
        <f t="shared" si="7"/>
        <v>0.96099999999999997</v>
      </c>
    </row>
    <row r="68" spans="1:38" s="876" customFormat="1" ht="15" customHeight="1">
      <c r="A68" s="1059"/>
      <c r="B68" s="1797" t="s">
        <v>32</v>
      </c>
      <c r="C68" s="104"/>
      <c r="D68" s="673">
        <v>0.2</v>
      </c>
      <c r="E68" s="804"/>
      <c r="F68" s="673">
        <v>0</v>
      </c>
      <c r="G68" s="804"/>
      <c r="H68" s="673">
        <v>0.39999999999999997</v>
      </c>
      <c r="I68" s="804"/>
      <c r="J68" s="3863">
        <v>2.1999999999999997</v>
      </c>
      <c r="K68" s="1521"/>
      <c r="L68" s="3863">
        <v>3.1999999999999997</v>
      </c>
      <c r="M68" s="1521"/>
      <c r="N68" s="3863">
        <f>$AD68-$D68-$F68-$H68-$J68-$L68</f>
        <v>9.9999999999999645E-2</v>
      </c>
      <c r="O68" s="1521"/>
      <c r="P68" s="673"/>
      <c r="Q68" s="1982"/>
      <c r="R68" s="1773"/>
      <c r="S68" s="1982"/>
      <c r="T68" s="1773"/>
      <c r="U68" s="1982"/>
      <c r="V68" s="1773"/>
      <c r="W68" s="1982"/>
      <c r="X68" s="1773"/>
      <c r="Y68" s="1982"/>
      <c r="Z68" s="1773"/>
      <c r="AA68" s="1983"/>
      <c r="AB68" s="1984"/>
      <c r="AC68" s="1985"/>
      <c r="AD68" s="1774">
        <v>6.1</v>
      </c>
      <c r="AE68" s="1984"/>
      <c r="AF68" s="1986"/>
      <c r="AG68" s="1773">
        <v>5</v>
      </c>
      <c r="AH68" s="1062"/>
      <c r="AI68" s="64"/>
      <c r="AJ68" s="884">
        <f t="shared" si="6"/>
        <v>1.1000000000000001</v>
      </c>
      <c r="AK68" s="884"/>
      <c r="AL68" s="1708">
        <f>ROUND(IF(AG68=0,1,AJ68/ABS(AG68)),3)</f>
        <v>0.22</v>
      </c>
    </row>
    <row r="69" spans="1:38" s="876" customFormat="1" ht="15" customHeight="1">
      <c r="A69" s="1059"/>
      <c r="B69" s="1797" t="s">
        <v>33</v>
      </c>
      <c r="C69" s="104"/>
      <c r="D69" s="673">
        <v>2.4</v>
      </c>
      <c r="E69" s="804"/>
      <c r="F69" s="673">
        <v>3.4999999999999996</v>
      </c>
      <c r="G69" s="804"/>
      <c r="H69" s="673">
        <v>4.0999999999999996</v>
      </c>
      <c r="I69" s="804"/>
      <c r="J69" s="3863">
        <v>3.4000000000000004</v>
      </c>
      <c r="K69" s="1521"/>
      <c r="L69" s="3863">
        <v>5.7000000000000028</v>
      </c>
      <c r="M69" s="1521"/>
      <c r="N69" s="3863">
        <f t="shared" si="5"/>
        <v>5.6999999999999993</v>
      </c>
      <c r="O69" s="1521"/>
      <c r="P69" s="673"/>
      <c r="Q69" s="1982"/>
      <c r="R69" s="1773"/>
      <c r="S69" s="1982"/>
      <c r="T69" s="1773"/>
      <c r="U69" s="1982"/>
      <c r="V69" s="1773"/>
      <c r="W69" s="1982"/>
      <c r="X69" s="1773"/>
      <c r="Y69" s="1982"/>
      <c r="Z69" s="1773"/>
      <c r="AA69" s="1983"/>
      <c r="AB69" s="1984"/>
      <c r="AC69" s="1985"/>
      <c r="AD69" s="1773">
        <v>24.8</v>
      </c>
      <c r="AE69" s="1984"/>
      <c r="AF69" s="1986"/>
      <c r="AG69" s="1773">
        <v>29</v>
      </c>
      <c r="AH69" s="1062"/>
      <c r="AI69" s="64"/>
      <c r="AJ69" s="884">
        <f t="shared" si="6"/>
        <v>-4.2</v>
      </c>
      <c r="AK69" s="1013"/>
      <c r="AL69" s="1796">
        <f t="shared" si="7"/>
        <v>-0.14499999999999999</v>
      </c>
    </row>
    <row r="70" spans="1:38" ht="15" customHeight="1">
      <c r="A70" s="147"/>
      <c r="B70" s="26" t="s">
        <v>1096</v>
      </c>
      <c r="C70" s="28"/>
      <c r="D70" s="291">
        <f>ROUND(SUM(D60:D69),2)</f>
        <v>4442.1000000000004</v>
      </c>
      <c r="E70" s="204"/>
      <c r="F70" s="1085">
        <f>ROUND(SUM(F60:F69),2)</f>
        <v>5045.2</v>
      </c>
      <c r="G70" s="163"/>
      <c r="H70" s="291">
        <f>ROUND(SUM(H60:H69),2)</f>
        <v>6561.9</v>
      </c>
      <c r="I70" s="204"/>
      <c r="J70" s="291">
        <f>ROUND(SUM(J60:J69),2)</f>
        <v>5572</v>
      </c>
      <c r="K70" s="204"/>
      <c r="L70" s="291">
        <f>ROUND(SUM(L60:L69),2)</f>
        <v>6065.4</v>
      </c>
      <c r="M70" s="204"/>
      <c r="N70" s="291">
        <f>ROUND(SUM(N60:N69),2)</f>
        <v>6403.4</v>
      </c>
      <c r="O70" s="204"/>
      <c r="P70" s="2000">
        <f>ROUND(SUM(P60:P69),2)</f>
        <v>0</v>
      </c>
      <c r="Q70" s="1994"/>
      <c r="R70" s="2000">
        <f>ROUND(SUM(R60:R69),2)</f>
        <v>0</v>
      </c>
      <c r="S70" s="1994"/>
      <c r="T70" s="2000">
        <f>ROUND(SUM(T60:T69),2)</f>
        <v>0</v>
      </c>
      <c r="U70" s="1994"/>
      <c r="V70" s="2154">
        <f>ROUND(SUM(V60:V69),2)</f>
        <v>0</v>
      </c>
      <c r="W70" s="2034"/>
      <c r="X70" s="2154">
        <f>ROUND(SUM(X60:X69),2)</f>
        <v>0</v>
      </c>
      <c r="Y70" s="2034"/>
      <c r="Z70" s="2154">
        <f>ROUND(SUM(Z60:Z69),2)</f>
        <v>0</v>
      </c>
      <c r="AA70" s="1448"/>
      <c r="AB70" s="2155"/>
      <c r="AC70" s="2156"/>
      <c r="AD70" s="2001">
        <f>ROUND(SUM(AD60:AD69),1)</f>
        <v>34090</v>
      </c>
      <c r="AE70" s="1448"/>
      <c r="AF70" s="3122"/>
      <c r="AG70" s="2001">
        <f>ROUND(SUM(AG60:AG69),1)</f>
        <v>34617.1</v>
      </c>
      <c r="AH70" s="1801"/>
      <c r="AI70" s="112"/>
      <c r="AJ70" s="108">
        <f>ROUND(SUM(AD70-AG70),1)</f>
        <v>-527.1</v>
      </c>
      <c r="AK70" s="2157"/>
      <c r="AL70" s="2158">
        <f>ROUND(SUM((AD70-AG70)/ABS(AG70)),3)</f>
        <v>-1.4999999999999999E-2</v>
      </c>
    </row>
    <row r="71" spans="1:38" s="876" customFormat="1" ht="15" customHeight="1">
      <c r="A71" s="1059"/>
      <c r="B71" s="104" t="s">
        <v>151</v>
      </c>
      <c r="C71" s="104"/>
      <c r="D71" s="804"/>
      <c r="E71" s="804"/>
      <c r="F71" s="884"/>
      <c r="G71" s="804"/>
      <c r="H71" s="1515"/>
      <c r="I71" s="804"/>
      <c r="J71" s="1515"/>
      <c r="K71" s="137"/>
      <c r="L71" s="1515"/>
      <c r="M71" s="137"/>
      <c r="N71" s="115"/>
      <c r="O71" s="137"/>
      <c r="P71" s="1979"/>
      <c r="Q71" s="1975"/>
      <c r="R71" s="1979"/>
      <c r="S71" s="1975"/>
      <c r="T71" s="1979"/>
      <c r="U71" s="1975"/>
      <c r="V71" s="1979"/>
      <c r="W71" s="1979"/>
      <c r="X71" s="1979"/>
      <c r="Y71" s="1979"/>
      <c r="Z71" s="1979"/>
      <c r="AA71" s="1979"/>
      <c r="AB71" s="1975"/>
      <c r="AC71" s="1980"/>
      <c r="AD71" s="1975"/>
      <c r="AE71" s="2002"/>
      <c r="AF71" s="3148"/>
      <c r="AG71" s="1975"/>
      <c r="AH71" s="1793"/>
      <c r="AI71" s="1078"/>
      <c r="AJ71" s="1794"/>
      <c r="AK71" s="1794"/>
      <c r="AL71" s="1795"/>
    </row>
    <row r="72" spans="1:38" s="876" customFormat="1" ht="15" customHeight="1">
      <c r="A72" s="1059"/>
      <c r="B72" s="104" t="s">
        <v>152</v>
      </c>
      <c r="C72" s="104"/>
      <c r="D72" s="673">
        <v>51</v>
      </c>
      <c r="E72" s="804"/>
      <c r="F72" s="673">
        <v>50.900000000000006</v>
      </c>
      <c r="G72" s="804"/>
      <c r="H72" s="673">
        <v>457.70000000000005</v>
      </c>
      <c r="I72" s="804"/>
      <c r="J72" s="3863">
        <v>64.100000000000023</v>
      </c>
      <c r="K72" s="1521"/>
      <c r="L72" s="3863">
        <v>52.5</v>
      </c>
      <c r="M72" s="1521"/>
      <c r="N72" s="3863">
        <f t="shared" ref="N72:N77" si="8">$AD72-$D72-$F72-$H72-$J72-$L72</f>
        <v>70.699999999999932</v>
      </c>
      <c r="O72" s="1521"/>
      <c r="P72" s="673"/>
      <c r="Q72" s="1982"/>
      <c r="R72" s="1773"/>
      <c r="S72" s="1982"/>
      <c r="T72" s="1773"/>
      <c r="U72" s="1982"/>
      <c r="V72" s="1773"/>
      <c r="W72" s="1982"/>
      <c r="X72" s="1773"/>
      <c r="Y72" s="1982"/>
      <c r="Z72" s="1773"/>
      <c r="AA72" s="1983"/>
      <c r="AB72" s="1984"/>
      <c r="AC72" s="1985"/>
      <c r="AD72" s="1773">
        <v>746.9</v>
      </c>
      <c r="AE72" s="1984"/>
      <c r="AF72" s="1986"/>
      <c r="AG72" s="1773">
        <v>599.20000000000005</v>
      </c>
      <c r="AH72" s="1062"/>
      <c r="AI72" s="64"/>
      <c r="AJ72" s="884">
        <f>ROUND(SUM(+AD72-AG72),1)</f>
        <v>147.69999999999999</v>
      </c>
      <c r="AK72" s="884"/>
      <c r="AL72" s="1708">
        <f>ROUND(IF(AG72=0,0,AJ72/ABS(AG72)),3)</f>
        <v>0.246</v>
      </c>
    </row>
    <row r="73" spans="1:38" s="876" customFormat="1" ht="15" customHeight="1">
      <c r="A73" s="1059"/>
      <c r="B73" s="104" t="s">
        <v>178</v>
      </c>
      <c r="C73" s="104"/>
      <c r="D73" s="673">
        <v>156.9</v>
      </c>
      <c r="E73" s="804"/>
      <c r="F73" s="673">
        <v>105.70000000000002</v>
      </c>
      <c r="G73" s="804"/>
      <c r="H73" s="673">
        <v>465.1</v>
      </c>
      <c r="I73" s="804"/>
      <c r="J73" s="3863">
        <v>151.09999999999991</v>
      </c>
      <c r="K73" s="1521"/>
      <c r="L73" s="3863">
        <v>215.10000000000014</v>
      </c>
      <c r="M73" s="1521"/>
      <c r="N73" s="3863">
        <f>$AD73-$D73-$F73-$H73-$J73-$L73</f>
        <v>204.99999999999989</v>
      </c>
      <c r="O73" s="1521"/>
      <c r="P73" s="673"/>
      <c r="Q73" s="1982"/>
      <c r="R73" s="1773"/>
      <c r="S73" s="1982"/>
      <c r="T73" s="1773"/>
      <c r="U73" s="1982"/>
      <c r="V73" s="1773"/>
      <c r="W73" s="1982"/>
      <c r="X73" s="1773"/>
      <c r="Y73" s="1982"/>
      <c r="Z73" s="1773"/>
      <c r="AA73" s="1983"/>
      <c r="AB73" s="1984"/>
      <c r="AC73" s="1985"/>
      <c r="AD73" s="1773">
        <v>1298.9000000000001</v>
      </c>
      <c r="AE73" s="1984"/>
      <c r="AF73" s="1986"/>
      <c r="AG73" s="1773">
        <v>1588.2</v>
      </c>
      <c r="AH73" s="1062"/>
      <c r="AI73" s="64"/>
      <c r="AJ73" s="884">
        <f>ROUND(SUM(+AD73-AG73),1)</f>
        <v>-289.3</v>
      </c>
      <c r="AK73" s="884"/>
      <c r="AL73" s="1708">
        <f>ROUND(IF(AG73=0,0,AJ73/ABS(AG73)),3)</f>
        <v>-0.182</v>
      </c>
    </row>
    <row r="74" spans="1:38" s="876" customFormat="1" ht="15" customHeight="1">
      <c r="A74" s="1059"/>
      <c r="B74" s="104" t="s">
        <v>154</v>
      </c>
      <c r="C74" s="104"/>
      <c r="D74" s="673">
        <v>25.4</v>
      </c>
      <c r="E74" s="804"/>
      <c r="F74" s="673">
        <v>27</v>
      </c>
      <c r="G74" s="804"/>
      <c r="H74" s="673">
        <v>156.4</v>
      </c>
      <c r="I74" s="804"/>
      <c r="J74" s="3863">
        <v>108.6</v>
      </c>
      <c r="K74" s="1521"/>
      <c r="L74" s="3863">
        <v>40.100000000000023</v>
      </c>
      <c r="M74" s="1521"/>
      <c r="N74" s="3863">
        <f t="shared" si="8"/>
        <v>31.100000000000023</v>
      </c>
      <c r="O74" s="1521"/>
      <c r="P74" s="673"/>
      <c r="Q74" s="1982"/>
      <c r="R74" s="1773"/>
      <c r="S74" s="1982"/>
      <c r="T74" s="1773"/>
      <c r="U74" s="1982"/>
      <c r="V74" s="1773"/>
      <c r="W74" s="1982"/>
      <c r="X74" s="1773"/>
      <c r="Y74" s="1982"/>
      <c r="Z74" s="1773"/>
      <c r="AA74" s="1983"/>
      <c r="AB74" s="1984"/>
      <c r="AC74" s="1985"/>
      <c r="AD74" s="1773">
        <v>388.6</v>
      </c>
      <c r="AE74" s="1984"/>
      <c r="AF74" s="1986"/>
      <c r="AG74" s="1773">
        <v>264.2</v>
      </c>
      <c r="AH74" s="1062"/>
      <c r="AI74" s="64"/>
      <c r="AJ74" s="884">
        <f>ROUND(SUM(+AD74-AG74),1)</f>
        <v>124.4</v>
      </c>
      <c r="AK74" s="884"/>
      <c r="AL74" s="1708">
        <f>ROUND(IF(AG74=0,0,AJ74/ABS(AG74)),3)</f>
        <v>0.47099999999999997</v>
      </c>
    </row>
    <row r="75" spans="1:38" s="876" customFormat="1" ht="15" customHeight="1">
      <c r="A75" s="1059"/>
      <c r="B75" s="3087" t="s">
        <v>1292</v>
      </c>
      <c r="C75" s="104"/>
      <c r="D75" s="673"/>
      <c r="E75" s="804"/>
      <c r="F75" s="673">
        <v>0</v>
      </c>
      <c r="G75" s="804"/>
      <c r="H75" s="673">
        <v>0</v>
      </c>
      <c r="I75" s="804"/>
      <c r="J75" s="3863">
        <v>0</v>
      </c>
      <c r="K75" s="1521"/>
      <c r="L75" s="3863">
        <v>0</v>
      </c>
      <c r="M75" s="1521"/>
      <c r="N75" s="3863">
        <f t="shared" si="8"/>
        <v>0</v>
      </c>
      <c r="O75" s="1521"/>
      <c r="P75" s="673"/>
      <c r="Q75" s="1982"/>
      <c r="R75" s="1773"/>
      <c r="S75" s="1982"/>
      <c r="T75" s="1773"/>
      <c r="U75" s="1982"/>
      <c r="V75" s="1773"/>
      <c r="W75" s="1982"/>
      <c r="X75" s="1773"/>
      <c r="Y75" s="1982"/>
      <c r="Z75" s="1773"/>
      <c r="AA75" s="1983"/>
      <c r="AB75" s="1984"/>
      <c r="AC75" s="1985"/>
      <c r="AD75" s="1773"/>
      <c r="AE75" s="1984"/>
      <c r="AF75" s="1986"/>
      <c r="AG75" s="1773"/>
      <c r="AH75" s="1062"/>
      <c r="AI75" s="64"/>
      <c r="AJ75" s="884"/>
      <c r="AK75" s="884"/>
      <c r="AL75" s="1708"/>
    </row>
    <row r="76" spans="1:38" s="876" customFormat="1" ht="15" customHeight="1">
      <c r="A76" s="1059"/>
      <c r="B76" s="3087" t="s">
        <v>1400</v>
      </c>
      <c r="C76" s="104"/>
      <c r="D76" s="673">
        <v>0</v>
      </c>
      <c r="E76" s="804"/>
      <c r="F76" s="673">
        <v>0</v>
      </c>
      <c r="G76" s="804"/>
      <c r="H76" s="673">
        <v>42.3</v>
      </c>
      <c r="I76" s="804"/>
      <c r="J76" s="3863">
        <v>0</v>
      </c>
      <c r="K76" s="1521"/>
      <c r="L76" s="3863">
        <v>0</v>
      </c>
      <c r="M76" s="1521"/>
      <c r="N76" s="3863">
        <f t="shared" si="8"/>
        <v>0</v>
      </c>
      <c r="O76" s="1521"/>
      <c r="P76" s="673"/>
      <c r="Q76" s="1982"/>
      <c r="R76" s="1773"/>
      <c r="S76" s="1982"/>
      <c r="T76" s="1773"/>
      <c r="U76" s="1982"/>
      <c r="V76" s="1773"/>
      <c r="W76" s="1982"/>
      <c r="X76" s="1773"/>
      <c r="Y76" s="1982"/>
      <c r="Z76" s="1773"/>
      <c r="AA76" s="1983"/>
      <c r="AB76" s="1984"/>
      <c r="AC76" s="1985"/>
      <c r="AD76" s="1773">
        <v>42.3</v>
      </c>
      <c r="AE76" s="1984"/>
      <c r="AF76" s="1986"/>
      <c r="AG76" s="1773">
        <v>0</v>
      </c>
      <c r="AH76" s="1062"/>
      <c r="AI76" s="64"/>
      <c r="AJ76" s="884">
        <f>ROUND(SUM(+AD76-AG76),1)</f>
        <v>42.3</v>
      </c>
      <c r="AK76" s="884"/>
      <c r="AL76" s="1708">
        <f>ROUND(IF(AG76=0,1,AJ76/ABS(AG76)),3)</f>
        <v>1</v>
      </c>
    </row>
    <row r="77" spans="1:38" s="876" customFormat="1" ht="15" customHeight="1">
      <c r="A77" s="1059"/>
      <c r="B77" s="104" t="s">
        <v>179</v>
      </c>
      <c r="C77" s="104"/>
      <c r="D77" s="673">
        <v>0</v>
      </c>
      <c r="E77" s="804"/>
      <c r="F77" s="673">
        <v>0</v>
      </c>
      <c r="G77" s="804"/>
      <c r="H77" s="673">
        <v>0</v>
      </c>
      <c r="I77" s="804"/>
      <c r="J77" s="3863">
        <v>0</v>
      </c>
      <c r="K77" s="1521"/>
      <c r="L77" s="3863">
        <v>0</v>
      </c>
      <c r="M77" s="1521"/>
      <c r="N77" s="3863">
        <f t="shared" si="8"/>
        <v>0</v>
      </c>
      <c r="O77" s="1521"/>
      <c r="P77" s="673"/>
      <c r="Q77" s="1982"/>
      <c r="R77" s="1773"/>
      <c r="S77" s="1982"/>
      <c r="T77" s="1773"/>
      <c r="U77" s="1982"/>
      <c r="V77" s="1773"/>
      <c r="W77" s="1982"/>
      <c r="X77" s="1773"/>
      <c r="Y77" s="1982"/>
      <c r="Z77" s="1773"/>
      <c r="AA77" s="1983"/>
      <c r="AB77" s="1984"/>
      <c r="AC77" s="1985"/>
      <c r="AD77" s="1773">
        <v>0</v>
      </c>
      <c r="AE77" s="1984"/>
      <c r="AF77" s="1986"/>
      <c r="AG77" s="1773">
        <v>2.2999999999999998</v>
      </c>
      <c r="AH77" s="1062"/>
      <c r="AI77" s="64"/>
      <c r="AJ77" s="884">
        <f>ROUND(SUM(+AD77-AG77),1)</f>
        <v>-2.2999999999999998</v>
      </c>
      <c r="AK77" s="1013"/>
      <c r="AL77" s="1796">
        <f>ROUND(IF(AG77=0,0,AJ77/ABS(AG77)),3)</f>
        <v>-1</v>
      </c>
    </row>
    <row r="78" spans="1:38" ht="15" customHeight="1">
      <c r="A78" s="147"/>
      <c r="B78" s="28"/>
      <c r="C78" s="28"/>
      <c r="D78" s="1824"/>
      <c r="E78" s="804"/>
      <c r="F78" s="1031"/>
      <c r="G78" s="804"/>
      <c r="H78" s="677"/>
      <c r="I78" s="804"/>
      <c r="J78" s="677"/>
      <c r="K78" s="162"/>
      <c r="L78" s="677"/>
      <c r="M78" s="162"/>
      <c r="N78" s="85"/>
      <c r="O78" s="162"/>
      <c r="P78" s="1989"/>
      <c r="Q78" s="1449"/>
      <c r="R78" s="1989"/>
      <c r="S78" s="1449"/>
      <c r="T78" s="1989"/>
      <c r="U78" s="1449"/>
      <c r="V78" s="2035"/>
      <c r="W78" s="1979"/>
      <c r="X78" s="2035"/>
      <c r="Y78" s="1979"/>
      <c r="Z78" s="2035"/>
      <c r="AA78" s="1961"/>
      <c r="AB78" s="1975"/>
      <c r="AC78" s="1980"/>
      <c r="AD78" s="2035"/>
      <c r="AE78" s="1961"/>
      <c r="AF78" s="1981"/>
      <c r="AG78" s="2035"/>
      <c r="AH78" s="1062"/>
      <c r="AI78" s="64"/>
      <c r="AJ78" s="1031"/>
      <c r="AK78" s="1794"/>
      <c r="AL78" s="1434"/>
    </row>
    <row r="79" spans="1:38" ht="15" customHeight="1">
      <c r="A79" s="147"/>
      <c r="B79" s="26" t="s">
        <v>155</v>
      </c>
      <c r="C79" s="28"/>
      <c r="D79" s="911">
        <f>ROUND(SUM(D70:D77),1)</f>
        <v>4675.3999999999996</v>
      </c>
      <c r="E79" s="204"/>
      <c r="F79" s="109">
        <f>ROUND(SUM(F70:F77),1)</f>
        <v>5228.8</v>
      </c>
      <c r="G79" s="204"/>
      <c r="H79" s="911">
        <f>ROUND(SUM(H70:H77),1)</f>
        <v>7683.4</v>
      </c>
      <c r="I79" s="204"/>
      <c r="J79" s="911">
        <f>ROUND(SUM(J70:J77),1)</f>
        <v>5895.8</v>
      </c>
      <c r="K79" s="204"/>
      <c r="L79" s="911">
        <f>ROUND(SUM(L70:L77),1)</f>
        <v>6373.1</v>
      </c>
      <c r="M79" s="204"/>
      <c r="N79" s="911">
        <f>ROUND(SUM(N70:N77),1)</f>
        <v>6710.2</v>
      </c>
      <c r="O79" s="204"/>
      <c r="P79" s="1447">
        <f>ROUND(SUM(P70:P77),1)</f>
        <v>0</v>
      </c>
      <c r="Q79" s="1994"/>
      <c r="R79" s="1447">
        <f>ROUND(SUM(R70:R77),1)</f>
        <v>0</v>
      </c>
      <c r="S79" s="1994"/>
      <c r="T79" s="1447">
        <f>ROUND(SUM(T70:T77),1)</f>
        <v>0</v>
      </c>
      <c r="U79" s="1994"/>
      <c r="V79" s="2034">
        <f>ROUND(SUM(V70:V77),1)</f>
        <v>0</v>
      </c>
      <c r="W79" s="2034"/>
      <c r="X79" s="2034">
        <f>ROUND(SUM(X70:X77),1)</f>
        <v>0</v>
      </c>
      <c r="Y79" s="2034"/>
      <c r="Z79" s="2034">
        <f>ROUND(SUM(Z70:Z77),1)</f>
        <v>0</v>
      </c>
      <c r="AA79" s="2034"/>
      <c r="AB79" s="2155"/>
      <c r="AC79" s="2156"/>
      <c r="AD79" s="2034">
        <f>ROUND(SUM(AD70:AD77),1)</f>
        <v>36566.699999999997</v>
      </c>
      <c r="AE79" s="1448"/>
      <c r="AF79" s="3122"/>
      <c r="AG79" s="2034">
        <f>ROUND(SUM(AG70:AG77),1)</f>
        <v>37071</v>
      </c>
      <c r="AH79" s="1801"/>
      <c r="AI79" s="112"/>
      <c r="AJ79" s="117">
        <f>ROUND(SUM(AD79-AG79),1)</f>
        <v>-504.3</v>
      </c>
      <c r="AK79" s="2159"/>
      <c r="AL79" s="2160">
        <f>ROUND(SUM((AD79-AG79)/ABS(AG79)),3)</f>
        <v>-1.4E-2</v>
      </c>
    </row>
    <row r="80" spans="1:38" ht="15" customHeight="1">
      <c r="A80" s="147"/>
      <c r="B80" s="28"/>
      <c r="C80" s="28"/>
      <c r="D80" s="1824"/>
      <c r="E80" s="804"/>
      <c r="F80" s="1031"/>
      <c r="G80" s="804"/>
      <c r="H80" s="677"/>
      <c r="I80" s="804"/>
      <c r="J80" s="677"/>
      <c r="K80" s="162"/>
      <c r="L80" s="677"/>
      <c r="M80" s="162"/>
      <c r="N80" s="85"/>
      <c r="O80" s="162"/>
      <c r="P80" s="1989"/>
      <c r="Q80" s="1449"/>
      <c r="R80" s="1989"/>
      <c r="S80" s="1449"/>
      <c r="T80" s="1989"/>
      <c r="U80" s="1449"/>
      <c r="V80" s="2035"/>
      <c r="W80" s="1979"/>
      <c r="X80" s="2035"/>
      <c r="Y80" s="1979"/>
      <c r="Z80" s="2035"/>
      <c r="AA80" s="1961"/>
      <c r="AB80" s="1975"/>
      <c r="AC80" s="1980"/>
      <c r="AD80" s="2035"/>
      <c r="AE80" s="1961"/>
      <c r="AF80" s="1981"/>
      <c r="AG80" s="2035"/>
      <c r="AH80" s="1062"/>
      <c r="AI80" s="1076"/>
      <c r="AJ80" s="673"/>
      <c r="AK80" s="1794"/>
      <c r="AL80" s="1795"/>
    </row>
    <row r="81" spans="1:51" ht="15" customHeight="1">
      <c r="A81" s="147"/>
      <c r="B81" s="26" t="s">
        <v>156</v>
      </c>
      <c r="C81" s="28"/>
      <c r="D81" s="804"/>
      <c r="E81" s="804"/>
      <c r="F81" s="884"/>
      <c r="G81" s="804"/>
      <c r="H81" s="1515"/>
      <c r="I81" s="804"/>
      <c r="J81" s="1515"/>
      <c r="K81" s="162"/>
      <c r="L81" s="1515"/>
      <c r="M81" s="162"/>
      <c r="N81" s="63"/>
      <c r="O81" s="162"/>
      <c r="P81" s="1990"/>
      <c r="Q81" s="1449"/>
      <c r="R81" s="1990"/>
      <c r="S81" s="1449"/>
      <c r="T81" s="1990"/>
      <c r="U81" s="1449"/>
      <c r="V81" s="1979"/>
      <c r="W81" s="1979"/>
      <c r="X81" s="1979"/>
      <c r="Y81" s="1979"/>
      <c r="Z81" s="1979"/>
      <c r="AA81" s="1979"/>
      <c r="AB81" s="1975"/>
      <c r="AC81" s="1980"/>
      <c r="AD81" s="1961"/>
      <c r="AE81" s="3145"/>
      <c r="AF81" s="3149"/>
      <c r="AG81" s="1961"/>
      <c r="AH81" s="1062"/>
      <c r="AI81" s="2161"/>
      <c r="AJ81" s="673"/>
      <c r="AK81" s="1794"/>
      <c r="AL81" s="1795"/>
    </row>
    <row r="82" spans="1:51" ht="15" customHeight="1">
      <c r="A82" s="147"/>
      <c r="B82" s="26" t="s">
        <v>44</v>
      </c>
      <c r="C82" s="28"/>
      <c r="D82" s="911">
        <f>ROUND(SUM(D56-D79),1)</f>
        <v>2496.3000000000002</v>
      </c>
      <c r="E82" s="204"/>
      <c r="F82" s="911">
        <f>ROUND(SUM(F56-F79),1)</f>
        <v>13039.5</v>
      </c>
      <c r="G82" s="204"/>
      <c r="H82" s="911">
        <f>ROUND(SUM(H56-H79),1)</f>
        <v>-299.2</v>
      </c>
      <c r="I82" s="204"/>
      <c r="J82" s="911">
        <f>ROUND(SUM(J56-J79),1)</f>
        <v>-149.4</v>
      </c>
      <c r="K82" s="204"/>
      <c r="L82" s="911">
        <f>ROUND(SUM(L56-L79),1)</f>
        <v>-563.6</v>
      </c>
      <c r="M82" s="204"/>
      <c r="N82" s="911">
        <f>ROUND(SUM(N56-N79),1)</f>
        <v>696.3</v>
      </c>
      <c r="O82" s="204"/>
      <c r="P82" s="1447"/>
      <c r="Q82" s="1994"/>
      <c r="R82" s="1447"/>
      <c r="S82" s="1994"/>
      <c r="T82" s="1447"/>
      <c r="U82" s="1994"/>
      <c r="V82" s="2034"/>
      <c r="W82" s="2034"/>
      <c r="X82" s="2034"/>
      <c r="Y82" s="2034"/>
      <c r="Z82" s="2034"/>
      <c r="AA82" s="2034"/>
      <c r="AB82" s="2155"/>
      <c r="AC82" s="2156"/>
      <c r="AD82" s="2034">
        <f>ROUND(SUM(AD56-AD79),1)</f>
        <v>15219.9</v>
      </c>
      <c r="AE82" s="1448"/>
      <c r="AF82" s="3122"/>
      <c r="AG82" s="2034">
        <f>ROUND(SUM(AG56-AG79),1)</f>
        <v>4802.6000000000004</v>
      </c>
      <c r="AH82" s="1801"/>
      <c r="AI82" s="112"/>
      <c r="AJ82" s="117">
        <f>ROUND(SUM(AD82-AG82),1)</f>
        <v>10417.299999999999</v>
      </c>
      <c r="AK82" s="2162"/>
      <c r="AL82" s="3521">
        <f>ROUND(SUM((AD82-AG82)/ABS(AG82)),3)</f>
        <v>2.169</v>
      </c>
    </row>
    <row r="83" spans="1:51" ht="15" customHeight="1">
      <c r="A83" s="147"/>
      <c r="B83" s="28"/>
      <c r="C83" s="28"/>
      <c r="D83" s="1824"/>
      <c r="E83" s="804"/>
      <c r="F83" s="1031"/>
      <c r="G83" s="804"/>
      <c r="H83" s="677"/>
      <c r="I83" s="804"/>
      <c r="J83" s="677"/>
      <c r="K83" s="162"/>
      <c r="L83" s="677"/>
      <c r="M83" s="162"/>
      <c r="N83" s="85"/>
      <c r="O83" s="162"/>
      <c r="P83" s="1989"/>
      <c r="Q83" s="1449"/>
      <c r="R83" s="1989"/>
      <c r="S83" s="1449"/>
      <c r="T83" s="1989"/>
      <c r="U83" s="1449"/>
      <c r="V83" s="2035"/>
      <c r="W83" s="1979"/>
      <c r="X83" s="2035"/>
      <c r="Y83" s="1979"/>
      <c r="Z83" s="2035"/>
      <c r="AA83" s="1961"/>
      <c r="AB83" s="1975"/>
      <c r="AC83" s="1980"/>
      <c r="AD83" s="2035"/>
      <c r="AE83" s="1961"/>
      <c r="AF83" s="1981"/>
      <c r="AG83" s="2035"/>
      <c r="AH83" s="1062"/>
      <c r="AI83" s="64"/>
      <c r="AJ83" s="673"/>
      <c r="AK83" s="1794"/>
      <c r="AL83" s="1795"/>
    </row>
    <row r="84" spans="1:51" ht="15" customHeight="1">
      <c r="A84" s="147"/>
      <c r="B84" s="26" t="s">
        <v>45</v>
      </c>
      <c r="C84" s="28"/>
      <c r="D84" s="804"/>
      <c r="E84" s="804"/>
      <c r="F84" s="884"/>
      <c r="G84" s="804"/>
      <c r="H84" s="1515"/>
      <c r="I84" s="804"/>
      <c r="J84" s="1515"/>
      <c r="K84" s="162"/>
      <c r="L84" s="1515"/>
      <c r="M84" s="162"/>
      <c r="N84" s="63"/>
      <c r="O84" s="162"/>
      <c r="P84" s="1990"/>
      <c r="Q84" s="1449"/>
      <c r="R84" s="1990"/>
      <c r="S84" s="1449"/>
      <c r="T84" s="1990"/>
      <c r="U84" s="1449"/>
      <c r="V84" s="1979"/>
      <c r="W84" s="1979"/>
      <c r="X84" s="1979"/>
      <c r="Y84" s="1979"/>
      <c r="Z84" s="1979"/>
      <c r="AA84" s="1979"/>
      <c r="AB84" s="1975"/>
      <c r="AC84" s="1980"/>
      <c r="AD84" s="1979"/>
      <c r="AE84" s="1961"/>
      <c r="AF84" s="1981"/>
      <c r="AG84" s="1979"/>
      <c r="AH84" s="1062"/>
      <c r="AI84" s="64"/>
      <c r="AJ84" s="673"/>
      <c r="AK84" s="1794"/>
      <c r="AL84" s="1795"/>
    </row>
    <row r="85" spans="1:51" s="876" customFormat="1" ht="15" customHeight="1">
      <c r="A85" s="1059"/>
      <c r="B85" s="104" t="s">
        <v>180</v>
      </c>
      <c r="C85" s="104"/>
      <c r="D85" s="673">
        <v>0</v>
      </c>
      <c r="E85" s="804"/>
      <c r="F85" s="673">
        <v>0</v>
      </c>
      <c r="G85" s="804"/>
      <c r="H85" s="673">
        <v>0</v>
      </c>
      <c r="I85" s="804"/>
      <c r="J85" s="3863">
        <v>0</v>
      </c>
      <c r="K85" s="1521"/>
      <c r="L85" s="3863">
        <v>0</v>
      </c>
      <c r="M85" s="1521"/>
      <c r="N85" s="3863">
        <f t="shared" ref="N85:N86" si="9">$AD85-$D85-$F85-$H85-$J85-$L85</f>
        <v>0</v>
      </c>
      <c r="O85" s="1521"/>
      <c r="P85" s="673"/>
      <c r="Q85" s="1982"/>
      <c r="R85" s="1773"/>
      <c r="S85" s="1982"/>
      <c r="T85" s="1773"/>
      <c r="U85" s="1982"/>
      <c r="V85" s="1773"/>
      <c r="W85" s="1982"/>
      <c r="X85" s="1773"/>
      <c r="Y85" s="1982"/>
      <c r="Z85" s="1773"/>
      <c r="AA85" s="1983"/>
      <c r="AB85" s="1984"/>
      <c r="AC85" s="1985"/>
      <c r="AD85" s="1773">
        <v>0</v>
      </c>
      <c r="AE85" s="1984"/>
      <c r="AF85" s="1986"/>
      <c r="AG85" s="1773">
        <v>0</v>
      </c>
      <c r="AH85" s="1062"/>
      <c r="AI85" s="64"/>
      <c r="AJ85" s="1524">
        <f>ROUND(SUM(+AD85-AG85),1)</f>
        <v>0</v>
      </c>
      <c r="AK85" s="1013"/>
      <c r="AL85" s="1708">
        <f>-ROUND(IF(AG85=0,0,AJ85/ABS(AG85)),3)</f>
        <v>0</v>
      </c>
    </row>
    <row r="86" spans="1:51" s="876" customFormat="1" ht="15" customHeight="1">
      <c r="A86" s="1059"/>
      <c r="B86" s="104" t="s">
        <v>181</v>
      </c>
      <c r="C86" s="104"/>
      <c r="D86" s="673">
        <v>-156.4</v>
      </c>
      <c r="E86" s="804"/>
      <c r="F86" s="673">
        <v>-132.29999999999998</v>
      </c>
      <c r="G86" s="804"/>
      <c r="H86" s="673">
        <v>-185.40000000000006</v>
      </c>
      <c r="I86" s="804"/>
      <c r="J86" s="3863">
        <v>-342.19999999999993</v>
      </c>
      <c r="K86" s="1521"/>
      <c r="L86" s="3863">
        <v>-76.300000000000068</v>
      </c>
      <c r="M86" s="1521"/>
      <c r="N86" s="3863">
        <f t="shared" si="9"/>
        <v>-163.80000000000007</v>
      </c>
      <c r="O86" s="1521"/>
      <c r="P86" s="673"/>
      <c r="Q86" s="1982"/>
      <c r="R86" s="1773"/>
      <c r="S86" s="1982"/>
      <c r="T86" s="1773"/>
      <c r="U86" s="1982"/>
      <c r="V86" s="1773"/>
      <c r="W86" s="1982"/>
      <c r="X86" s="1773"/>
      <c r="Y86" s="1982"/>
      <c r="Z86" s="1773"/>
      <c r="AA86" s="1983"/>
      <c r="AB86" s="1984"/>
      <c r="AC86" s="1985"/>
      <c r="AD86" s="1773">
        <v>-1056.4000000000001</v>
      </c>
      <c r="AE86" s="1984"/>
      <c r="AF86" s="1986"/>
      <c r="AG86" s="3387">
        <v>-1007.6</v>
      </c>
      <c r="AH86" s="1062"/>
      <c r="AI86" s="64"/>
      <c r="AJ86" s="1013">
        <f>ROUND(SUM(+AD86-AG86)*-1,1)</f>
        <v>48.8</v>
      </c>
      <c r="AK86" s="1013"/>
      <c r="AL86" s="1708">
        <f>ROUND(IF(AG86=0,0,AJ86/ABS(AG86)),3)</f>
        <v>4.8000000000000001E-2</v>
      </c>
    </row>
    <row r="87" spans="1:51" ht="15" customHeight="1">
      <c r="A87" s="147"/>
      <c r="B87" s="28"/>
      <c r="C87" s="28"/>
      <c r="D87" s="165"/>
      <c r="E87" s="162"/>
      <c r="F87" s="123"/>
      <c r="G87" s="162"/>
      <c r="H87" s="85"/>
      <c r="I87" s="162"/>
      <c r="J87" s="85"/>
      <c r="K87" s="162"/>
      <c r="L87" s="85"/>
      <c r="M87" s="162"/>
      <c r="N87" s="85"/>
      <c r="O87" s="162"/>
      <c r="P87" s="1989"/>
      <c r="Q87" s="1449"/>
      <c r="R87" s="1989"/>
      <c r="S87" s="1449"/>
      <c r="T87" s="1989"/>
      <c r="U87" s="1449"/>
      <c r="V87" s="2035"/>
      <c r="W87" s="1979"/>
      <c r="X87" s="2035"/>
      <c r="Y87" s="1979"/>
      <c r="Z87" s="2035"/>
      <c r="AA87" s="1961"/>
      <c r="AB87" s="1975"/>
      <c r="AC87" s="1980"/>
      <c r="AD87" s="2035"/>
      <c r="AE87" s="1961"/>
      <c r="AF87" s="1981"/>
      <c r="AG87" s="1961"/>
      <c r="AH87" s="1062"/>
      <c r="AI87" s="64"/>
      <c r="AJ87" s="2163"/>
      <c r="AK87" s="1794"/>
      <c r="AL87" s="2164"/>
    </row>
    <row r="88" spans="1:51" ht="15" customHeight="1">
      <c r="A88" s="147"/>
      <c r="B88" s="26" t="s">
        <v>1090</v>
      </c>
      <c r="C88" s="28"/>
      <c r="D88" s="59">
        <f>ROUND(SUM(D85:D87),1)</f>
        <v>-156.4</v>
      </c>
      <c r="E88" s="204"/>
      <c r="F88" s="109">
        <f>ROUND(SUM(F85:F87),1)</f>
        <v>-132.30000000000001</v>
      </c>
      <c r="G88" s="204"/>
      <c r="H88" s="59">
        <f>ROUND(SUM(H85:H87),1)</f>
        <v>-185.4</v>
      </c>
      <c r="I88" s="204"/>
      <c r="J88" s="59">
        <f>ROUND(SUM(J85:J87),1)</f>
        <v>-342.2</v>
      </c>
      <c r="K88" s="204"/>
      <c r="L88" s="911">
        <f>ROUND(SUM(L85:L87),1)</f>
        <v>-76.3</v>
      </c>
      <c r="M88" s="204"/>
      <c r="N88" s="59">
        <f>ROUND(SUM(N85:N87),1)</f>
        <v>-163.80000000000001</v>
      </c>
      <c r="O88" s="204"/>
      <c r="P88" s="1447">
        <f>ROUND(SUM(P85:P87),1)</f>
        <v>0</v>
      </c>
      <c r="Q88" s="1994"/>
      <c r="R88" s="1447">
        <f>ROUND(SUM(R85:R87),1)</f>
        <v>0</v>
      </c>
      <c r="S88" s="1994"/>
      <c r="T88" s="1447">
        <f>ROUND(SUM(T85:T87),1)</f>
        <v>0</v>
      </c>
      <c r="U88" s="1994"/>
      <c r="V88" s="2034">
        <f>ROUND(SUM(V85:V87),1)</f>
        <v>0</v>
      </c>
      <c r="W88" s="2034"/>
      <c r="X88" s="2034">
        <f>ROUND(SUM(X85:X87),1)</f>
        <v>0</v>
      </c>
      <c r="Y88" s="2034"/>
      <c r="Z88" s="2034">
        <f>ROUND(SUM(Z85:Z87),1)</f>
        <v>0</v>
      </c>
      <c r="AA88" s="2034"/>
      <c r="AB88" s="2155"/>
      <c r="AC88" s="2156"/>
      <c r="AD88" s="2034">
        <f>ROUND(SUM(AD85:AD87),1)</f>
        <v>-1056.4000000000001</v>
      </c>
      <c r="AE88" s="1448"/>
      <c r="AF88" s="3122"/>
      <c r="AG88" s="2034">
        <f>ROUND(SUM(AG85:AG86),1)</f>
        <v>-1007.6</v>
      </c>
      <c r="AH88" s="1801"/>
      <c r="AI88" s="112"/>
      <c r="AJ88" s="117">
        <f>-ROUND(SUM(AD88-AG88),1)</f>
        <v>48.8</v>
      </c>
      <c r="AK88" s="2157"/>
      <c r="AL88" s="2160">
        <f>ROUND(SUM((AD88-AG88)/(AG88)),3)</f>
        <v>4.8000000000000001E-2</v>
      </c>
    </row>
    <row r="89" spans="1:51" ht="15" customHeight="1">
      <c r="A89" s="147"/>
      <c r="B89" s="28"/>
      <c r="C89" s="28"/>
      <c r="D89" s="165"/>
      <c r="E89" s="162"/>
      <c r="F89" s="3674"/>
      <c r="G89" s="162"/>
      <c r="H89" s="165"/>
      <c r="I89" s="162"/>
      <c r="J89" s="165"/>
      <c r="K89" s="162"/>
      <c r="L89" s="165"/>
      <c r="M89" s="162"/>
      <c r="N89" s="165"/>
      <c r="O89" s="162"/>
      <c r="P89" s="1453"/>
      <c r="Q89" s="1449"/>
      <c r="R89" s="1453"/>
      <c r="S89" s="1449"/>
      <c r="T89" s="1453"/>
      <c r="U89" s="1449"/>
      <c r="V89" s="2035"/>
      <c r="W89" s="1979"/>
      <c r="X89" s="2035"/>
      <c r="Y89" s="1979"/>
      <c r="Z89" s="2035"/>
      <c r="AA89" s="1961"/>
      <c r="AB89" s="1975"/>
      <c r="AC89" s="1980"/>
      <c r="AD89" s="2035"/>
      <c r="AE89" s="1961"/>
      <c r="AF89" s="1981"/>
      <c r="AG89" s="2035"/>
      <c r="AH89" s="1062"/>
      <c r="AI89" s="64"/>
      <c r="AJ89" s="673"/>
      <c r="AK89" s="1794"/>
      <c r="AL89" s="1795"/>
    </row>
    <row r="90" spans="1:51" ht="15" customHeight="1">
      <c r="A90" s="147"/>
      <c r="B90" s="26" t="s">
        <v>164</v>
      </c>
      <c r="C90" s="28"/>
      <c r="D90" s="162"/>
      <c r="E90" s="162"/>
      <c r="F90" s="137"/>
      <c r="G90" s="162"/>
      <c r="H90" s="162"/>
      <c r="I90" s="162"/>
      <c r="J90" s="162"/>
      <c r="K90" s="162"/>
      <c r="L90" s="162"/>
      <c r="M90" s="162"/>
      <c r="N90" s="162"/>
      <c r="O90" s="162"/>
      <c r="P90" s="1449"/>
      <c r="Q90" s="1449"/>
      <c r="R90" s="1449"/>
      <c r="S90" s="1449"/>
      <c r="T90" s="1449"/>
      <c r="U90" s="1449"/>
      <c r="V90" s="1975"/>
      <c r="W90" s="1975"/>
      <c r="X90" s="1975"/>
      <c r="Y90" s="1975"/>
      <c r="Z90" s="1975"/>
      <c r="AA90" s="1975"/>
      <c r="AB90" s="1975"/>
      <c r="AC90" s="1980"/>
      <c r="AD90" s="1975"/>
      <c r="AE90" s="2002"/>
      <c r="AF90" s="3148"/>
      <c r="AG90" s="1975"/>
      <c r="AH90" s="1793"/>
      <c r="AI90" s="1078"/>
      <c r="AJ90" s="1794"/>
      <c r="AK90" s="1794"/>
      <c r="AL90" s="1795"/>
    </row>
    <row r="91" spans="1:51" ht="15" customHeight="1">
      <c r="A91" s="147"/>
      <c r="B91" s="26" t="s">
        <v>165</v>
      </c>
      <c r="C91" s="28"/>
      <c r="D91" s="162"/>
      <c r="E91" s="162"/>
      <c r="F91" s="137"/>
      <c r="G91" s="162"/>
      <c r="H91" s="162"/>
      <c r="I91" s="162"/>
      <c r="J91" s="162"/>
      <c r="K91" s="162"/>
      <c r="L91" s="162"/>
      <c r="M91" s="162"/>
      <c r="N91" s="162"/>
      <c r="O91" s="162"/>
      <c r="P91" s="1449"/>
      <c r="Q91" s="1449"/>
      <c r="R91" s="1449"/>
      <c r="S91" s="1449"/>
      <c r="T91" s="1449"/>
      <c r="U91" s="1449"/>
      <c r="V91" s="1975"/>
      <c r="W91" s="1975"/>
      <c r="X91" s="1975"/>
      <c r="Y91" s="1975"/>
      <c r="Z91" s="1975"/>
      <c r="AA91" s="1975"/>
      <c r="AB91" s="1975"/>
      <c r="AC91" s="1980"/>
      <c r="AD91" s="1975"/>
      <c r="AE91" s="2002"/>
      <c r="AF91" s="3148"/>
      <c r="AG91" s="3434"/>
      <c r="AH91" s="1793"/>
      <c r="AI91" s="1078"/>
      <c r="AJ91" s="1794"/>
      <c r="AK91" s="1794"/>
      <c r="AL91" s="1795"/>
    </row>
    <row r="92" spans="1:51" ht="15" customHeight="1">
      <c r="A92" s="147"/>
      <c r="B92" s="26" t="s">
        <v>1091</v>
      </c>
      <c r="C92" s="28"/>
      <c r="D92" s="818">
        <f>ROUND(SUM(D82+D88),1)</f>
        <v>2339.9</v>
      </c>
      <c r="E92" s="162"/>
      <c r="F92" s="3675">
        <f>ROUND(SUM(F82+F88),1)</f>
        <v>12907.2</v>
      </c>
      <c r="G92" s="162"/>
      <c r="H92" s="818">
        <f>ROUND(SUM(H82+H88),1)</f>
        <v>-484.6</v>
      </c>
      <c r="I92" s="53"/>
      <c r="J92" s="818">
        <f>ROUND(SUM(J82+J88),1)</f>
        <v>-491.6</v>
      </c>
      <c r="K92" s="53"/>
      <c r="L92" s="818">
        <f>ROUND(SUM(L82+L88),1)</f>
        <v>-639.9</v>
      </c>
      <c r="M92" s="53"/>
      <c r="N92" s="818">
        <f>ROUND(SUM(N82+N88),1)</f>
        <v>532.5</v>
      </c>
      <c r="O92" s="53"/>
      <c r="P92" s="2004">
        <f>ROUND(SUM(P82+P88),1)</f>
        <v>0</v>
      </c>
      <c r="Q92" s="1991"/>
      <c r="R92" s="2004">
        <f>ROUND(SUM(R82+R88),1)</f>
        <v>0</v>
      </c>
      <c r="S92" s="1991"/>
      <c r="T92" s="2004">
        <f>ROUND(SUM(T82+T88),1)</f>
        <v>0</v>
      </c>
      <c r="U92" s="1991"/>
      <c r="V92" s="1544">
        <f>ROUND(SUM(V82+V88),1)</f>
        <v>0</v>
      </c>
      <c r="W92" s="1961"/>
      <c r="X92" s="1544">
        <f>ROUND(SUM(X82+X88),1)</f>
        <v>0</v>
      </c>
      <c r="Y92" s="1961"/>
      <c r="Z92" s="1544">
        <f>ROUND(SUM(Z82+Z88),1)</f>
        <v>0</v>
      </c>
      <c r="AA92" s="1961"/>
      <c r="AB92" s="2165"/>
      <c r="AC92" s="1961"/>
      <c r="AD92" s="1544">
        <f>ROUND(SUM(AD82+AD88),1)</f>
        <v>14163.5</v>
      </c>
      <c r="AE92" s="3146"/>
      <c r="AF92" s="1961"/>
      <c r="AG92" s="1544">
        <f>ROUND(SUM(AG82+AG88),1)</f>
        <v>3795</v>
      </c>
      <c r="AH92" s="1793"/>
      <c r="AI92" s="64"/>
      <c r="AJ92" s="1096">
        <f>ROUND(SUM(AJ82-AJ88),1)</f>
        <v>10368.5</v>
      </c>
      <c r="AK92" s="1020"/>
      <c r="AL92" s="2166">
        <f>ROUND(SUM((AD92-AG92)/ABS(AG92)),3)</f>
        <v>2.7320000000000002</v>
      </c>
    </row>
    <row r="93" spans="1:51" ht="15" customHeight="1">
      <c r="A93" s="147"/>
      <c r="B93" s="28"/>
      <c r="C93" s="28"/>
      <c r="D93" s="34"/>
      <c r="E93" s="27"/>
      <c r="F93" s="1078"/>
      <c r="G93" s="27"/>
      <c r="H93" s="34"/>
      <c r="I93" s="27"/>
      <c r="J93" s="34"/>
      <c r="K93" s="27"/>
      <c r="L93" s="34"/>
      <c r="M93" s="27"/>
      <c r="N93" s="34"/>
      <c r="O93" s="27"/>
      <c r="P93" s="2005"/>
      <c r="Q93" s="2006"/>
      <c r="R93" s="2005"/>
      <c r="S93" s="2006"/>
      <c r="T93" s="2003"/>
      <c r="U93" s="2006"/>
      <c r="V93" s="2167"/>
      <c r="W93" s="2168"/>
      <c r="X93" s="2167"/>
      <c r="Y93" s="2168"/>
      <c r="Z93" s="2167"/>
      <c r="AA93" s="2167"/>
      <c r="AB93" s="2168"/>
      <c r="AC93" s="2169"/>
      <c r="AD93" s="2167"/>
      <c r="AE93" s="2167"/>
      <c r="AF93" s="2169"/>
      <c r="AG93" s="2167"/>
      <c r="AH93" s="1078"/>
      <c r="AI93" s="2170"/>
      <c r="AJ93" s="2171"/>
      <c r="AK93" s="1794"/>
      <c r="AL93" s="1795" t="s">
        <v>14</v>
      </c>
    </row>
    <row r="94" spans="1:51" ht="20.25" customHeight="1" thickBot="1">
      <c r="A94" s="147"/>
      <c r="B94" s="26" t="s">
        <v>1101</v>
      </c>
      <c r="C94" s="28"/>
      <c r="D94" s="1844">
        <f>ROUND(SUM(+D13+D92),1)</f>
        <v>7300.6</v>
      </c>
      <c r="E94" s="27"/>
      <c r="F94" s="1834">
        <f>ROUND(SUM(+F13+F92),1)</f>
        <v>20207.8</v>
      </c>
      <c r="G94" s="27"/>
      <c r="H94" s="1844">
        <f>ROUND(SUM(+H13+H92),1)</f>
        <v>19723.2</v>
      </c>
      <c r="I94" s="27"/>
      <c r="J94" s="1844">
        <f>ROUND(SUM(+J13+J92),1)</f>
        <v>19231.599999999999</v>
      </c>
      <c r="K94" s="27"/>
      <c r="L94" s="1844">
        <f>ROUND(SUM(+L13+L92),1)</f>
        <v>18591.7</v>
      </c>
      <c r="M94" s="27"/>
      <c r="N94" s="1844">
        <f>ROUND(SUM(+N13+N92),1)</f>
        <v>19124.2</v>
      </c>
      <c r="O94" s="27"/>
      <c r="P94" s="2007">
        <f>ROUND(SUM(+P13+P92),1)</f>
        <v>0</v>
      </c>
      <c r="Q94" s="2006"/>
      <c r="R94" s="2007">
        <f>ROUND(SUM(+R13+R92),1)</f>
        <v>0</v>
      </c>
      <c r="S94" s="2006"/>
      <c r="T94" s="2007">
        <f>ROUND(SUM(+T13+T92),1)</f>
        <v>0</v>
      </c>
      <c r="U94" s="2006"/>
      <c r="V94" s="2172">
        <f>ROUND(SUM(+V13+V92),1)</f>
        <v>0</v>
      </c>
      <c r="W94" s="2168"/>
      <c r="X94" s="2172">
        <f>ROUND(SUM(+X13+X92),1)</f>
        <v>0</v>
      </c>
      <c r="Y94" s="2168"/>
      <c r="Z94" s="2172">
        <f>ROUND(SUM(+Z13+Z92),1)</f>
        <v>0</v>
      </c>
      <c r="AA94" s="2167"/>
      <c r="AB94" s="2168"/>
      <c r="AC94" s="2169"/>
      <c r="AD94" s="2172">
        <f>ROUND(SUM(+AD13+AD92),1)</f>
        <v>19124.2</v>
      </c>
      <c r="AE94" s="2167"/>
      <c r="AF94" s="2169"/>
      <c r="AG94" s="2172">
        <f>ROUND(SUM(+AG13+AG92),1)</f>
        <v>4706.3999999999996</v>
      </c>
      <c r="AH94" s="1078"/>
      <c r="AI94" s="2170"/>
      <c r="AJ94" s="1834">
        <f>ROUND(SUM(+AJ13+AJ92),1)</f>
        <v>14417.8</v>
      </c>
      <c r="AK94" s="1794"/>
      <c r="AL94" s="2173">
        <f>ROUND(+AJ94/ABS(AG94),3)</f>
        <v>3.0630000000000002</v>
      </c>
    </row>
    <row r="95" spans="1:51" ht="15" customHeight="1" thickTop="1">
      <c r="B95" s="27"/>
      <c r="C95" s="27"/>
      <c r="D95" s="265"/>
      <c r="E95" s="265"/>
      <c r="F95" s="2105"/>
      <c r="G95" s="265"/>
      <c r="H95" s="265"/>
      <c r="I95" s="265"/>
      <c r="J95" s="265"/>
      <c r="K95" s="265"/>
      <c r="L95" s="265"/>
      <c r="M95" s="265"/>
      <c r="N95" s="265"/>
      <c r="O95" s="265"/>
      <c r="P95" s="2008"/>
      <c r="Q95" s="2008"/>
      <c r="R95" s="2008"/>
      <c r="S95" s="2008"/>
      <c r="T95" s="2008"/>
      <c r="U95" s="2008"/>
      <c r="V95" s="2174"/>
      <c r="W95" s="2174"/>
      <c r="X95" s="2174"/>
      <c r="Y95" s="2174"/>
      <c r="Z95" s="2174"/>
      <c r="AA95" s="2174"/>
      <c r="AB95" s="2174"/>
      <c r="AC95" s="2174"/>
      <c r="AD95" s="2174"/>
      <c r="AE95" s="2174"/>
      <c r="AF95" s="2174"/>
      <c r="AG95" s="2174"/>
      <c r="AH95" s="2105"/>
      <c r="AI95" s="2105"/>
      <c r="AJ95" s="1010"/>
      <c r="AK95" s="1010"/>
      <c r="AL95" s="1802"/>
      <c r="AM95" s="292"/>
      <c r="AN95" s="292"/>
      <c r="AO95" s="292"/>
      <c r="AP95" s="292"/>
      <c r="AQ95" s="292"/>
      <c r="AR95" s="292"/>
      <c r="AS95" s="292"/>
      <c r="AT95" s="292"/>
      <c r="AU95" s="292"/>
      <c r="AV95" s="292"/>
      <c r="AW95" s="292"/>
      <c r="AX95" s="292"/>
      <c r="AY95" s="292"/>
    </row>
    <row r="96" spans="1:51" ht="15" customHeight="1">
      <c r="B96" s="909"/>
      <c r="C96" s="27"/>
      <c r="D96" s="27"/>
      <c r="E96" s="27"/>
      <c r="F96" s="27"/>
      <c r="G96" s="27"/>
      <c r="H96" s="27"/>
      <c r="I96" s="27"/>
      <c r="J96" s="27"/>
      <c r="K96" s="27"/>
      <c r="L96" s="27"/>
      <c r="M96" s="27"/>
      <c r="N96" s="27"/>
      <c r="O96" s="27"/>
      <c r="P96" s="2006"/>
      <c r="Q96" s="2006"/>
      <c r="R96" s="2006"/>
      <c r="S96" s="2006"/>
      <c r="T96" s="2006"/>
      <c r="U96" s="2006"/>
      <c r="V96" s="2168"/>
      <c r="W96" s="2168"/>
      <c r="X96" s="2168"/>
      <c r="Y96" s="2168"/>
      <c r="Z96" s="2168"/>
      <c r="AA96" s="2168"/>
      <c r="AB96" s="2168"/>
      <c r="AC96" s="2168"/>
      <c r="AD96" s="2168"/>
      <c r="AE96" s="2168"/>
      <c r="AF96" s="2168"/>
      <c r="AG96" s="2168"/>
      <c r="AH96" s="103"/>
      <c r="AI96" s="103"/>
      <c r="AJ96" s="877"/>
      <c r="AK96" s="877"/>
      <c r="AL96" s="1802"/>
    </row>
    <row r="97" spans="2:38" ht="15" customHeight="1">
      <c r="B97" s="27"/>
      <c r="P97" s="2009"/>
      <c r="Q97" s="2009"/>
      <c r="R97" s="2009"/>
      <c r="S97" s="2009"/>
      <c r="T97" s="2009"/>
      <c r="U97" s="2009"/>
      <c r="V97" s="2175"/>
      <c r="W97" s="2175"/>
      <c r="X97" s="2175"/>
      <c r="Y97" s="2175"/>
      <c r="Z97" s="2175"/>
      <c r="AA97" s="2175"/>
      <c r="AB97" s="2175"/>
      <c r="AC97" s="2175"/>
      <c r="AD97" s="2175"/>
      <c r="AE97" s="2175"/>
      <c r="AF97" s="2175"/>
      <c r="AG97" s="2175"/>
      <c r="AH97" s="876"/>
      <c r="AI97" s="876"/>
      <c r="AJ97" s="876"/>
      <c r="AK97" s="876"/>
      <c r="AL97" s="2176"/>
    </row>
    <row r="98" spans="2:38" ht="15" customHeight="1">
      <c r="B98" s="27"/>
      <c r="P98" s="2009"/>
      <c r="Q98" s="2009"/>
      <c r="R98" s="2009"/>
      <c r="S98" s="2009"/>
      <c r="T98" s="2009"/>
      <c r="U98" s="2009"/>
      <c r="V98" s="2175"/>
      <c r="W98" s="2175"/>
      <c r="X98" s="2175"/>
      <c r="Y98" s="2175"/>
      <c r="Z98" s="2175"/>
      <c r="AA98" s="2175"/>
      <c r="AB98" s="2175"/>
      <c r="AC98" s="2175"/>
      <c r="AD98" s="2175"/>
      <c r="AE98" s="2175"/>
      <c r="AF98" s="2175"/>
      <c r="AG98" s="2175"/>
      <c r="AH98" s="876"/>
      <c r="AI98" s="876"/>
      <c r="AJ98" s="876"/>
      <c r="AK98" s="876"/>
      <c r="AL98" s="2176"/>
    </row>
    <row r="99" spans="2:38" ht="15" customHeight="1">
      <c r="P99" s="2009"/>
      <c r="Q99" s="2009"/>
      <c r="R99" s="2009"/>
      <c r="S99" s="2009"/>
      <c r="T99" s="2009"/>
      <c r="U99" s="2009"/>
      <c r="V99" s="2175"/>
      <c r="W99" s="2175"/>
      <c r="X99" s="2175"/>
      <c r="Y99" s="2175"/>
      <c r="Z99" s="2175"/>
      <c r="AA99" s="2175"/>
      <c r="AB99" s="2175"/>
      <c r="AC99" s="2175"/>
      <c r="AD99" s="2175"/>
      <c r="AE99" s="2175"/>
      <c r="AF99" s="2175"/>
      <c r="AG99" s="2175"/>
      <c r="AH99" s="876"/>
      <c r="AI99" s="876"/>
      <c r="AJ99" s="876"/>
      <c r="AK99" s="876"/>
      <c r="AL99" s="2176"/>
    </row>
    <row r="100" spans="2:38" ht="15" customHeight="1">
      <c r="P100" s="2009"/>
      <c r="Q100" s="2009"/>
      <c r="R100" s="2009"/>
      <c r="S100" s="2009"/>
      <c r="T100" s="2009"/>
      <c r="U100" s="2009"/>
      <c r="V100" s="2175"/>
      <c r="W100" s="2175"/>
      <c r="X100" s="2175"/>
      <c r="Y100" s="2175"/>
      <c r="Z100" s="2175"/>
      <c r="AA100" s="2175"/>
      <c r="AB100" s="2175"/>
      <c r="AC100" s="2175"/>
      <c r="AD100" s="2175"/>
      <c r="AE100" s="2175"/>
      <c r="AF100" s="2175"/>
      <c r="AG100" s="2175"/>
      <c r="AH100" s="876"/>
      <c r="AI100" s="876"/>
      <c r="AJ100" s="876"/>
      <c r="AK100" s="876"/>
      <c r="AL100" s="2176"/>
    </row>
    <row r="101" spans="2:38" ht="15" customHeight="1">
      <c r="P101" s="2009"/>
      <c r="Q101" s="2009"/>
      <c r="R101" s="2009"/>
      <c r="S101" s="2009"/>
      <c r="T101" s="2009"/>
      <c r="U101" s="2009"/>
      <c r="V101" s="2175"/>
      <c r="W101" s="2175"/>
      <c r="X101" s="2175"/>
      <c r="Y101" s="2175"/>
      <c r="Z101" s="2175"/>
      <c r="AA101" s="2175"/>
      <c r="AB101" s="2175"/>
      <c r="AC101" s="2175"/>
      <c r="AD101" s="2175"/>
      <c r="AE101" s="2175"/>
      <c r="AF101" s="2175"/>
      <c r="AG101" s="2175"/>
      <c r="AH101" s="876"/>
      <c r="AI101" s="876"/>
      <c r="AJ101" s="876"/>
      <c r="AK101" s="876"/>
      <c r="AL101" s="2176"/>
    </row>
    <row r="102" spans="2:38" ht="15" customHeight="1">
      <c r="V102" s="876"/>
      <c r="W102" s="876"/>
      <c r="X102" s="876"/>
      <c r="Y102" s="876"/>
      <c r="Z102" s="876"/>
      <c r="AA102" s="876"/>
      <c r="AB102" s="876"/>
      <c r="AC102" s="876"/>
      <c r="AH102" s="876"/>
      <c r="AI102" s="876"/>
      <c r="AJ102" s="876"/>
      <c r="AK102" s="876"/>
      <c r="AL102" s="2176"/>
    </row>
    <row r="103" spans="2:38" ht="15" customHeight="1">
      <c r="V103" s="876"/>
      <c r="W103" s="876"/>
      <c r="X103" s="876"/>
      <c r="Y103" s="876"/>
      <c r="Z103" s="876"/>
      <c r="AA103" s="876"/>
      <c r="AB103" s="876"/>
      <c r="AC103" s="876"/>
      <c r="AH103" s="876"/>
      <c r="AI103" s="876"/>
      <c r="AJ103" s="876"/>
      <c r="AK103" s="876"/>
      <c r="AL103" s="2176"/>
    </row>
    <row r="104" spans="2:38" ht="15" customHeight="1">
      <c r="V104" s="876"/>
      <c r="W104" s="876"/>
      <c r="X104" s="876"/>
      <c r="Y104" s="876"/>
      <c r="Z104" s="876"/>
      <c r="AA104" s="876"/>
      <c r="AB104" s="876"/>
      <c r="AC104" s="876"/>
      <c r="AH104" s="876"/>
      <c r="AI104" s="876"/>
      <c r="AJ104" s="876"/>
      <c r="AK104" s="876"/>
      <c r="AL104" s="2176"/>
    </row>
    <row r="105" spans="2:38" ht="15" customHeight="1">
      <c r="V105" s="876"/>
      <c r="W105" s="876"/>
      <c r="X105" s="876"/>
      <c r="Y105" s="876"/>
      <c r="Z105" s="876"/>
      <c r="AA105" s="876"/>
      <c r="AB105" s="876"/>
      <c r="AC105" s="876"/>
      <c r="AH105" s="876"/>
      <c r="AI105" s="876"/>
      <c r="AJ105" s="876"/>
      <c r="AK105" s="876"/>
      <c r="AL105" s="2176"/>
    </row>
    <row r="106" spans="2:38" ht="15" customHeight="1">
      <c r="V106" s="876"/>
      <c r="W106" s="876"/>
      <c r="X106" s="876"/>
      <c r="Y106" s="876"/>
      <c r="Z106" s="876"/>
      <c r="AA106" s="876"/>
      <c r="AB106" s="876"/>
      <c r="AC106" s="876"/>
      <c r="AH106" s="876"/>
      <c r="AI106" s="876"/>
      <c r="AJ106" s="876"/>
      <c r="AK106" s="876"/>
      <c r="AL106" s="2176"/>
    </row>
    <row r="107" spans="2:38" ht="15" customHeight="1">
      <c r="AL107" s="1435"/>
    </row>
    <row r="108" spans="2:38" ht="15" customHeight="1">
      <c r="AL108" s="1435"/>
    </row>
    <row r="109" spans="2:38" ht="15" customHeight="1">
      <c r="AL109" s="1435"/>
    </row>
    <row r="110" spans="2:38" ht="15" customHeight="1">
      <c r="AL110" s="1435"/>
    </row>
    <row r="111" spans="2:38" ht="15" customHeight="1">
      <c r="AL111" s="1435"/>
    </row>
    <row r="112" spans="2:38" ht="15" customHeight="1">
      <c r="AL112" s="1435"/>
    </row>
    <row r="113" spans="38:38" ht="15" customHeight="1">
      <c r="AL113" s="1435"/>
    </row>
    <row r="114" spans="38:38" ht="15" customHeight="1">
      <c r="AL114" s="1435"/>
    </row>
    <row r="115" spans="38:38" ht="15" customHeight="1">
      <c r="AL115" s="1435"/>
    </row>
    <row r="116" spans="38:38" ht="15" customHeight="1">
      <c r="AL116" s="1435"/>
    </row>
    <row r="117" spans="38:38" ht="15" customHeight="1">
      <c r="AL117" s="1435"/>
    </row>
    <row r="118" spans="38:38" ht="15" customHeight="1">
      <c r="AL118" s="1435"/>
    </row>
    <row r="119" spans="38:38" ht="15" customHeight="1">
      <c r="AL119" s="1435"/>
    </row>
    <row r="120" spans="38:38" ht="15" customHeight="1">
      <c r="AL120" s="1435"/>
    </row>
    <row r="121" spans="38:38" ht="15" customHeight="1">
      <c r="AL121" s="1435"/>
    </row>
    <row r="122" spans="38:38" ht="15" customHeight="1">
      <c r="AL122" s="1435"/>
    </row>
    <row r="123" spans="38:38" ht="15" customHeight="1">
      <c r="AL123" s="1435"/>
    </row>
    <row r="124" spans="38:38" ht="15" customHeight="1">
      <c r="AL124" s="1435"/>
    </row>
    <row r="125" spans="38:38" ht="15" customHeight="1">
      <c r="AL125" s="1435"/>
    </row>
    <row r="126" spans="38:38" ht="15" customHeight="1">
      <c r="AL126" s="1435"/>
    </row>
    <row r="127" spans="38:38" ht="15" customHeight="1">
      <c r="AL127" s="1435"/>
    </row>
    <row r="128" spans="38:38" ht="15" customHeight="1">
      <c r="AL128" s="1435"/>
    </row>
    <row r="129" spans="38:38" ht="15" customHeight="1">
      <c r="AL129" s="1435"/>
    </row>
    <row r="130" spans="38:38" ht="15" customHeight="1">
      <c r="AL130" s="1435"/>
    </row>
    <row r="131" spans="38:38" ht="15" customHeight="1">
      <c r="AL131" s="1435"/>
    </row>
    <row r="132" spans="38:38" ht="15" customHeight="1">
      <c r="AL132" s="1435"/>
    </row>
    <row r="133" spans="38:38" ht="15" customHeight="1">
      <c r="AL133" s="1435"/>
    </row>
    <row r="134" spans="38:38" ht="15" customHeight="1">
      <c r="AL134" s="1435"/>
    </row>
    <row r="135" spans="38:38" ht="15" customHeight="1"/>
    <row r="136" spans="38:38" ht="15" customHeight="1"/>
    <row r="137" spans="38:38" ht="15" customHeight="1"/>
    <row r="138" spans="38:38" ht="15" customHeight="1"/>
    <row r="139" spans="38:38" ht="15" customHeight="1"/>
    <row r="140" spans="38:38" ht="15" customHeight="1"/>
    <row r="141" spans="38:38" ht="15" customHeight="1"/>
    <row r="142"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4 AL40 AL53 AL57 AL55" unlockedFormula="1"/>
    <ignoredError sqref="AL61:AL68 AL48:AL49 AL3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L261"/>
  <sheetViews>
    <sheetView showGridLines="0" zoomScale="90" zoomScaleNormal="70" workbookViewId="0"/>
  </sheetViews>
  <sheetFormatPr defaultRowHeight="12.5"/>
  <cols>
    <col min="1" max="1" width="40.4609375" style="2619" customWidth="1"/>
    <col min="2" max="2" width="10.4609375" style="2619" customWidth="1"/>
    <col min="3" max="3" width="1.07421875" style="2619" customWidth="1"/>
    <col min="4" max="4" width="10" style="2619" customWidth="1"/>
    <col min="5" max="5" width="1.07421875" style="2619" customWidth="1"/>
    <col min="6" max="6" width="9.07421875" style="2620" customWidth="1"/>
    <col min="7" max="7" width="1.07421875" style="2619" customWidth="1"/>
    <col min="8" max="8" width="10" style="2619" customWidth="1"/>
    <col min="9" max="9" width="1.07421875" style="2619" customWidth="1"/>
    <col min="10" max="10" width="10" style="2619" bestFit="1" customWidth="1"/>
    <col min="11" max="11" width="1.07421875" style="2619" customWidth="1"/>
    <col min="12" max="12" width="11.07421875" style="2619" customWidth="1"/>
    <col min="13" max="13" width="1.07421875" style="2619" customWidth="1"/>
    <col min="14" max="14" width="10.84375" style="2619" customWidth="1"/>
    <col min="15" max="15" width="1.84375" style="2619" customWidth="1"/>
    <col min="16" max="16" width="11" style="2619" customWidth="1"/>
    <col min="17" max="17" width="1.07421875" style="2619" customWidth="1"/>
    <col min="18" max="18" width="10.84375" style="2619" customWidth="1"/>
    <col min="19" max="19" width="1.07421875" style="2619" customWidth="1"/>
    <col min="20" max="20" width="10" style="2619" customWidth="1"/>
    <col min="21" max="21" width="1.07421875" style="2619" customWidth="1"/>
    <col min="22" max="22" width="12.84375" style="2619" customWidth="1"/>
    <col min="23" max="23" width="1.07421875" style="2619" customWidth="1"/>
    <col min="24" max="24" width="11.07421875" style="2619" bestFit="1" customWidth="1"/>
    <col min="25" max="25" width="1.07421875" style="2619" customWidth="1"/>
    <col min="26" max="26" width="0.84375" style="2619" customWidth="1"/>
    <col min="27" max="27" width="10.53515625" style="2619" customWidth="1"/>
    <col min="28" max="28" width="2.07421875" style="2619" customWidth="1"/>
    <col min="29" max="29" width="0.84375" style="2619" customWidth="1"/>
    <col min="30" max="30" width="11" style="2619" bestFit="1" customWidth="1"/>
    <col min="31" max="32" width="0.84375" style="2619" customWidth="1"/>
    <col min="33" max="33" width="9.84375" style="2619" customWidth="1"/>
    <col min="34" max="34" width="1.07421875" style="2619" customWidth="1"/>
    <col min="35" max="35" width="11" style="2619" customWidth="1"/>
    <col min="36" max="36" width="14.53515625" style="2621" customWidth="1"/>
    <col min="37" max="252" width="8.84375" style="2619"/>
    <col min="253" max="253" width="38.4609375" style="2619" customWidth="1"/>
    <col min="254" max="254" width="8.53515625" style="2619" customWidth="1"/>
    <col min="255" max="255" width="1.07421875" style="2619" customWidth="1"/>
    <col min="256" max="256" width="8.84375" style="2619" customWidth="1"/>
    <col min="257" max="257" width="1.07421875" style="2619" customWidth="1"/>
    <col min="258" max="258" width="9.07421875" style="2619" customWidth="1"/>
    <col min="259" max="259" width="1.07421875" style="2619" customWidth="1"/>
    <col min="260" max="260" width="10" style="2619" customWidth="1"/>
    <col min="261" max="261" width="1.07421875" style="2619" customWidth="1"/>
    <col min="262" max="262" width="9.07421875" style="2619" customWidth="1"/>
    <col min="263" max="263" width="1.07421875" style="2619" customWidth="1"/>
    <col min="264" max="264" width="11.07421875" style="2619" customWidth="1"/>
    <col min="265" max="265" width="1.07421875" style="2619" customWidth="1"/>
    <col min="266" max="266" width="9.07421875" style="2619" customWidth="1"/>
    <col min="267" max="267" width="1.84375" style="2619" customWidth="1"/>
    <col min="268" max="268" width="11" style="2619" customWidth="1"/>
    <col min="269" max="269" width="1.07421875" style="2619" customWidth="1"/>
    <col min="270" max="270" width="10.84375" style="2619" customWidth="1"/>
    <col min="271" max="271" width="1.07421875" style="2619" customWidth="1"/>
    <col min="272" max="272" width="10" style="2619" customWidth="1"/>
    <col min="273" max="273" width="1.07421875" style="2619" customWidth="1"/>
    <col min="274" max="274" width="9.07421875" style="2619" customWidth="1"/>
    <col min="275" max="275" width="1.07421875" style="2619" customWidth="1"/>
    <col min="276" max="276" width="7.84375" style="2619" customWidth="1"/>
    <col min="277" max="277" width="1.07421875" style="2619" customWidth="1"/>
    <col min="278" max="278" width="0.84375" style="2619" customWidth="1"/>
    <col min="279" max="279" width="9.07421875" style="2619" customWidth="1"/>
    <col min="280" max="280" width="1.07421875" style="2619" customWidth="1"/>
    <col min="281" max="281" width="0.84375" style="2619" customWidth="1"/>
    <col min="282" max="282" width="9.53515625" style="2619" bestFit="1" customWidth="1"/>
    <col min="283" max="284" width="0.84375" style="2619" customWidth="1"/>
    <col min="285" max="285" width="9.84375" style="2619" customWidth="1"/>
    <col min="286" max="286" width="1.07421875" style="2619" customWidth="1"/>
    <col min="287" max="287" width="8.53515625" style="2619" customWidth="1"/>
    <col min="288" max="288" width="14.53515625" style="2619" customWidth="1"/>
    <col min="289" max="289" width="10" style="2619" customWidth="1"/>
    <col min="290" max="290" width="7.84375" style="2619" bestFit="1" customWidth="1"/>
    <col min="291" max="291" width="9.84375" style="2619" customWidth="1"/>
    <col min="292" max="508" width="8.84375" style="2619"/>
    <col min="509" max="509" width="38.4609375" style="2619" customWidth="1"/>
    <col min="510" max="510" width="8.53515625" style="2619" customWidth="1"/>
    <col min="511" max="511" width="1.07421875" style="2619" customWidth="1"/>
    <col min="512" max="512" width="8.84375" style="2619" customWidth="1"/>
    <col min="513" max="513" width="1.07421875" style="2619" customWidth="1"/>
    <col min="514" max="514" width="9.07421875" style="2619" customWidth="1"/>
    <col min="515" max="515" width="1.07421875" style="2619" customWidth="1"/>
    <col min="516" max="516" width="10" style="2619" customWidth="1"/>
    <col min="517" max="517" width="1.07421875" style="2619" customWidth="1"/>
    <col min="518" max="518" width="9.07421875" style="2619" customWidth="1"/>
    <col min="519" max="519" width="1.07421875" style="2619" customWidth="1"/>
    <col min="520" max="520" width="11.07421875" style="2619" customWidth="1"/>
    <col min="521" max="521" width="1.07421875" style="2619" customWidth="1"/>
    <col min="522" max="522" width="9.07421875" style="2619" customWidth="1"/>
    <col min="523" max="523" width="1.84375" style="2619" customWidth="1"/>
    <col min="524" max="524" width="11" style="2619" customWidth="1"/>
    <col min="525" max="525" width="1.07421875" style="2619" customWidth="1"/>
    <col min="526" max="526" width="10.84375" style="2619" customWidth="1"/>
    <col min="527" max="527" width="1.07421875" style="2619" customWidth="1"/>
    <col min="528" max="528" width="10" style="2619" customWidth="1"/>
    <col min="529" max="529" width="1.07421875" style="2619" customWidth="1"/>
    <col min="530" max="530" width="9.07421875" style="2619" customWidth="1"/>
    <col min="531" max="531" width="1.07421875" style="2619" customWidth="1"/>
    <col min="532" max="532" width="7.84375" style="2619" customWidth="1"/>
    <col min="533" max="533" width="1.07421875" style="2619" customWidth="1"/>
    <col min="534" max="534" width="0.84375" style="2619" customWidth="1"/>
    <col min="535" max="535" width="9.07421875" style="2619" customWidth="1"/>
    <col min="536" max="536" width="1.07421875" style="2619" customWidth="1"/>
    <col min="537" max="537" width="0.84375" style="2619" customWidth="1"/>
    <col min="538" max="538" width="9.53515625" style="2619" bestFit="1" customWidth="1"/>
    <col min="539" max="540" width="0.84375" style="2619" customWidth="1"/>
    <col min="541" max="541" width="9.84375" style="2619" customWidth="1"/>
    <col min="542" max="542" width="1.07421875" style="2619" customWidth="1"/>
    <col min="543" max="543" width="8.53515625" style="2619" customWidth="1"/>
    <col min="544" max="544" width="14.53515625" style="2619" customWidth="1"/>
    <col min="545" max="545" width="10" style="2619" customWidth="1"/>
    <col min="546" max="546" width="7.84375" style="2619" bestFit="1" customWidth="1"/>
    <col min="547" max="547" width="9.84375" style="2619" customWidth="1"/>
    <col min="548" max="764" width="8.84375" style="2619"/>
    <col min="765" max="765" width="38.4609375" style="2619" customWidth="1"/>
    <col min="766" max="766" width="8.53515625" style="2619" customWidth="1"/>
    <col min="767" max="767" width="1.07421875" style="2619" customWidth="1"/>
    <col min="768" max="768" width="8.84375" style="2619" customWidth="1"/>
    <col min="769" max="769" width="1.07421875" style="2619" customWidth="1"/>
    <col min="770" max="770" width="9.07421875" style="2619" customWidth="1"/>
    <col min="771" max="771" width="1.07421875" style="2619" customWidth="1"/>
    <col min="772" max="772" width="10" style="2619" customWidth="1"/>
    <col min="773" max="773" width="1.07421875" style="2619" customWidth="1"/>
    <col min="774" max="774" width="9.07421875" style="2619" customWidth="1"/>
    <col min="775" max="775" width="1.07421875" style="2619" customWidth="1"/>
    <col min="776" max="776" width="11.07421875" style="2619" customWidth="1"/>
    <col min="777" max="777" width="1.07421875" style="2619" customWidth="1"/>
    <col min="778" max="778" width="9.07421875" style="2619" customWidth="1"/>
    <col min="779" max="779" width="1.84375" style="2619" customWidth="1"/>
    <col min="780" max="780" width="11" style="2619" customWidth="1"/>
    <col min="781" max="781" width="1.07421875" style="2619" customWidth="1"/>
    <col min="782" max="782" width="10.84375" style="2619" customWidth="1"/>
    <col min="783" max="783" width="1.07421875" style="2619" customWidth="1"/>
    <col min="784" max="784" width="10" style="2619" customWidth="1"/>
    <col min="785" max="785" width="1.07421875" style="2619" customWidth="1"/>
    <col min="786" max="786" width="9.07421875" style="2619" customWidth="1"/>
    <col min="787" max="787" width="1.07421875" style="2619" customWidth="1"/>
    <col min="788" max="788" width="7.84375" style="2619" customWidth="1"/>
    <col min="789" max="789" width="1.07421875" style="2619" customWidth="1"/>
    <col min="790" max="790" width="0.84375" style="2619" customWidth="1"/>
    <col min="791" max="791" width="9.07421875" style="2619" customWidth="1"/>
    <col min="792" max="792" width="1.07421875" style="2619" customWidth="1"/>
    <col min="793" max="793" width="0.84375" style="2619" customWidth="1"/>
    <col min="794" max="794" width="9.53515625" style="2619" bestFit="1" customWidth="1"/>
    <col min="795" max="796" width="0.84375" style="2619" customWidth="1"/>
    <col min="797" max="797" width="9.84375" style="2619" customWidth="1"/>
    <col min="798" max="798" width="1.07421875" style="2619" customWidth="1"/>
    <col min="799" max="799" width="8.53515625" style="2619" customWidth="1"/>
    <col min="800" max="800" width="14.53515625" style="2619" customWidth="1"/>
    <col min="801" max="801" width="10" style="2619" customWidth="1"/>
    <col min="802" max="802" width="7.84375" style="2619" bestFit="1" customWidth="1"/>
    <col min="803" max="803" width="9.84375" style="2619" customWidth="1"/>
    <col min="804" max="1020" width="8.84375" style="2619"/>
    <col min="1021" max="1021" width="38.4609375" style="2619" customWidth="1"/>
    <col min="1022" max="1022" width="8.53515625" style="2619" customWidth="1"/>
    <col min="1023" max="1023" width="1.07421875" style="2619" customWidth="1"/>
    <col min="1024" max="1024" width="8.84375" style="2619" customWidth="1"/>
    <col min="1025" max="1025" width="1.07421875" style="2619" customWidth="1"/>
    <col min="1026" max="1026" width="9.07421875" style="2619" customWidth="1"/>
    <col min="1027" max="1027" width="1.07421875" style="2619" customWidth="1"/>
    <col min="1028" max="1028" width="10" style="2619" customWidth="1"/>
    <col min="1029" max="1029" width="1.07421875" style="2619" customWidth="1"/>
    <col min="1030" max="1030" width="9.07421875" style="2619" customWidth="1"/>
    <col min="1031" max="1031" width="1.07421875" style="2619" customWidth="1"/>
    <col min="1032" max="1032" width="11.07421875" style="2619" customWidth="1"/>
    <col min="1033" max="1033" width="1.07421875" style="2619" customWidth="1"/>
    <col min="1034" max="1034" width="9.07421875" style="2619" customWidth="1"/>
    <col min="1035" max="1035" width="1.84375" style="2619" customWidth="1"/>
    <col min="1036" max="1036" width="11" style="2619" customWidth="1"/>
    <col min="1037" max="1037" width="1.07421875" style="2619" customWidth="1"/>
    <col min="1038" max="1038" width="10.84375" style="2619" customWidth="1"/>
    <col min="1039" max="1039" width="1.07421875" style="2619" customWidth="1"/>
    <col min="1040" max="1040" width="10" style="2619" customWidth="1"/>
    <col min="1041" max="1041" width="1.07421875" style="2619" customWidth="1"/>
    <col min="1042" max="1042" width="9.07421875" style="2619" customWidth="1"/>
    <col min="1043" max="1043" width="1.07421875" style="2619" customWidth="1"/>
    <col min="1044" max="1044" width="7.84375" style="2619" customWidth="1"/>
    <col min="1045" max="1045" width="1.07421875" style="2619" customWidth="1"/>
    <col min="1046" max="1046" width="0.84375" style="2619" customWidth="1"/>
    <col min="1047" max="1047" width="9.07421875" style="2619" customWidth="1"/>
    <col min="1048" max="1048" width="1.07421875" style="2619" customWidth="1"/>
    <col min="1049" max="1049" width="0.84375" style="2619" customWidth="1"/>
    <col min="1050" max="1050" width="9.53515625" style="2619" bestFit="1" customWidth="1"/>
    <col min="1051" max="1052" width="0.84375" style="2619" customWidth="1"/>
    <col min="1053" max="1053" width="9.84375" style="2619" customWidth="1"/>
    <col min="1054" max="1054" width="1.07421875" style="2619" customWidth="1"/>
    <col min="1055" max="1055" width="8.53515625" style="2619" customWidth="1"/>
    <col min="1056" max="1056" width="14.53515625" style="2619" customWidth="1"/>
    <col min="1057" max="1057" width="10" style="2619" customWidth="1"/>
    <col min="1058" max="1058" width="7.84375" style="2619" bestFit="1" customWidth="1"/>
    <col min="1059" max="1059" width="9.84375" style="2619" customWidth="1"/>
    <col min="1060" max="1276" width="8.84375" style="2619"/>
    <col min="1277" max="1277" width="38.4609375" style="2619" customWidth="1"/>
    <col min="1278" max="1278" width="8.53515625" style="2619" customWidth="1"/>
    <col min="1279" max="1279" width="1.07421875" style="2619" customWidth="1"/>
    <col min="1280" max="1280" width="8.84375" style="2619" customWidth="1"/>
    <col min="1281" max="1281" width="1.07421875" style="2619" customWidth="1"/>
    <col min="1282" max="1282" width="9.07421875" style="2619" customWidth="1"/>
    <col min="1283" max="1283" width="1.07421875" style="2619" customWidth="1"/>
    <col min="1284" max="1284" width="10" style="2619" customWidth="1"/>
    <col min="1285" max="1285" width="1.07421875" style="2619" customWidth="1"/>
    <col min="1286" max="1286" width="9.07421875" style="2619" customWidth="1"/>
    <col min="1287" max="1287" width="1.07421875" style="2619" customWidth="1"/>
    <col min="1288" max="1288" width="11.07421875" style="2619" customWidth="1"/>
    <col min="1289" max="1289" width="1.07421875" style="2619" customWidth="1"/>
    <col min="1290" max="1290" width="9.07421875" style="2619" customWidth="1"/>
    <col min="1291" max="1291" width="1.84375" style="2619" customWidth="1"/>
    <col min="1292" max="1292" width="11" style="2619" customWidth="1"/>
    <col min="1293" max="1293" width="1.07421875" style="2619" customWidth="1"/>
    <col min="1294" max="1294" width="10.84375" style="2619" customWidth="1"/>
    <col min="1295" max="1295" width="1.07421875" style="2619" customWidth="1"/>
    <col min="1296" max="1296" width="10" style="2619" customWidth="1"/>
    <col min="1297" max="1297" width="1.07421875" style="2619" customWidth="1"/>
    <col min="1298" max="1298" width="9.07421875" style="2619" customWidth="1"/>
    <col min="1299" max="1299" width="1.07421875" style="2619" customWidth="1"/>
    <col min="1300" max="1300" width="7.84375" style="2619" customWidth="1"/>
    <col min="1301" max="1301" width="1.07421875" style="2619" customWidth="1"/>
    <col min="1302" max="1302" width="0.84375" style="2619" customWidth="1"/>
    <col min="1303" max="1303" width="9.07421875" style="2619" customWidth="1"/>
    <col min="1304" max="1304" width="1.07421875" style="2619" customWidth="1"/>
    <col min="1305" max="1305" width="0.84375" style="2619" customWidth="1"/>
    <col min="1306" max="1306" width="9.53515625" style="2619" bestFit="1" customWidth="1"/>
    <col min="1307" max="1308" width="0.84375" style="2619" customWidth="1"/>
    <col min="1309" max="1309" width="9.84375" style="2619" customWidth="1"/>
    <col min="1310" max="1310" width="1.07421875" style="2619" customWidth="1"/>
    <col min="1311" max="1311" width="8.53515625" style="2619" customWidth="1"/>
    <col min="1312" max="1312" width="14.53515625" style="2619" customWidth="1"/>
    <col min="1313" max="1313" width="10" style="2619" customWidth="1"/>
    <col min="1314" max="1314" width="7.84375" style="2619" bestFit="1" customWidth="1"/>
    <col min="1315" max="1315" width="9.84375" style="2619" customWidth="1"/>
    <col min="1316" max="1532" width="8.84375" style="2619"/>
    <col min="1533" max="1533" width="38.4609375" style="2619" customWidth="1"/>
    <col min="1534" max="1534" width="8.53515625" style="2619" customWidth="1"/>
    <col min="1535" max="1535" width="1.07421875" style="2619" customWidth="1"/>
    <col min="1536" max="1536" width="8.84375" style="2619" customWidth="1"/>
    <col min="1537" max="1537" width="1.07421875" style="2619" customWidth="1"/>
    <col min="1538" max="1538" width="9.07421875" style="2619" customWidth="1"/>
    <col min="1539" max="1539" width="1.07421875" style="2619" customWidth="1"/>
    <col min="1540" max="1540" width="10" style="2619" customWidth="1"/>
    <col min="1541" max="1541" width="1.07421875" style="2619" customWidth="1"/>
    <col min="1542" max="1542" width="9.07421875" style="2619" customWidth="1"/>
    <col min="1543" max="1543" width="1.07421875" style="2619" customWidth="1"/>
    <col min="1544" max="1544" width="11.07421875" style="2619" customWidth="1"/>
    <col min="1545" max="1545" width="1.07421875" style="2619" customWidth="1"/>
    <col min="1546" max="1546" width="9.07421875" style="2619" customWidth="1"/>
    <col min="1547" max="1547" width="1.84375" style="2619" customWidth="1"/>
    <col min="1548" max="1548" width="11" style="2619" customWidth="1"/>
    <col min="1549" max="1549" width="1.07421875" style="2619" customWidth="1"/>
    <col min="1550" max="1550" width="10.84375" style="2619" customWidth="1"/>
    <col min="1551" max="1551" width="1.07421875" style="2619" customWidth="1"/>
    <col min="1552" max="1552" width="10" style="2619" customWidth="1"/>
    <col min="1553" max="1553" width="1.07421875" style="2619" customWidth="1"/>
    <col min="1554" max="1554" width="9.07421875" style="2619" customWidth="1"/>
    <col min="1555" max="1555" width="1.07421875" style="2619" customWidth="1"/>
    <col min="1556" max="1556" width="7.84375" style="2619" customWidth="1"/>
    <col min="1557" max="1557" width="1.07421875" style="2619" customWidth="1"/>
    <col min="1558" max="1558" width="0.84375" style="2619" customWidth="1"/>
    <col min="1559" max="1559" width="9.07421875" style="2619" customWidth="1"/>
    <col min="1560" max="1560" width="1.07421875" style="2619" customWidth="1"/>
    <col min="1561" max="1561" width="0.84375" style="2619" customWidth="1"/>
    <col min="1562" max="1562" width="9.53515625" style="2619" bestFit="1" customWidth="1"/>
    <col min="1563" max="1564" width="0.84375" style="2619" customWidth="1"/>
    <col min="1565" max="1565" width="9.84375" style="2619" customWidth="1"/>
    <col min="1566" max="1566" width="1.07421875" style="2619" customWidth="1"/>
    <col min="1567" max="1567" width="8.53515625" style="2619" customWidth="1"/>
    <col min="1568" max="1568" width="14.53515625" style="2619" customWidth="1"/>
    <col min="1569" max="1569" width="10" style="2619" customWidth="1"/>
    <col min="1570" max="1570" width="7.84375" style="2619" bestFit="1" customWidth="1"/>
    <col min="1571" max="1571" width="9.84375" style="2619" customWidth="1"/>
    <col min="1572" max="1788" width="8.84375" style="2619"/>
    <col min="1789" max="1789" width="38.4609375" style="2619" customWidth="1"/>
    <col min="1790" max="1790" width="8.53515625" style="2619" customWidth="1"/>
    <col min="1791" max="1791" width="1.07421875" style="2619" customWidth="1"/>
    <col min="1792" max="1792" width="8.84375" style="2619" customWidth="1"/>
    <col min="1793" max="1793" width="1.07421875" style="2619" customWidth="1"/>
    <col min="1794" max="1794" width="9.07421875" style="2619" customWidth="1"/>
    <col min="1795" max="1795" width="1.07421875" style="2619" customWidth="1"/>
    <col min="1796" max="1796" width="10" style="2619" customWidth="1"/>
    <col min="1797" max="1797" width="1.07421875" style="2619" customWidth="1"/>
    <col min="1798" max="1798" width="9.07421875" style="2619" customWidth="1"/>
    <col min="1799" max="1799" width="1.07421875" style="2619" customWidth="1"/>
    <col min="1800" max="1800" width="11.07421875" style="2619" customWidth="1"/>
    <col min="1801" max="1801" width="1.07421875" style="2619" customWidth="1"/>
    <col min="1802" max="1802" width="9.07421875" style="2619" customWidth="1"/>
    <col min="1803" max="1803" width="1.84375" style="2619" customWidth="1"/>
    <col min="1804" max="1804" width="11" style="2619" customWidth="1"/>
    <col min="1805" max="1805" width="1.07421875" style="2619" customWidth="1"/>
    <col min="1806" max="1806" width="10.84375" style="2619" customWidth="1"/>
    <col min="1807" max="1807" width="1.07421875" style="2619" customWidth="1"/>
    <col min="1808" max="1808" width="10" style="2619" customWidth="1"/>
    <col min="1809" max="1809" width="1.07421875" style="2619" customWidth="1"/>
    <col min="1810" max="1810" width="9.07421875" style="2619" customWidth="1"/>
    <col min="1811" max="1811" width="1.07421875" style="2619" customWidth="1"/>
    <col min="1812" max="1812" width="7.84375" style="2619" customWidth="1"/>
    <col min="1813" max="1813" width="1.07421875" style="2619" customWidth="1"/>
    <col min="1814" max="1814" width="0.84375" style="2619" customWidth="1"/>
    <col min="1815" max="1815" width="9.07421875" style="2619" customWidth="1"/>
    <col min="1816" max="1816" width="1.07421875" style="2619" customWidth="1"/>
    <col min="1817" max="1817" width="0.84375" style="2619" customWidth="1"/>
    <col min="1818" max="1818" width="9.53515625" style="2619" bestFit="1" customWidth="1"/>
    <col min="1819" max="1820" width="0.84375" style="2619" customWidth="1"/>
    <col min="1821" max="1821" width="9.84375" style="2619" customWidth="1"/>
    <col min="1822" max="1822" width="1.07421875" style="2619" customWidth="1"/>
    <col min="1823" max="1823" width="8.53515625" style="2619" customWidth="1"/>
    <col min="1824" max="1824" width="14.53515625" style="2619" customWidth="1"/>
    <col min="1825" max="1825" width="10" style="2619" customWidth="1"/>
    <col min="1826" max="1826" width="7.84375" style="2619" bestFit="1" customWidth="1"/>
    <col min="1827" max="1827" width="9.84375" style="2619" customWidth="1"/>
    <col min="1828" max="2044" width="8.84375" style="2619"/>
    <col min="2045" max="2045" width="38.4609375" style="2619" customWidth="1"/>
    <col min="2046" max="2046" width="8.53515625" style="2619" customWidth="1"/>
    <col min="2047" max="2047" width="1.07421875" style="2619" customWidth="1"/>
    <col min="2048" max="2048" width="8.84375" style="2619" customWidth="1"/>
    <col min="2049" max="2049" width="1.07421875" style="2619" customWidth="1"/>
    <col min="2050" max="2050" width="9.07421875" style="2619" customWidth="1"/>
    <col min="2051" max="2051" width="1.07421875" style="2619" customWidth="1"/>
    <col min="2052" max="2052" width="10" style="2619" customWidth="1"/>
    <col min="2053" max="2053" width="1.07421875" style="2619" customWidth="1"/>
    <col min="2054" max="2054" width="9.07421875" style="2619" customWidth="1"/>
    <col min="2055" max="2055" width="1.07421875" style="2619" customWidth="1"/>
    <col min="2056" max="2056" width="11.07421875" style="2619" customWidth="1"/>
    <col min="2057" max="2057" width="1.07421875" style="2619" customWidth="1"/>
    <col min="2058" max="2058" width="9.07421875" style="2619" customWidth="1"/>
    <col min="2059" max="2059" width="1.84375" style="2619" customWidth="1"/>
    <col min="2060" max="2060" width="11" style="2619" customWidth="1"/>
    <col min="2061" max="2061" width="1.07421875" style="2619" customWidth="1"/>
    <col min="2062" max="2062" width="10.84375" style="2619" customWidth="1"/>
    <col min="2063" max="2063" width="1.07421875" style="2619" customWidth="1"/>
    <col min="2064" max="2064" width="10" style="2619" customWidth="1"/>
    <col min="2065" max="2065" width="1.07421875" style="2619" customWidth="1"/>
    <col min="2066" max="2066" width="9.07421875" style="2619" customWidth="1"/>
    <col min="2067" max="2067" width="1.07421875" style="2619" customWidth="1"/>
    <col min="2068" max="2068" width="7.84375" style="2619" customWidth="1"/>
    <col min="2069" max="2069" width="1.07421875" style="2619" customWidth="1"/>
    <col min="2070" max="2070" width="0.84375" style="2619" customWidth="1"/>
    <col min="2071" max="2071" width="9.07421875" style="2619" customWidth="1"/>
    <col min="2072" max="2072" width="1.07421875" style="2619" customWidth="1"/>
    <col min="2073" max="2073" width="0.84375" style="2619" customWidth="1"/>
    <col min="2074" max="2074" width="9.53515625" style="2619" bestFit="1" customWidth="1"/>
    <col min="2075" max="2076" width="0.84375" style="2619" customWidth="1"/>
    <col min="2077" max="2077" width="9.84375" style="2619" customWidth="1"/>
    <col min="2078" max="2078" width="1.07421875" style="2619" customWidth="1"/>
    <col min="2079" max="2079" width="8.53515625" style="2619" customWidth="1"/>
    <col min="2080" max="2080" width="14.53515625" style="2619" customWidth="1"/>
    <col min="2081" max="2081" width="10" style="2619" customWidth="1"/>
    <col min="2082" max="2082" width="7.84375" style="2619" bestFit="1" customWidth="1"/>
    <col min="2083" max="2083" width="9.84375" style="2619" customWidth="1"/>
    <col min="2084" max="2300" width="8.84375" style="2619"/>
    <col min="2301" max="2301" width="38.4609375" style="2619" customWidth="1"/>
    <col min="2302" max="2302" width="8.53515625" style="2619" customWidth="1"/>
    <col min="2303" max="2303" width="1.07421875" style="2619" customWidth="1"/>
    <col min="2304" max="2304" width="8.84375" style="2619" customWidth="1"/>
    <col min="2305" max="2305" width="1.07421875" style="2619" customWidth="1"/>
    <col min="2306" max="2306" width="9.07421875" style="2619" customWidth="1"/>
    <col min="2307" max="2307" width="1.07421875" style="2619" customWidth="1"/>
    <col min="2308" max="2308" width="10" style="2619" customWidth="1"/>
    <col min="2309" max="2309" width="1.07421875" style="2619" customWidth="1"/>
    <col min="2310" max="2310" width="9.07421875" style="2619" customWidth="1"/>
    <col min="2311" max="2311" width="1.07421875" style="2619" customWidth="1"/>
    <col min="2312" max="2312" width="11.07421875" style="2619" customWidth="1"/>
    <col min="2313" max="2313" width="1.07421875" style="2619" customWidth="1"/>
    <col min="2314" max="2314" width="9.07421875" style="2619" customWidth="1"/>
    <col min="2315" max="2315" width="1.84375" style="2619" customWidth="1"/>
    <col min="2316" max="2316" width="11" style="2619" customWidth="1"/>
    <col min="2317" max="2317" width="1.07421875" style="2619" customWidth="1"/>
    <col min="2318" max="2318" width="10.84375" style="2619" customWidth="1"/>
    <col min="2319" max="2319" width="1.07421875" style="2619" customWidth="1"/>
    <col min="2320" max="2320" width="10" style="2619" customWidth="1"/>
    <col min="2321" max="2321" width="1.07421875" style="2619" customWidth="1"/>
    <col min="2322" max="2322" width="9.07421875" style="2619" customWidth="1"/>
    <col min="2323" max="2323" width="1.07421875" style="2619" customWidth="1"/>
    <col min="2324" max="2324" width="7.84375" style="2619" customWidth="1"/>
    <col min="2325" max="2325" width="1.07421875" style="2619" customWidth="1"/>
    <col min="2326" max="2326" width="0.84375" style="2619" customWidth="1"/>
    <col min="2327" max="2327" width="9.07421875" style="2619" customWidth="1"/>
    <col min="2328" max="2328" width="1.07421875" style="2619" customWidth="1"/>
    <col min="2329" max="2329" width="0.84375" style="2619" customWidth="1"/>
    <col min="2330" max="2330" width="9.53515625" style="2619" bestFit="1" customWidth="1"/>
    <col min="2331" max="2332" width="0.84375" style="2619" customWidth="1"/>
    <col min="2333" max="2333" width="9.84375" style="2619" customWidth="1"/>
    <col min="2334" max="2334" width="1.07421875" style="2619" customWidth="1"/>
    <col min="2335" max="2335" width="8.53515625" style="2619" customWidth="1"/>
    <col min="2336" max="2336" width="14.53515625" style="2619" customWidth="1"/>
    <col min="2337" max="2337" width="10" style="2619" customWidth="1"/>
    <col min="2338" max="2338" width="7.84375" style="2619" bestFit="1" customWidth="1"/>
    <col min="2339" max="2339" width="9.84375" style="2619" customWidth="1"/>
    <col min="2340" max="2556" width="8.84375" style="2619"/>
    <col min="2557" max="2557" width="38.4609375" style="2619" customWidth="1"/>
    <col min="2558" max="2558" width="8.53515625" style="2619" customWidth="1"/>
    <col min="2559" max="2559" width="1.07421875" style="2619" customWidth="1"/>
    <col min="2560" max="2560" width="8.84375" style="2619" customWidth="1"/>
    <col min="2561" max="2561" width="1.07421875" style="2619" customWidth="1"/>
    <col min="2562" max="2562" width="9.07421875" style="2619" customWidth="1"/>
    <col min="2563" max="2563" width="1.07421875" style="2619" customWidth="1"/>
    <col min="2564" max="2564" width="10" style="2619" customWidth="1"/>
    <col min="2565" max="2565" width="1.07421875" style="2619" customWidth="1"/>
    <col min="2566" max="2566" width="9.07421875" style="2619" customWidth="1"/>
    <col min="2567" max="2567" width="1.07421875" style="2619" customWidth="1"/>
    <col min="2568" max="2568" width="11.07421875" style="2619" customWidth="1"/>
    <col min="2569" max="2569" width="1.07421875" style="2619" customWidth="1"/>
    <col min="2570" max="2570" width="9.07421875" style="2619" customWidth="1"/>
    <col min="2571" max="2571" width="1.84375" style="2619" customWidth="1"/>
    <col min="2572" max="2572" width="11" style="2619" customWidth="1"/>
    <col min="2573" max="2573" width="1.07421875" style="2619" customWidth="1"/>
    <col min="2574" max="2574" width="10.84375" style="2619" customWidth="1"/>
    <col min="2575" max="2575" width="1.07421875" style="2619" customWidth="1"/>
    <col min="2576" max="2576" width="10" style="2619" customWidth="1"/>
    <col min="2577" max="2577" width="1.07421875" style="2619" customWidth="1"/>
    <col min="2578" max="2578" width="9.07421875" style="2619" customWidth="1"/>
    <col min="2579" max="2579" width="1.07421875" style="2619" customWidth="1"/>
    <col min="2580" max="2580" width="7.84375" style="2619" customWidth="1"/>
    <col min="2581" max="2581" width="1.07421875" style="2619" customWidth="1"/>
    <col min="2582" max="2582" width="0.84375" style="2619" customWidth="1"/>
    <col min="2583" max="2583" width="9.07421875" style="2619" customWidth="1"/>
    <col min="2584" max="2584" width="1.07421875" style="2619" customWidth="1"/>
    <col min="2585" max="2585" width="0.84375" style="2619" customWidth="1"/>
    <col min="2586" max="2586" width="9.53515625" style="2619" bestFit="1" customWidth="1"/>
    <col min="2587" max="2588" width="0.84375" style="2619" customWidth="1"/>
    <col min="2589" max="2589" width="9.84375" style="2619" customWidth="1"/>
    <col min="2590" max="2590" width="1.07421875" style="2619" customWidth="1"/>
    <col min="2591" max="2591" width="8.53515625" style="2619" customWidth="1"/>
    <col min="2592" max="2592" width="14.53515625" style="2619" customWidth="1"/>
    <col min="2593" max="2593" width="10" style="2619" customWidth="1"/>
    <col min="2594" max="2594" width="7.84375" style="2619" bestFit="1" customWidth="1"/>
    <col min="2595" max="2595" width="9.84375" style="2619" customWidth="1"/>
    <col min="2596" max="2812" width="8.84375" style="2619"/>
    <col min="2813" max="2813" width="38.4609375" style="2619" customWidth="1"/>
    <col min="2814" max="2814" width="8.53515625" style="2619" customWidth="1"/>
    <col min="2815" max="2815" width="1.07421875" style="2619" customWidth="1"/>
    <col min="2816" max="2816" width="8.84375" style="2619" customWidth="1"/>
    <col min="2817" max="2817" width="1.07421875" style="2619" customWidth="1"/>
    <col min="2818" max="2818" width="9.07421875" style="2619" customWidth="1"/>
    <col min="2819" max="2819" width="1.07421875" style="2619" customWidth="1"/>
    <col min="2820" max="2820" width="10" style="2619" customWidth="1"/>
    <col min="2821" max="2821" width="1.07421875" style="2619" customWidth="1"/>
    <col min="2822" max="2822" width="9.07421875" style="2619" customWidth="1"/>
    <col min="2823" max="2823" width="1.07421875" style="2619" customWidth="1"/>
    <col min="2824" max="2824" width="11.07421875" style="2619" customWidth="1"/>
    <col min="2825" max="2825" width="1.07421875" style="2619" customWidth="1"/>
    <col min="2826" max="2826" width="9.07421875" style="2619" customWidth="1"/>
    <col min="2827" max="2827" width="1.84375" style="2619" customWidth="1"/>
    <col min="2828" max="2828" width="11" style="2619" customWidth="1"/>
    <col min="2829" max="2829" width="1.07421875" style="2619" customWidth="1"/>
    <col min="2830" max="2830" width="10.84375" style="2619" customWidth="1"/>
    <col min="2831" max="2831" width="1.07421875" style="2619" customWidth="1"/>
    <col min="2832" max="2832" width="10" style="2619" customWidth="1"/>
    <col min="2833" max="2833" width="1.07421875" style="2619" customWidth="1"/>
    <col min="2834" max="2834" width="9.07421875" style="2619" customWidth="1"/>
    <col min="2835" max="2835" width="1.07421875" style="2619" customWidth="1"/>
    <col min="2836" max="2836" width="7.84375" style="2619" customWidth="1"/>
    <col min="2837" max="2837" width="1.07421875" style="2619" customWidth="1"/>
    <col min="2838" max="2838" width="0.84375" style="2619" customWidth="1"/>
    <col min="2839" max="2839" width="9.07421875" style="2619" customWidth="1"/>
    <col min="2840" max="2840" width="1.07421875" style="2619" customWidth="1"/>
    <col min="2841" max="2841" width="0.84375" style="2619" customWidth="1"/>
    <col min="2842" max="2842" width="9.53515625" style="2619" bestFit="1" customWidth="1"/>
    <col min="2843" max="2844" width="0.84375" style="2619" customWidth="1"/>
    <col min="2845" max="2845" width="9.84375" style="2619" customWidth="1"/>
    <col min="2846" max="2846" width="1.07421875" style="2619" customWidth="1"/>
    <col min="2847" max="2847" width="8.53515625" style="2619" customWidth="1"/>
    <col min="2848" max="2848" width="14.53515625" style="2619" customWidth="1"/>
    <col min="2849" max="2849" width="10" style="2619" customWidth="1"/>
    <col min="2850" max="2850" width="7.84375" style="2619" bestFit="1" customWidth="1"/>
    <col min="2851" max="2851" width="9.84375" style="2619" customWidth="1"/>
    <col min="2852" max="3068" width="8.84375" style="2619"/>
    <col min="3069" max="3069" width="38.4609375" style="2619" customWidth="1"/>
    <col min="3070" max="3070" width="8.53515625" style="2619" customWidth="1"/>
    <col min="3071" max="3071" width="1.07421875" style="2619" customWidth="1"/>
    <col min="3072" max="3072" width="8.84375" style="2619" customWidth="1"/>
    <col min="3073" max="3073" width="1.07421875" style="2619" customWidth="1"/>
    <col min="3074" max="3074" width="9.07421875" style="2619" customWidth="1"/>
    <col min="3075" max="3075" width="1.07421875" style="2619" customWidth="1"/>
    <col min="3076" max="3076" width="10" style="2619" customWidth="1"/>
    <col min="3077" max="3077" width="1.07421875" style="2619" customWidth="1"/>
    <col min="3078" max="3078" width="9.07421875" style="2619" customWidth="1"/>
    <col min="3079" max="3079" width="1.07421875" style="2619" customWidth="1"/>
    <col min="3080" max="3080" width="11.07421875" style="2619" customWidth="1"/>
    <col min="3081" max="3081" width="1.07421875" style="2619" customWidth="1"/>
    <col min="3082" max="3082" width="9.07421875" style="2619" customWidth="1"/>
    <col min="3083" max="3083" width="1.84375" style="2619" customWidth="1"/>
    <col min="3084" max="3084" width="11" style="2619" customWidth="1"/>
    <col min="3085" max="3085" width="1.07421875" style="2619" customWidth="1"/>
    <col min="3086" max="3086" width="10.84375" style="2619" customWidth="1"/>
    <col min="3087" max="3087" width="1.07421875" style="2619" customWidth="1"/>
    <col min="3088" max="3088" width="10" style="2619" customWidth="1"/>
    <col min="3089" max="3089" width="1.07421875" style="2619" customWidth="1"/>
    <col min="3090" max="3090" width="9.07421875" style="2619" customWidth="1"/>
    <col min="3091" max="3091" width="1.07421875" style="2619" customWidth="1"/>
    <col min="3092" max="3092" width="7.84375" style="2619" customWidth="1"/>
    <col min="3093" max="3093" width="1.07421875" style="2619" customWidth="1"/>
    <col min="3094" max="3094" width="0.84375" style="2619" customWidth="1"/>
    <col min="3095" max="3095" width="9.07421875" style="2619" customWidth="1"/>
    <col min="3096" max="3096" width="1.07421875" style="2619" customWidth="1"/>
    <col min="3097" max="3097" width="0.84375" style="2619" customWidth="1"/>
    <col min="3098" max="3098" width="9.53515625" style="2619" bestFit="1" customWidth="1"/>
    <col min="3099" max="3100" width="0.84375" style="2619" customWidth="1"/>
    <col min="3101" max="3101" width="9.84375" style="2619" customWidth="1"/>
    <col min="3102" max="3102" width="1.07421875" style="2619" customWidth="1"/>
    <col min="3103" max="3103" width="8.53515625" style="2619" customWidth="1"/>
    <col min="3104" max="3104" width="14.53515625" style="2619" customWidth="1"/>
    <col min="3105" max="3105" width="10" style="2619" customWidth="1"/>
    <col min="3106" max="3106" width="7.84375" style="2619" bestFit="1" customWidth="1"/>
    <col min="3107" max="3107" width="9.84375" style="2619" customWidth="1"/>
    <col min="3108" max="3324" width="8.84375" style="2619"/>
    <col min="3325" max="3325" width="38.4609375" style="2619" customWidth="1"/>
    <col min="3326" max="3326" width="8.53515625" style="2619" customWidth="1"/>
    <col min="3327" max="3327" width="1.07421875" style="2619" customWidth="1"/>
    <col min="3328" max="3328" width="8.84375" style="2619" customWidth="1"/>
    <col min="3329" max="3329" width="1.07421875" style="2619" customWidth="1"/>
    <col min="3330" max="3330" width="9.07421875" style="2619" customWidth="1"/>
    <col min="3331" max="3331" width="1.07421875" style="2619" customWidth="1"/>
    <col min="3332" max="3332" width="10" style="2619" customWidth="1"/>
    <col min="3333" max="3333" width="1.07421875" style="2619" customWidth="1"/>
    <col min="3334" max="3334" width="9.07421875" style="2619" customWidth="1"/>
    <col min="3335" max="3335" width="1.07421875" style="2619" customWidth="1"/>
    <col min="3336" max="3336" width="11.07421875" style="2619" customWidth="1"/>
    <col min="3337" max="3337" width="1.07421875" style="2619" customWidth="1"/>
    <col min="3338" max="3338" width="9.07421875" style="2619" customWidth="1"/>
    <col min="3339" max="3339" width="1.84375" style="2619" customWidth="1"/>
    <col min="3340" max="3340" width="11" style="2619" customWidth="1"/>
    <col min="3341" max="3341" width="1.07421875" style="2619" customWidth="1"/>
    <col min="3342" max="3342" width="10.84375" style="2619" customWidth="1"/>
    <col min="3343" max="3343" width="1.07421875" style="2619" customWidth="1"/>
    <col min="3344" max="3344" width="10" style="2619" customWidth="1"/>
    <col min="3345" max="3345" width="1.07421875" style="2619" customWidth="1"/>
    <col min="3346" max="3346" width="9.07421875" style="2619" customWidth="1"/>
    <col min="3347" max="3347" width="1.07421875" style="2619" customWidth="1"/>
    <col min="3348" max="3348" width="7.84375" style="2619" customWidth="1"/>
    <col min="3349" max="3349" width="1.07421875" style="2619" customWidth="1"/>
    <col min="3350" max="3350" width="0.84375" style="2619" customWidth="1"/>
    <col min="3351" max="3351" width="9.07421875" style="2619" customWidth="1"/>
    <col min="3352" max="3352" width="1.07421875" style="2619" customWidth="1"/>
    <col min="3353" max="3353" width="0.84375" style="2619" customWidth="1"/>
    <col min="3354" max="3354" width="9.53515625" style="2619" bestFit="1" customWidth="1"/>
    <col min="3355" max="3356" width="0.84375" style="2619" customWidth="1"/>
    <col min="3357" max="3357" width="9.84375" style="2619" customWidth="1"/>
    <col min="3358" max="3358" width="1.07421875" style="2619" customWidth="1"/>
    <col min="3359" max="3359" width="8.53515625" style="2619" customWidth="1"/>
    <col min="3360" max="3360" width="14.53515625" style="2619" customWidth="1"/>
    <col min="3361" max="3361" width="10" style="2619" customWidth="1"/>
    <col min="3362" max="3362" width="7.84375" style="2619" bestFit="1" customWidth="1"/>
    <col min="3363" max="3363" width="9.84375" style="2619" customWidth="1"/>
    <col min="3364" max="3580" width="8.84375" style="2619"/>
    <col min="3581" max="3581" width="38.4609375" style="2619" customWidth="1"/>
    <col min="3582" max="3582" width="8.53515625" style="2619" customWidth="1"/>
    <col min="3583" max="3583" width="1.07421875" style="2619" customWidth="1"/>
    <col min="3584" max="3584" width="8.84375" style="2619" customWidth="1"/>
    <col min="3585" max="3585" width="1.07421875" style="2619" customWidth="1"/>
    <col min="3586" max="3586" width="9.07421875" style="2619" customWidth="1"/>
    <col min="3587" max="3587" width="1.07421875" style="2619" customWidth="1"/>
    <col min="3588" max="3588" width="10" style="2619" customWidth="1"/>
    <col min="3589" max="3589" width="1.07421875" style="2619" customWidth="1"/>
    <col min="3590" max="3590" width="9.07421875" style="2619" customWidth="1"/>
    <col min="3591" max="3591" width="1.07421875" style="2619" customWidth="1"/>
    <col min="3592" max="3592" width="11.07421875" style="2619" customWidth="1"/>
    <col min="3593" max="3593" width="1.07421875" style="2619" customWidth="1"/>
    <col min="3594" max="3594" width="9.07421875" style="2619" customWidth="1"/>
    <col min="3595" max="3595" width="1.84375" style="2619" customWidth="1"/>
    <col min="3596" max="3596" width="11" style="2619" customWidth="1"/>
    <col min="3597" max="3597" width="1.07421875" style="2619" customWidth="1"/>
    <col min="3598" max="3598" width="10.84375" style="2619" customWidth="1"/>
    <col min="3599" max="3599" width="1.07421875" style="2619" customWidth="1"/>
    <col min="3600" max="3600" width="10" style="2619" customWidth="1"/>
    <col min="3601" max="3601" width="1.07421875" style="2619" customWidth="1"/>
    <col min="3602" max="3602" width="9.07421875" style="2619" customWidth="1"/>
    <col min="3603" max="3603" width="1.07421875" style="2619" customWidth="1"/>
    <col min="3604" max="3604" width="7.84375" style="2619" customWidth="1"/>
    <col min="3605" max="3605" width="1.07421875" style="2619" customWidth="1"/>
    <col min="3606" max="3606" width="0.84375" style="2619" customWidth="1"/>
    <col min="3607" max="3607" width="9.07421875" style="2619" customWidth="1"/>
    <col min="3608" max="3608" width="1.07421875" style="2619" customWidth="1"/>
    <col min="3609" max="3609" width="0.84375" style="2619" customWidth="1"/>
    <col min="3610" max="3610" width="9.53515625" style="2619" bestFit="1" customWidth="1"/>
    <col min="3611" max="3612" width="0.84375" style="2619" customWidth="1"/>
    <col min="3613" max="3613" width="9.84375" style="2619" customWidth="1"/>
    <col min="3614" max="3614" width="1.07421875" style="2619" customWidth="1"/>
    <col min="3615" max="3615" width="8.53515625" style="2619" customWidth="1"/>
    <col min="3616" max="3616" width="14.53515625" style="2619" customWidth="1"/>
    <col min="3617" max="3617" width="10" style="2619" customWidth="1"/>
    <col min="3618" max="3618" width="7.84375" style="2619" bestFit="1" customWidth="1"/>
    <col min="3619" max="3619" width="9.84375" style="2619" customWidth="1"/>
    <col min="3620" max="3836" width="8.84375" style="2619"/>
    <col min="3837" max="3837" width="38.4609375" style="2619" customWidth="1"/>
    <col min="3838" max="3838" width="8.53515625" style="2619" customWidth="1"/>
    <col min="3839" max="3839" width="1.07421875" style="2619" customWidth="1"/>
    <col min="3840" max="3840" width="8.84375" style="2619" customWidth="1"/>
    <col min="3841" max="3841" width="1.07421875" style="2619" customWidth="1"/>
    <col min="3842" max="3842" width="9.07421875" style="2619" customWidth="1"/>
    <col min="3843" max="3843" width="1.07421875" style="2619" customWidth="1"/>
    <col min="3844" max="3844" width="10" style="2619" customWidth="1"/>
    <col min="3845" max="3845" width="1.07421875" style="2619" customWidth="1"/>
    <col min="3846" max="3846" width="9.07421875" style="2619" customWidth="1"/>
    <col min="3847" max="3847" width="1.07421875" style="2619" customWidth="1"/>
    <col min="3848" max="3848" width="11.07421875" style="2619" customWidth="1"/>
    <col min="3849" max="3849" width="1.07421875" style="2619" customWidth="1"/>
    <col min="3850" max="3850" width="9.07421875" style="2619" customWidth="1"/>
    <col min="3851" max="3851" width="1.84375" style="2619" customWidth="1"/>
    <col min="3852" max="3852" width="11" style="2619" customWidth="1"/>
    <col min="3853" max="3853" width="1.07421875" style="2619" customWidth="1"/>
    <col min="3854" max="3854" width="10.84375" style="2619" customWidth="1"/>
    <col min="3855" max="3855" width="1.07421875" style="2619" customWidth="1"/>
    <col min="3856" max="3856" width="10" style="2619" customWidth="1"/>
    <col min="3857" max="3857" width="1.07421875" style="2619" customWidth="1"/>
    <col min="3858" max="3858" width="9.07421875" style="2619" customWidth="1"/>
    <col min="3859" max="3859" width="1.07421875" style="2619" customWidth="1"/>
    <col min="3860" max="3860" width="7.84375" style="2619" customWidth="1"/>
    <col min="3861" max="3861" width="1.07421875" style="2619" customWidth="1"/>
    <col min="3862" max="3862" width="0.84375" style="2619" customWidth="1"/>
    <col min="3863" max="3863" width="9.07421875" style="2619" customWidth="1"/>
    <col min="3864" max="3864" width="1.07421875" style="2619" customWidth="1"/>
    <col min="3865" max="3865" width="0.84375" style="2619" customWidth="1"/>
    <col min="3866" max="3866" width="9.53515625" style="2619" bestFit="1" customWidth="1"/>
    <col min="3867" max="3868" width="0.84375" style="2619" customWidth="1"/>
    <col min="3869" max="3869" width="9.84375" style="2619" customWidth="1"/>
    <col min="3870" max="3870" width="1.07421875" style="2619" customWidth="1"/>
    <col min="3871" max="3871" width="8.53515625" style="2619" customWidth="1"/>
    <col min="3872" max="3872" width="14.53515625" style="2619" customWidth="1"/>
    <col min="3873" max="3873" width="10" style="2619" customWidth="1"/>
    <col min="3874" max="3874" width="7.84375" style="2619" bestFit="1" customWidth="1"/>
    <col min="3875" max="3875" width="9.84375" style="2619" customWidth="1"/>
    <col min="3876" max="4092" width="8.84375" style="2619"/>
    <col min="4093" max="4093" width="38.4609375" style="2619" customWidth="1"/>
    <col min="4094" max="4094" width="8.53515625" style="2619" customWidth="1"/>
    <col min="4095" max="4095" width="1.07421875" style="2619" customWidth="1"/>
    <col min="4096" max="4096" width="8.84375" style="2619" customWidth="1"/>
    <col min="4097" max="4097" width="1.07421875" style="2619" customWidth="1"/>
    <col min="4098" max="4098" width="9.07421875" style="2619" customWidth="1"/>
    <col min="4099" max="4099" width="1.07421875" style="2619" customWidth="1"/>
    <col min="4100" max="4100" width="10" style="2619" customWidth="1"/>
    <col min="4101" max="4101" width="1.07421875" style="2619" customWidth="1"/>
    <col min="4102" max="4102" width="9.07421875" style="2619" customWidth="1"/>
    <col min="4103" max="4103" width="1.07421875" style="2619" customWidth="1"/>
    <col min="4104" max="4104" width="11.07421875" style="2619" customWidth="1"/>
    <col min="4105" max="4105" width="1.07421875" style="2619" customWidth="1"/>
    <col min="4106" max="4106" width="9.07421875" style="2619" customWidth="1"/>
    <col min="4107" max="4107" width="1.84375" style="2619" customWidth="1"/>
    <col min="4108" max="4108" width="11" style="2619" customWidth="1"/>
    <col min="4109" max="4109" width="1.07421875" style="2619" customWidth="1"/>
    <col min="4110" max="4110" width="10.84375" style="2619" customWidth="1"/>
    <col min="4111" max="4111" width="1.07421875" style="2619" customWidth="1"/>
    <col min="4112" max="4112" width="10" style="2619" customWidth="1"/>
    <col min="4113" max="4113" width="1.07421875" style="2619" customWidth="1"/>
    <col min="4114" max="4114" width="9.07421875" style="2619" customWidth="1"/>
    <col min="4115" max="4115" width="1.07421875" style="2619" customWidth="1"/>
    <col min="4116" max="4116" width="7.84375" style="2619" customWidth="1"/>
    <col min="4117" max="4117" width="1.07421875" style="2619" customWidth="1"/>
    <col min="4118" max="4118" width="0.84375" style="2619" customWidth="1"/>
    <col min="4119" max="4119" width="9.07421875" style="2619" customWidth="1"/>
    <col min="4120" max="4120" width="1.07421875" style="2619" customWidth="1"/>
    <col min="4121" max="4121" width="0.84375" style="2619" customWidth="1"/>
    <col min="4122" max="4122" width="9.53515625" style="2619" bestFit="1" customWidth="1"/>
    <col min="4123" max="4124" width="0.84375" style="2619" customWidth="1"/>
    <col min="4125" max="4125" width="9.84375" style="2619" customWidth="1"/>
    <col min="4126" max="4126" width="1.07421875" style="2619" customWidth="1"/>
    <col min="4127" max="4127" width="8.53515625" style="2619" customWidth="1"/>
    <col min="4128" max="4128" width="14.53515625" style="2619" customWidth="1"/>
    <col min="4129" max="4129" width="10" style="2619" customWidth="1"/>
    <col min="4130" max="4130" width="7.84375" style="2619" bestFit="1" customWidth="1"/>
    <col min="4131" max="4131" width="9.84375" style="2619" customWidth="1"/>
    <col min="4132" max="4348" width="8.84375" style="2619"/>
    <col min="4349" max="4349" width="38.4609375" style="2619" customWidth="1"/>
    <col min="4350" max="4350" width="8.53515625" style="2619" customWidth="1"/>
    <col min="4351" max="4351" width="1.07421875" style="2619" customWidth="1"/>
    <col min="4352" max="4352" width="8.84375" style="2619" customWidth="1"/>
    <col min="4353" max="4353" width="1.07421875" style="2619" customWidth="1"/>
    <col min="4354" max="4354" width="9.07421875" style="2619" customWidth="1"/>
    <col min="4355" max="4355" width="1.07421875" style="2619" customWidth="1"/>
    <col min="4356" max="4356" width="10" style="2619" customWidth="1"/>
    <col min="4357" max="4357" width="1.07421875" style="2619" customWidth="1"/>
    <col min="4358" max="4358" width="9.07421875" style="2619" customWidth="1"/>
    <col min="4359" max="4359" width="1.07421875" style="2619" customWidth="1"/>
    <col min="4360" max="4360" width="11.07421875" style="2619" customWidth="1"/>
    <col min="4361" max="4361" width="1.07421875" style="2619" customWidth="1"/>
    <col min="4362" max="4362" width="9.07421875" style="2619" customWidth="1"/>
    <col min="4363" max="4363" width="1.84375" style="2619" customWidth="1"/>
    <col min="4364" max="4364" width="11" style="2619" customWidth="1"/>
    <col min="4365" max="4365" width="1.07421875" style="2619" customWidth="1"/>
    <col min="4366" max="4366" width="10.84375" style="2619" customWidth="1"/>
    <col min="4367" max="4367" width="1.07421875" style="2619" customWidth="1"/>
    <col min="4368" max="4368" width="10" style="2619" customWidth="1"/>
    <col min="4369" max="4369" width="1.07421875" style="2619" customWidth="1"/>
    <col min="4370" max="4370" width="9.07421875" style="2619" customWidth="1"/>
    <col min="4371" max="4371" width="1.07421875" style="2619" customWidth="1"/>
    <col min="4372" max="4372" width="7.84375" style="2619" customWidth="1"/>
    <col min="4373" max="4373" width="1.07421875" style="2619" customWidth="1"/>
    <col min="4374" max="4374" width="0.84375" style="2619" customWidth="1"/>
    <col min="4375" max="4375" width="9.07421875" style="2619" customWidth="1"/>
    <col min="4376" max="4376" width="1.07421875" style="2619" customWidth="1"/>
    <col min="4377" max="4377" width="0.84375" style="2619" customWidth="1"/>
    <col min="4378" max="4378" width="9.53515625" style="2619" bestFit="1" customWidth="1"/>
    <col min="4379" max="4380" width="0.84375" style="2619" customWidth="1"/>
    <col min="4381" max="4381" width="9.84375" style="2619" customWidth="1"/>
    <col min="4382" max="4382" width="1.07421875" style="2619" customWidth="1"/>
    <col min="4383" max="4383" width="8.53515625" style="2619" customWidth="1"/>
    <col min="4384" max="4384" width="14.53515625" style="2619" customWidth="1"/>
    <col min="4385" max="4385" width="10" style="2619" customWidth="1"/>
    <col min="4386" max="4386" width="7.84375" style="2619" bestFit="1" customWidth="1"/>
    <col min="4387" max="4387" width="9.84375" style="2619" customWidth="1"/>
    <col min="4388" max="4604" width="8.84375" style="2619"/>
    <col min="4605" max="4605" width="38.4609375" style="2619" customWidth="1"/>
    <col min="4606" max="4606" width="8.53515625" style="2619" customWidth="1"/>
    <col min="4607" max="4607" width="1.07421875" style="2619" customWidth="1"/>
    <col min="4608" max="4608" width="8.84375" style="2619" customWidth="1"/>
    <col min="4609" max="4609" width="1.07421875" style="2619" customWidth="1"/>
    <col min="4610" max="4610" width="9.07421875" style="2619" customWidth="1"/>
    <col min="4611" max="4611" width="1.07421875" style="2619" customWidth="1"/>
    <col min="4612" max="4612" width="10" style="2619" customWidth="1"/>
    <col min="4613" max="4613" width="1.07421875" style="2619" customWidth="1"/>
    <col min="4614" max="4614" width="9.07421875" style="2619" customWidth="1"/>
    <col min="4615" max="4615" width="1.07421875" style="2619" customWidth="1"/>
    <col min="4616" max="4616" width="11.07421875" style="2619" customWidth="1"/>
    <col min="4617" max="4617" width="1.07421875" style="2619" customWidth="1"/>
    <col min="4618" max="4618" width="9.07421875" style="2619" customWidth="1"/>
    <col min="4619" max="4619" width="1.84375" style="2619" customWidth="1"/>
    <col min="4620" max="4620" width="11" style="2619" customWidth="1"/>
    <col min="4621" max="4621" width="1.07421875" style="2619" customWidth="1"/>
    <col min="4622" max="4622" width="10.84375" style="2619" customWidth="1"/>
    <col min="4623" max="4623" width="1.07421875" style="2619" customWidth="1"/>
    <col min="4624" max="4624" width="10" style="2619" customWidth="1"/>
    <col min="4625" max="4625" width="1.07421875" style="2619" customWidth="1"/>
    <col min="4626" max="4626" width="9.07421875" style="2619" customWidth="1"/>
    <col min="4627" max="4627" width="1.07421875" style="2619" customWidth="1"/>
    <col min="4628" max="4628" width="7.84375" style="2619" customWidth="1"/>
    <col min="4629" max="4629" width="1.07421875" style="2619" customWidth="1"/>
    <col min="4630" max="4630" width="0.84375" style="2619" customWidth="1"/>
    <col min="4631" max="4631" width="9.07421875" style="2619" customWidth="1"/>
    <col min="4632" max="4632" width="1.07421875" style="2619" customWidth="1"/>
    <col min="4633" max="4633" width="0.84375" style="2619" customWidth="1"/>
    <col min="4634" max="4634" width="9.53515625" style="2619" bestFit="1" customWidth="1"/>
    <col min="4635" max="4636" width="0.84375" style="2619" customWidth="1"/>
    <col min="4637" max="4637" width="9.84375" style="2619" customWidth="1"/>
    <col min="4638" max="4638" width="1.07421875" style="2619" customWidth="1"/>
    <col min="4639" max="4639" width="8.53515625" style="2619" customWidth="1"/>
    <col min="4640" max="4640" width="14.53515625" style="2619" customWidth="1"/>
    <col min="4641" max="4641" width="10" style="2619" customWidth="1"/>
    <col min="4642" max="4642" width="7.84375" style="2619" bestFit="1" customWidth="1"/>
    <col min="4643" max="4643" width="9.84375" style="2619" customWidth="1"/>
    <col min="4644" max="4860" width="8.84375" style="2619"/>
    <col min="4861" max="4861" width="38.4609375" style="2619" customWidth="1"/>
    <col min="4862" max="4862" width="8.53515625" style="2619" customWidth="1"/>
    <col min="4863" max="4863" width="1.07421875" style="2619" customWidth="1"/>
    <col min="4864" max="4864" width="8.84375" style="2619" customWidth="1"/>
    <col min="4865" max="4865" width="1.07421875" style="2619" customWidth="1"/>
    <col min="4866" max="4866" width="9.07421875" style="2619" customWidth="1"/>
    <col min="4867" max="4867" width="1.07421875" style="2619" customWidth="1"/>
    <col min="4868" max="4868" width="10" style="2619" customWidth="1"/>
    <col min="4869" max="4869" width="1.07421875" style="2619" customWidth="1"/>
    <col min="4870" max="4870" width="9.07421875" style="2619" customWidth="1"/>
    <col min="4871" max="4871" width="1.07421875" style="2619" customWidth="1"/>
    <col min="4872" max="4872" width="11.07421875" style="2619" customWidth="1"/>
    <col min="4873" max="4873" width="1.07421875" style="2619" customWidth="1"/>
    <col min="4874" max="4874" width="9.07421875" style="2619" customWidth="1"/>
    <col min="4875" max="4875" width="1.84375" style="2619" customWidth="1"/>
    <col min="4876" max="4876" width="11" style="2619" customWidth="1"/>
    <col min="4877" max="4877" width="1.07421875" style="2619" customWidth="1"/>
    <col min="4878" max="4878" width="10.84375" style="2619" customWidth="1"/>
    <col min="4879" max="4879" width="1.07421875" style="2619" customWidth="1"/>
    <col min="4880" max="4880" width="10" style="2619" customWidth="1"/>
    <col min="4881" max="4881" width="1.07421875" style="2619" customWidth="1"/>
    <col min="4882" max="4882" width="9.07421875" style="2619" customWidth="1"/>
    <col min="4883" max="4883" width="1.07421875" style="2619" customWidth="1"/>
    <col min="4884" max="4884" width="7.84375" style="2619" customWidth="1"/>
    <col min="4885" max="4885" width="1.07421875" style="2619" customWidth="1"/>
    <col min="4886" max="4886" width="0.84375" style="2619" customWidth="1"/>
    <col min="4887" max="4887" width="9.07421875" style="2619" customWidth="1"/>
    <col min="4888" max="4888" width="1.07421875" style="2619" customWidth="1"/>
    <col min="4889" max="4889" width="0.84375" style="2619" customWidth="1"/>
    <col min="4890" max="4890" width="9.53515625" style="2619" bestFit="1" customWidth="1"/>
    <col min="4891" max="4892" width="0.84375" style="2619" customWidth="1"/>
    <col min="4893" max="4893" width="9.84375" style="2619" customWidth="1"/>
    <col min="4894" max="4894" width="1.07421875" style="2619" customWidth="1"/>
    <col min="4895" max="4895" width="8.53515625" style="2619" customWidth="1"/>
    <col min="4896" max="4896" width="14.53515625" style="2619" customWidth="1"/>
    <col min="4897" max="4897" width="10" style="2619" customWidth="1"/>
    <col min="4898" max="4898" width="7.84375" style="2619" bestFit="1" customWidth="1"/>
    <col min="4899" max="4899" width="9.84375" style="2619" customWidth="1"/>
    <col min="4900" max="5116" width="8.84375" style="2619"/>
    <col min="5117" max="5117" width="38.4609375" style="2619" customWidth="1"/>
    <col min="5118" max="5118" width="8.53515625" style="2619" customWidth="1"/>
    <col min="5119" max="5119" width="1.07421875" style="2619" customWidth="1"/>
    <col min="5120" max="5120" width="8.84375" style="2619" customWidth="1"/>
    <col min="5121" max="5121" width="1.07421875" style="2619" customWidth="1"/>
    <col min="5122" max="5122" width="9.07421875" style="2619" customWidth="1"/>
    <col min="5123" max="5123" width="1.07421875" style="2619" customWidth="1"/>
    <col min="5124" max="5124" width="10" style="2619" customWidth="1"/>
    <col min="5125" max="5125" width="1.07421875" style="2619" customWidth="1"/>
    <col min="5126" max="5126" width="9.07421875" style="2619" customWidth="1"/>
    <col min="5127" max="5127" width="1.07421875" style="2619" customWidth="1"/>
    <col min="5128" max="5128" width="11.07421875" style="2619" customWidth="1"/>
    <col min="5129" max="5129" width="1.07421875" style="2619" customWidth="1"/>
    <col min="5130" max="5130" width="9.07421875" style="2619" customWidth="1"/>
    <col min="5131" max="5131" width="1.84375" style="2619" customWidth="1"/>
    <col min="5132" max="5132" width="11" style="2619" customWidth="1"/>
    <col min="5133" max="5133" width="1.07421875" style="2619" customWidth="1"/>
    <col min="5134" max="5134" width="10.84375" style="2619" customWidth="1"/>
    <col min="5135" max="5135" width="1.07421875" style="2619" customWidth="1"/>
    <col min="5136" max="5136" width="10" style="2619" customWidth="1"/>
    <col min="5137" max="5137" width="1.07421875" style="2619" customWidth="1"/>
    <col min="5138" max="5138" width="9.07421875" style="2619" customWidth="1"/>
    <col min="5139" max="5139" width="1.07421875" style="2619" customWidth="1"/>
    <col min="5140" max="5140" width="7.84375" style="2619" customWidth="1"/>
    <col min="5141" max="5141" width="1.07421875" style="2619" customWidth="1"/>
    <col min="5142" max="5142" width="0.84375" style="2619" customWidth="1"/>
    <col min="5143" max="5143" width="9.07421875" style="2619" customWidth="1"/>
    <col min="5144" max="5144" width="1.07421875" style="2619" customWidth="1"/>
    <col min="5145" max="5145" width="0.84375" style="2619" customWidth="1"/>
    <col min="5146" max="5146" width="9.53515625" style="2619" bestFit="1" customWidth="1"/>
    <col min="5147" max="5148" width="0.84375" style="2619" customWidth="1"/>
    <col min="5149" max="5149" width="9.84375" style="2619" customWidth="1"/>
    <col min="5150" max="5150" width="1.07421875" style="2619" customWidth="1"/>
    <col min="5151" max="5151" width="8.53515625" style="2619" customWidth="1"/>
    <col min="5152" max="5152" width="14.53515625" style="2619" customWidth="1"/>
    <col min="5153" max="5153" width="10" style="2619" customWidth="1"/>
    <col min="5154" max="5154" width="7.84375" style="2619" bestFit="1" customWidth="1"/>
    <col min="5155" max="5155" width="9.84375" style="2619" customWidth="1"/>
    <col min="5156" max="5372" width="8.84375" style="2619"/>
    <col min="5373" max="5373" width="38.4609375" style="2619" customWidth="1"/>
    <col min="5374" max="5374" width="8.53515625" style="2619" customWidth="1"/>
    <col min="5375" max="5375" width="1.07421875" style="2619" customWidth="1"/>
    <col min="5376" max="5376" width="8.84375" style="2619" customWidth="1"/>
    <col min="5377" max="5377" width="1.07421875" style="2619" customWidth="1"/>
    <col min="5378" max="5378" width="9.07421875" style="2619" customWidth="1"/>
    <col min="5379" max="5379" width="1.07421875" style="2619" customWidth="1"/>
    <col min="5380" max="5380" width="10" style="2619" customWidth="1"/>
    <col min="5381" max="5381" width="1.07421875" style="2619" customWidth="1"/>
    <col min="5382" max="5382" width="9.07421875" style="2619" customWidth="1"/>
    <col min="5383" max="5383" width="1.07421875" style="2619" customWidth="1"/>
    <col min="5384" max="5384" width="11.07421875" style="2619" customWidth="1"/>
    <col min="5385" max="5385" width="1.07421875" style="2619" customWidth="1"/>
    <col min="5386" max="5386" width="9.07421875" style="2619" customWidth="1"/>
    <col min="5387" max="5387" width="1.84375" style="2619" customWidth="1"/>
    <col min="5388" max="5388" width="11" style="2619" customWidth="1"/>
    <col min="5389" max="5389" width="1.07421875" style="2619" customWidth="1"/>
    <col min="5390" max="5390" width="10.84375" style="2619" customWidth="1"/>
    <col min="5391" max="5391" width="1.07421875" style="2619" customWidth="1"/>
    <col min="5392" max="5392" width="10" style="2619" customWidth="1"/>
    <col min="5393" max="5393" width="1.07421875" style="2619" customWidth="1"/>
    <col min="5394" max="5394" width="9.07421875" style="2619" customWidth="1"/>
    <col min="5395" max="5395" width="1.07421875" style="2619" customWidth="1"/>
    <col min="5396" max="5396" width="7.84375" style="2619" customWidth="1"/>
    <col min="5397" max="5397" width="1.07421875" style="2619" customWidth="1"/>
    <col min="5398" max="5398" width="0.84375" style="2619" customWidth="1"/>
    <col min="5399" max="5399" width="9.07421875" style="2619" customWidth="1"/>
    <col min="5400" max="5400" width="1.07421875" style="2619" customWidth="1"/>
    <col min="5401" max="5401" width="0.84375" style="2619" customWidth="1"/>
    <col min="5402" max="5402" width="9.53515625" style="2619" bestFit="1" customWidth="1"/>
    <col min="5403" max="5404" width="0.84375" style="2619" customWidth="1"/>
    <col min="5405" max="5405" width="9.84375" style="2619" customWidth="1"/>
    <col min="5406" max="5406" width="1.07421875" style="2619" customWidth="1"/>
    <col min="5407" max="5407" width="8.53515625" style="2619" customWidth="1"/>
    <col min="5408" max="5408" width="14.53515625" style="2619" customWidth="1"/>
    <col min="5409" max="5409" width="10" style="2619" customWidth="1"/>
    <col min="5410" max="5410" width="7.84375" style="2619" bestFit="1" customWidth="1"/>
    <col min="5411" max="5411" width="9.84375" style="2619" customWidth="1"/>
    <col min="5412" max="5628" width="8.84375" style="2619"/>
    <col min="5629" max="5629" width="38.4609375" style="2619" customWidth="1"/>
    <col min="5630" max="5630" width="8.53515625" style="2619" customWidth="1"/>
    <col min="5631" max="5631" width="1.07421875" style="2619" customWidth="1"/>
    <col min="5632" max="5632" width="8.84375" style="2619" customWidth="1"/>
    <col min="5633" max="5633" width="1.07421875" style="2619" customWidth="1"/>
    <col min="5634" max="5634" width="9.07421875" style="2619" customWidth="1"/>
    <col min="5635" max="5635" width="1.07421875" style="2619" customWidth="1"/>
    <col min="5636" max="5636" width="10" style="2619" customWidth="1"/>
    <col min="5637" max="5637" width="1.07421875" style="2619" customWidth="1"/>
    <col min="5638" max="5638" width="9.07421875" style="2619" customWidth="1"/>
    <col min="5639" max="5639" width="1.07421875" style="2619" customWidth="1"/>
    <col min="5640" max="5640" width="11.07421875" style="2619" customWidth="1"/>
    <col min="5641" max="5641" width="1.07421875" style="2619" customWidth="1"/>
    <col min="5642" max="5642" width="9.07421875" style="2619" customWidth="1"/>
    <col min="5643" max="5643" width="1.84375" style="2619" customWidth="1"/>
    <col min="5644" max="5644" width="11" style="2619" customWidth="1"/>
    <col min="5645" max="5645" width="1.07421875" style="2619" customWidth="1"/>
    <col min="5646" max="5646" width="10.84375" style="2619" customWidth="1"/>
    <col min="5647" max="5647" width="1.07421875" style="2619" customWidth="1"/>
    <col min="5648" max="5648" width="10" style="2619" customWidth="1"/>
    <col min="5649" max="5649" width="1.07421875" style="2619" customWidth="1"/>
    <col min="5650" max="5650" width="9.07421875" style="2619" customWidth="1"/>
    <col min="5651" max="5651" width="1.07421875" style="2619" customWidth="1"/>
    <col min="5652" max="5652" width="7.84375" style="2619" customWidth="1"/>
    <col min="5653" max="5653" width="1.07421875" style="2619" customWidth="1"/>
    <col min="5654" max="5654" width="0.84375" style="2619" customWidth="1"/>
    <col min="5655" max="5655" width="9.07421875" style="2619" customWidth="1"/>
    <col min="5656" max="5656" width="1.07421875" style="2619" customWidth="1"/>
    <col min="5657" max="5657" width="0.84375" style="2619" customWidth="1"/>
    <col min="5658" max="5658" width="9.53515625" style="2619" bestFit="1" customWidth="1"/>
    <col min="5659" max="5660" width="0.84375" style="2619" customWidth="1"/>
    <col min="5661" max="5661" width="9.84375" style="2619" customWidth="1"/>
    <col min="5662" max="5662" width="1.07421875" style="2619" customWidth="1"/>
    <col min="5663" max="5663" width="8.53515625" style="2619" customWidth="1"/>
    <col min="5664" max="5664" width="14.53515625" style="2619" customWidth="1"/>
    <col min="5665" max="5665" width="10" style="2619" customWidth="1"/>
    <col min="5666" max="5666" width="7.84375" style="2619" bestFit="1" customWidth="1"/>
    <col min="5667" max="5667" width="9.84375" style="2619" customWidth="1"/>
    <col min="5668" max="5884" width="8.84375" style="2619"/>
    <col min="5885" max="5885" width="38.4609375" style="2619" customWidth="1"/>
    <col min="5886" max="5886" width="8.53515625" style="2619" customWidth="1"/>
    <col min="5887" max="5887" width="1.07421875" style="2619" customWidth="1"/>
    <col min="5888" max="5888" width="8.84375" style="2619" customWidth="1"/>
    <col min="5889" max="5889" width="1.07421875" style="2619" customWidth="1"/>
    <col min="5890" max="5890" width="9.07421875" style="2619" customWidth="1"/>
    <col min="5891" max="5891" width="1.07421875" style="2619" customWidth="1"/>
    <col min="5892" max="5892" width="10" style="2619" customWidth="1"/>
    <col min="5893" max="5893" width="1.07421875" style="2619" customWidth="1"/>
    <col min="5894" max="5894" width="9.07421875" style="2619" customWidth="1"/>
    <col min="5895" max="5895" width="1.07421875" style="2619" customWidth="1"/>
    <col min="5896" max="5896" width="11.07421875" style="2619" customWidth="1"/>
    <col min="5897" max="5897" width="1.07421875" style="2619" customWidth="1"/>
    <col min="5898" max="5898" width="9.07421875" style="2619" customWidth="1"/>
    <col min="5899" max="5899" width="1.84375" style="2619" customWidth="1"/>
    <col min="5900" max="5900" width="11" style="2619" customWidth="1"/>
    <col min="5901" max="5901" width="1.07421875" style="2619" customWidth="1"/>
    <col min="5902" max="5902" width="10.84375" style="2619" customWidth="1"/>
    <col min="5903" max="5903" width="1.07421875" style="2619" customWidth="1"/>
    <col min="5904" max="5904" width="10" style="2619" customWidth="1"/>
    <col min="5905" max="5905" width="1.07421875" style="2619" customWidth="1"/>
    <col min="5906" max="5906" width="9.07421875" style="2619" customWidth="1"/>
    <col min="5907" max="5907" width="1.07421875" style="2619" customWidth="1"/>
    <col min="5908" max="5908" width="7.84375" style="2619" customWidth="1"/>
    <col min="5909" max="5909" width="1.07421875" style="2619" customWidth="1"/>
    <col min="5910" max="5910" width="0.84375" style="2619" customWidth="1"/>
    <col min="5911" max="5911" width="9.07421875" style="2619" customWidth="1"/>
    <col min="5912" max="5912" width="1.07421875" style="2619" customWidth="1"/>
    <col min="5913" max="5913" width="0.84375" style="2619" customWidth="1"/>
    <col min="5914" max="5914" width="9.53515625" style="2619" bestFit="1" customWidth="1"/>
    <col min="5915" max="5916" width="0.84375" style="2619" customWidth="1"/>
    <col min="5917" max="5917" width="9.84375" style="2619" customWidth="1"/>
    <col min="5918" max="5918" width="1.07421875" style="2619" customWidth="1"/>
    <col min="5919" max="5919" width="8.53515625" style="2619" customWidth="1"/>
    <col min="5920" max="5920" width="14.53515625" style="2619" customWidth="1"/>
    <col min="5921" max="5921" width="10" style="2619" customWidth="1"/>
    <col min="5922" max="5922" width="7.84375" style="2619" bestFit="1" customWidth="1"/>
    <col min="5923" max="5923" width="9.84375" style="2619" customWidth="1"/>
    <col min="5924" max="6140" width="8.84375" style="2619"/>
    <col min="6141" max="6141" width="38.4609375" style="2619" customWidth="1"/>
    <col min="6142" max="6142" width="8.53515625" style="2619" customWidth="1"/>
    <col min="6143" max="6143" width="1.07421875" style="2619" customWidth="1"/>
    <col min="6144" max="6144" width="8.84375" style="2619" customWidth="1"/>
    <col min="6145" max="6145" width="1.07421875" style="2619" customWidth="1"/>
    <col min="6146" max="6146" width="9.07421875" style="2619" customWidth="1"/>
    <col min="6147" max="6147" width="1.07421875" style="2619" customWidth="1"/>
    <col min="6148" max="6148" width="10" style="2619" customWidth="1"/>
    <col min="6149" max="6149" width="1.07421875" style="2619" customWidth="1"/>
    <col min="6150" max="6150" width="9.07421875" style="2619" customWidth="1"/>
    <col min="6151" max="6151" width="1.07421875" style="2619" customWidth="1"/>
    <col min="6152" max="6152" width="11.07421875" style="2619" customWidth="1"/>
    <col min="6153" max="6153" width="1.07421875" style="2619" customWidth="1"/>
    <col min="6154" max="6154" width="9.07421875" style="2619" customWidth="1"/>
    <col min="6155" max="6155" width="1.84375" style="2619" customWidth="1"/>
    <col min="6156" max="6156" width="11" style="2619" customWidth="1"/>
    <col min="6157" max="6157" width="1.07421875" style="2619" customWidth="1"/>
    <col min="6158" max="6158" width="10.84375" style="2619" customWidth="1"/>
    <col min="6159" max="6159" width="1.07421875" style="2619" customWidth="1"/>
    <col min="6160" max="6160" width="10" style="2619" customWidth="1"/>
    <col min="6161" max="6161" width="1.07421875" style="2619" customWidth="1"/>
    <col min="6162" max="6162" width="9.07421875" style="2619" customWidth="1"/>
    <col min="6163" max="6163" width="1.07421875" style="2619" customWidth="1"/>
    <col min="6164" max="6164" width="7.84375" style="2619" customWidth="1"/>
    <col min="6165" max="6165" width="1.07421875" style="2619" customWidth="1"/>
    <col min="6166" max="6166" width="0.84375" style="2619" customWidth="1"/>
    <col min="6167" max="6167" width="9.07421875" style="2619" customWidth="1"/>
    <col min="6168" max="6168" width="1.07421875" style="2619" customWidth="1"/>
    <col min="6169" max="6169" width="0.84375" style="2619" customWidth="1"/>
    <col min="6170" max="6170" width="9.53515625" style="2619" bestFit="1" customWidth="1"/>
    <col min="6171" max="6172" width="0.84375" style="2619" customWidth="1"/>
    <col min="6173" max="6173" width="9.84375" style="2619" customWidth="1"/>
    <col min="6174" max="6174" width="1.07421875" style="2619" customWidth="1"/>
    <col min="6175" max="6175" width="8.53515625" style="2619" customWidth="1"/>
    <col min="6176" max="6176" width="14.53515625" style="2619" customWidth="1"/>
    <col min="6177" max="6177" width="10" style="2619" customWidth="1"/>
    <col min="6178" max="6178" width="7.84375" style="2619" bestFit="1" customWidth="1"/>
    <col min="6179" max="6179" width="9.84375" style="2619" customWidth="1"/>
    <col min="6180" max="6396" width="8.84375" style="2619"/>
    <col min="6397" max="6397" width="38.4609375" style="2619" customWidth="1"/>
    <col min="6398" max="6398" width="8.53515625" style="2619" customWidth="1"/>
    <col min="6399" max="6399" width="1.07421875" style="2619" customWidth="1"/>
    <col min="6400" max="6400" width="8.84375" style="2619" customWidth="1"/>
    <col min="6401" max="6401" width="1.07421875" style="2619" customWidth="1"/>
    <col min="6402" max="6402" width="9.07421875" style="2619" customWidth="1"/>
    <col min="6403" max="6403" width="1.07421875" style="2619" customWidth="1"/>
    <col min="6404" max="6404" width="10" style="2619" customWidth="1"/>
    <col min="6405" max="6405" width="1.07421875" style="2619" customWidth="1"/>
    <col min="6406" max="6406" width="9.07421875" style="2619" customWidth="1"/>
    <col min="6407" max="6407" width="1.07421875" style="2619" customWidth="1"/>
    <col min="6408" max="6408" width="11.07421875" style="2619" customWidth="1"/>
    <col min="6409" max="6409" width="1.07421875" style="2619" customWidth="1"/>
    <col min="6410" max="6410" width="9.07421875" style="2619" customWidth="1"/>
    <col min="6411" max="6411" width="1.84375" style="2619" customWidth="1"/>
    <col min="6412" max="6412" width="11" style="2619" customWidth="1"/>
    <col min="6413" max="6413" width="1.07421875" style="2619" customWidth="1"/>
    <col min="6414" max="6414" width="10.84375" style="2619" customWidth="1"/>
    <col min="6415" max="6415" width="1.07421875" style="2619" customWidth="1"/>
    <col min="6416" max="6416" width="10" style="2619" customWidth="1"/>
    <col min="6417" max="6417" width="1.07421875" style="2619" customWidth="1"/>
    <col min="6418" max="6418" width="9.07421875" style="2619" customWidth="1"/>
    <col min="6419" max="6419" width="1.07421875" style="2619" customWidth="1"/>
    <col min="6420" max="6420" width="7.84375" style="2619" customWidth="1"/>
    <col min="6421" max="6421" width="1.07421875" style="2619" customWidth="1"/>
    <col min="6422" max="6422" width="0.84375" style="2619" customWidth="1"/>
    <col min="6423" max="6423" width="9.07421875" style="2619" customWidth="1"/>
    <col min="6424" max="6424" width="1.07421875" style="2619" customWidth="1"/>
    <col min="6425" max="6425" width="0.84375" style="2619" customWidth="1"/>
    <col min="6426" max="6426" width="9.53515625" style="2619" bestFit="1" customWidth="1"/>
    <col min="6427" max="6428" width="0.84375" style="2619" customWidth="1"/>
    <col min="6429" max="6429" width="9.84375" style="2619" customWidth="1"/>
    <col min="6430" max="6430" width="1.07421875" style="2619" customWidth="1"/>
    <col min="6431" max="6431" width="8.53515625" style="2619" customWidth="1"/>
    <col min="6432" max="6432" width="14.53515625" style="2619" customWidth="1"/>
    <col min="6433" max="6433" width="10" style="2619" customWidth="1"/>
    <col min="6434" max="6434" width="7.84375" style="2619" bestFit="1" customWidth="1"/>
    <col min="6435" max="6435" width="9.84375" style="2619" customWidth="1"/>
    <col min="6436" max="6652" width="8.84375" style="2619"/>
    <col min="6653" max="6653" width="38.4609375" style="2619" customWidth="1"/>
    <col min="6654" max="6654" width="8.53515625" style="2619" customWidth="1"/>
    <col min="6655" max="6655" width="1.07421875" style="2619" customWidth="1"/>
    <col min="6656" max="6656" width="8.84375" style="2619" customWidth="1"/>
    <col min="6657" max="6657" width="1.07421875" style="2619" customWidth="1"/>
    <col min="6658" max="6658" width="9.07421875" style="2619" customWidth="1"/>
    <col min="6659" max="6659" width="1.07421875" style="2619" customWidth="1"/>
    <col min="6660" max="6660" width="10" style="2619" customWidth="1"/>
    <col min="6661" max="6661" width="1.07421875" style="2619" customWidth="1"/>
    <col min="6662" max="6662" width="9.07421875" style="2619" customWidth="1"/>
    <col min="6663" max="6663" width="1.07421875" style="2619" customWidth="1"/>
    <col min="6664" max="6664" width="11.07421875" style="2619" customWidth="1"/>
    <col min="6665" max="6665" width="1.07421875" style="2619" customWidth="1"/>
    <col min="6666" max="6666" width="9.07421875" style="2619" customWidth="1"/>
    <col min="6667" max="6667" width="1.84375" style="2619" customWidth="1"/>
    <col min="6668" max="6668" width="11" style="2619" customWidth="1"/>
    <col min="6669" max="6669" width="1.07421875" style="2619" customWidth="1"/>
    <col min="6670" max="6670" width="10.84375" style="2619" customWidth="1"/>
    <col min="6671" max="6671" width="1.07421875" style="2619" customWidth="1"/>
    <col min="6672" max="6672" width="10" style="2619" customWidth="1"/>
    <col min="6673" max="6673" width="1.07421875" style="2619" customWidth="1"/>
    <col min="6674" max="6674" width="9.07421875" style="2619" customWidth="1"/>
    <col min="6675" max="6675" width="1.07421875" style="2619" customWidth="1"/>
    <col min="6676" max="6676" width="7.84375" style="2619" customWidth="1"/>
    <col min="6677" max="6677" width="1.07421875" style="2619" customWidth="1"/>
    <col min="6678" max="6678" width="0.84375" style="2619" customWidth="1"/>
    <col min="6679" max="6679" width="9.07421875" style="2619" customWidth="1"/>
    <col min="6680" max="6680" width="1.07421875" style="2619" customWidth="1"/>
    <col min="6681" max="6681" width="0.84375" style="2619" customWidth="1"/>
    <col min="6682" max="6682" width="9.53515625" style="2619" bestFit="1" customWidth="1"/>
    <col min="6683" max="6684" width="0.84375" style="2619" customWidth="1"/>
    <col min="6685" max="6685" width="9.84375" style="2619" customWidth="1"/>
    <col min="6686" max="6686" width="1.07421875" style="2619" customWidth="1"/>
    <col min="6687" max="6687" width="8.53515625" style="2619" customWidth="1"/>
    <col min="6688" max="6688" width="14.53515625" style="2619" customWidth="1"/>
    <col min="6689" max="6689" width="10" style="2619" customWidth="1"/>
    <col min="6690" max="6690" width="7.84375" style="2619" bestFit="1" customWidth="1"/>
    <col min="6691" max="6691" width="9.84375" style="2619" customWidth="1"/>
    <col min="6692" max="6908" width="8.84375" style="2619"/>
    <col min="6909" max="6909" width="38.4609375" style="2619" customWidth="1"/>
    <col min="6910" max="6910" width="8.53515625" style="2619" customWidth="1"/>
    <col min="6911" max="6911" width="1.07421875" style="2619" customWidth="1"/>
    <col min="6912" max="6912" width="8.84375" style="2619" customWidth="1"/>
    <col min="6913" max="6913" width="1.07421875" style="2619" customWidth="1"/>
    <col min="6914" max="6914" width="9.07421875" style="2619" customWidth="1"/>
    <col min="6915" max="6915" width="1.07421875" style="2619" customWidth="1"/>
    <col min="6916" max="6916" width="10" style="2619" customWidth="1"/>
    <col min="6917" max="6917" width="1.07421875" style="2619" customWidth="1"/>
    <col min="6918" max="6918" width="9.07421875" style="2619" customWidth="1"/>
    <col min="6919" max="6919" width="1.07421875" style="2619" customWidth="1"/>
    <col min="6920" max="6920" width="11.07421875" style="2619" customWidth="1"/>
    <col min="6921" max="6921" width="1.07421875" style="2619" customWidth="1"/>
    <col min="6922" max="6922" width="9.07421875" style="2619" customWidth="1"/>
    <col min="6923" max="6923" width="1.84375" style="2619" customWidth="1"/>
    <col min="6924" max="6924" width="11" style="2619" customWidth="1"/>
    <col min="6925" max="6925" width="1.07421875" style="2619" customWidth="1"/>
    <col min="6926" max="6926" width="10.84375" style="2619" customWidth="1"/>
    <col min="6927" max="6927" width="1.07421875" style="2619" customWidth="1"/>
    <col min="6928" max="6928" width="10" style="2619" customWidth="1"/>
    <col min="6929" max="6929" width="1.07421875" style="2619" customWidth="1"/>
    <col min="6930" max="6930" width="9.07421875" style="2619" customWidth="1"/>
    <col min="6931" max="6931" width="1.07421875" style="2619" customWidth="1"/>
    <col min="6932" max="6932" width="7.84375" style="2619" customWidth="1"/>
    <col min="6933" max="6933" width="1.07421875" style="2619" customWidth="1"/>
    <col min="6934" max="6934" width="0.84375" style="2619" customWidth="1"/>
    <col min="6935" max="6935" width="9.07421875" style="2619" customWidth="1"/>
    <col min="6936" max="6936" width="1.07421875" style="2619" customWidth="1"/>
    <col min="6937" max="6937" width="0.84375" style="2619" customWidth="1"/>
    <col min="6938" max="6938" width="9.53515625" style="2619" bestFit="1" customWidth="1"/>
    <col min="6939" max="6940" width="0.84375" style="2619" customWidth="1"/>
    <col min="6941" max="6941" width="9.84375" style="2619" customWidth="1"/>
    <col min="6942" max="6942" width="1.07421875" style="2619" customWidth="1"/>
    <col min="6943" max="6943" width="8.53515625" style="2619" customWidth="1"/>
    <col min="6944" max="6944" width="14.53515625" style="2619" customWidth="1"/>
    <col min="6945" max="6945" width="10" style="2619" customWidth="1"/>
    <col min="6946" max="6946" width="7.84375" style="2619" bestFit="1" customWidth="1"/>
    <col min="6947" max="6947" width="9.84375" style="2619" customWidth="1"/>
    <col min="6948" max="7164" width="8.84375" style="2619"/>
    <col min="7165" max="7165" width="38.4609375" style="2619" customWidth="1"/>
    <col min="7166" max="7166" width="8.53515625" style="2619" customWidth="1"/>
    <col min="7167" max="7167" width="1.07421875" style="2619" customWidth="1"/>
    <col min="7168" max="7168" width="8.84375" style="2619" customWidth="1"/>
    <col min="7169" max="7169" width="1.07421875" style="2619" customWidth="1"/>
    <col min="7170" max="7170" width="9.07421875" style="2619" customWidth="1"/>
    <col min="7171" max="7171" width="1.07421875" style="2619" customWidth="1"/>
    <col min="7172" max="7172" width="10" style="2619" customWidth="1"/>
    <col min="7173" max="7173" width="1.07421875" style="2619" customWidth="1"/>
    <col min="7174" max="7174" width="9.07421875" style="2619" customWidth="1"/>
    <col min="7175" max="7175" width="1.07421875" style="2619" customWidth="1"/>
    <col min="7176" max="7176" width="11.07421875" style="2619" customWidth="1"/>
    <col min="7177" max="7177" width="1.07421875" style="2619" customWidth="1"/>
    <col min="7178" max="7178" width="9.07421875" style="2619" customWidth="1"/>
    <col min="7179" max="7179" width="1.84375" style="2619" customWidth="1"/>
    <col min="7180" max="7180" width="11" style="2619" customWidth="1"/>
    <col min="7181" max="7181" width="1.07421875" style="2619" customWidth="1"/>
    <col min="7182" max="7182" width="10.84375" style="2619" customWidth="1"/>
    <col min="7183" max="7183" width="1.07421875" style="2619" customWidth="1"/>
    <col min="7184" max="7184" width="10" style="2619" customWidth="1"/>
    <col min="7185" max="7185" width="1.07421875" style="2619" customWidth="1"/>
    <col min="7186" max="7186" width="9.07421875" style="2619" customWidth="1"/>
    <col min="7187" max="7187" width="1.07421875" style="2619" customWidth="1"/>
    <col min="7188" max="7188" width="7.84375" style="2619" customWidth="1"/>
    <col min="7189" max="7189" width="1.07421875" style="2619" customWidth="1"/>
    <col min="7190" max="7190" width="0.84375" style="2619" customWidth="1"/>
    <col min="7191" max="7191" width="9.07421875" style="2619" customWidth="1"/>
    <col min="7192" max="7192" width="1.07421875" style="2619" customWidth="1"/>
    <col min="7193" max="7193" width="0.84375" style="2619" customWidth="1"/>
    <col min="7194" max="7194" width="9.53515625" style="2619" bestFit="1" customWidth="1"/>
    <col min="7195" max="7196" width="0.84375" style="2619" customWidth="1"/>
    <col min="7197" max="7197" width="9.84375" style="2619" customWidth="1"/>
    <col min="7198" max="7198" width="1.07421875" style="2619" customWidth="1"/>
    <col min="7199" max="7199" width="8.53515625" style="2619" customWidth="1"/>
    <col min="7200" max="7200" width="14.53515625" style="2619" customWidth="1"/>
    <col min="7201" max="7201" width="10" style="2619" customWidth="1"/>
    <col min="7202" max="7202" width="7.84375" style="2619" bestFit="1" customWidth="1"/>
    <col min="7203" max="7203" width="9.84375" style="2619" customWidth="1"/>
    <col min="7204" max="7420" width="8.84375" style="2619"/>
    <col min="7421" max="7421" width="38.4609375" style="2619" customWidth="1"/>
    <col min="7422" max="7422" width="8.53515625" style="2619" customWidth="1"/>
    <col min="7423" max="7423" width="1.07421875" style="2619" customWidth="1"/>
    <col min="7424" max="7424" width="8.84375" style="2619" customWidth="1"/>
    <col min="7425" max="7425" width="1.07421875" style="2619" customWidth="1"/>
    <col min="7426" max="7426" width="9.07421875" style="2619" customWidth="1"/>
    <col min="7427" max="7427" width="1.07421875" style="2619" customWidth="1"/>
    <col min="7428" max="7428" width="10" style="2619" customWidth="1"/>
    <col min="7429" max="7429" width="1.07421875" style="2619" customWidth="1"/>
    <col min="7430" max="7430" width="9.07421875" style="2619" customWidth="1"/>
    <col min="7431" max="7431" width="1.07421875" style="2619" customWidth="1"/>
    <col min="7432" max="7432" width="11.07421875" style="2619" customWidth="1"/>
    <col min="7433" max="7433" width="1.07421875" style="2619" customWidth="1"/>
    <col min="7434" max="7434" width="9.07421875" style="2619" customWidth="1"/>
    <col min="7435" max="7435" width="1.84375" style="2619" customWidth="1"/>
    <col min="7436" max="7436" width="11" style="2619" customWidth="1"/>
    <col min="7437" max="7437" width="1.07421875" style="2619" customWidth="1"/>
    <col min="7438" max="7438" width="10.84375" style="2619" customWidth="1"/>
    <col min="7439" max="7439" width="1.07421875" style="2619" customWidth="1"/>
    <col min="7440" max="7440" width="10" style="2619" customWidth="1"/>
    <col min="7441" max="7441" width="1.07421875" style="2619" customWidth="1"/>
    <col min="7442" max="7442" width="9.07421875" style="2619" customWidth="1"/>
    <col min="7443" max="7443" width="1.07421875" style="2619" customWidth="1"/>
    <col min="7444" max="7444" width="7.84375" style="2619" customWidth="1"/>
    <col min="7445" max="7445" width="1.07421875" style="2619" customWidth="1"/>
    <col min="7446" max="7446" width="0.84375" style="2619" customWidth="1"/>
    <col min="7447" max="7447" width="9.07421875" style="2619" customWidth="1"/>
    <col min="7448" max="7448" width="1.07421875" style="2619" customWidth="1"/>
    <col min="7449" max="7449" width="0.84375" style="2619" customWidth="1"/>
    <col min="7450" max="7450" width="9.53515625" style="2619" bestFit="1" customWidth="1"/>
    <col min="7451" max="7452" width="0.84375" style="2619" customWidth="1"/>
    <col min="7453" max="7453" width="9.84375" style="2619" customWidth="1"/>
    <col min="7454" max="7454" width="1.07421875" style="2619" customWidth="1"/>
    <col min="7455" max="7455" width="8.53515625" style="2619" customWidth="1"/>
    <col min="7456" max="7456" width="14.53515625" style="2619" customWidth="1"/>
    <col min="7457" max="7457" width="10" style="2619" customWidth="1"/>
    <col min="7458" max="7458" width="7.84375" style="2619" bestFit="1" customWidth="1"/>
    <col min="7459" max="7459" width="9.84375" style="2619" customWidth="1"/>
    <col min="7460" max="7676" width="8.84375" style="2619"/>
    <col min="7677" max="7677" width="38.4609375" style="2619" customWidth="1"/>
    <col min="7678" max="7678" width="8.53515625" style="2619" customWidth="1"/>
    <col min="7679" max="7679" width="1.07421875" style="2619" customWidth="1"/>
    <col min="7680" max="7680" width="8.84375" style="2619" customWidth="1"/>
    <col min="7681" max="7681" width="1.07421875" style="2619" customWidth="1"/>
    <col min="7682" max="7682" width="9.07421875" style="2619" customWidth="1"/>
    <col min="7683" max="7683" width="1.07421875" style="2619" customWidth="1"/>
    <col min="7684" max="7684" width="10" style="2619" customWidth="1"/>
    <col min="7685" max="7685" width="1.07421875" style="2619" customWidth="1"/>
    <col min="7686" max="7686" width="9.07421875" style="2619" customWidth="1"/>
    <col min="7687" max="7687" width="1.07421875" style="2619" customWidth="1"/>
    <col min="7688" max="7688" width="11.07421875" style="2619" customWidth="1"/>
    <col min="7689" max="7689" width="1.07421875" style="2619" customWidth="1"/>
    <col min="7690" max="7690" width="9.07421875" style="2619" customWidth="1"/>
    <col min="7691" max="7691" width="1.84375" style="2619" customWidth="1"/>
    <col min="7692" max="7692" width="11" style="2619" customWidth="1"/>
    <col min="7693" max="7693" width="1.07421875" style="2619" customWidth="1"/>
    <col min="7694" max="7694" width="10.84375" style="2619" customWidth="1"/>
    <col min="7695" max="7695" width="1.07421875" style="2619" customWidth="1"/>
    <col min="7696" max="7696" width="10" style="2619" customWidth="1"/>
    <col min="7697" max="7697" width="1.07421875" style="2619" customWidth="1"/>
    <col min="7698" max="7698" width="9.07421875" style="2619" customWidth="1"/>
    <col min="7699" max="7699" width="1.07421875" style="2619" customWidth="1"/>
    <col min="7700" max="7700" width="7.84375" style="2619" customWidth="1"/>
    <col min="7701" max="7701" width="1.07421875" style="2619" customWidth="1"/>
    <col min="7702" max="7702" width="0.84375" style="2619" customWidth="1"/>
    <col min="7703" max="7703" width="9.07421875" style="2619" customWidth="1"/>
    <col min="7704" max="7704" width="1.07421875" style="2619" customWidth="1"/>
    <col min="7705" max="7705" width="0.84375" style="2619" customWidth="1"/>
    <col min="7706" max="7706" width="9.53515625" style="2619" bestFit="1" customWidth="1"/>
    <col min="7707" max="7708" width="0.84375" style="2619" customWidth="1"/>
    <col min="7709" max="7709" width="9.84375" style="2619" customWidth="1"/>
    <col min="7710" max="7710" width="1.07421875" style="2619" customWidth="1"/>
    <col min="7711" max="7711" width="8.53515625" style="2619" customWidth="1"/>
    <col min="7712" max="7712" width="14.53515625" style="2619" customWidth="1"/>
    <col min="7713" max="7713" width="10" style="2619" customWidth="1"/>
    <col min="7714" max="7714" width="7.84375" style="2619" bestFit="1" customWidth="1"/>
    <col min="7715" max="7715" width="9.84375" style="2619" customWidth="1"/>
    <col min="7716" max="7932" width="8.84375" style="2619"/>
    <col min="7933" max="7933" width="38.4609375" style="2619" customWidth="1"/>
    <col min="7934" max="7934" width="8.53515625" style="2619" customWidth="1"/>
    <col min="7935" max="7935" width="1.07421875" style="2619" customWidth="1"/>
    <col min="7936" max="7936" width="8.84375" style="2619" customWidth="1"/>
    <col min="7937" max="7937" width="1.07421875" style="2619" customWidth="1"/>
    <col min="7938" max="7938" width="9.07421875" style="2619" customWidth="1"/>
    <col min="7939" max="7939" width="1.07421875" style="2619" customWidth="1"/>
    <col min="7940" max="7940" width="10" style="2619" customWidth="1"/>
    <col min="7941" max="7941" width="1.07421875" style="2619" customWidth="1"/>
    <col min="7942" max="7942" width="9.07421875" style="2619" customWidth="1"/>
    <col min="7943" max="7943" width="1.07421875" style="2619" customWidth="1"/>
    <col min="7944" max="7944" width="11.07421875" style="2619" customWidth="1"/>
    <col min="7945" max="7945" width="1.07421875" style="2619" customWidth="1"/>
    <col min="7946" max="7946" width="9.07421875" style="2619" customWidth="1"/>
    <col min="7947" max="7947" width="1.84375" style="2619" customWidth="1"/>
    <col min="7948" max="7948" width="11" style="2619" customWidth="1"/>
    <col min="7949" max="7949" width="1.07421875" style="2619" customWidth="1"/>
    <col min="7950" max="7950" width="10.84375" style="2619" customWidth="1"/>
    <col min="7951" max="7951" width="1.07421875" style="2619" customWidth="1"/>
    <col min="7952" max="7952" width="10" style="2619" customWidth="1"/>
    <col min="7953" max="7953" width="1.07421875" style="2619" customWidth="1"/>
    <col min="7954" max="7954" width="9.07421875" style="2619" customWidth="1"/>
    <col min="7955" max="7955" width="1.07421875" style="2619" customWidth="1"/>
    <col min="7956" max="7956" width="7.84375" style="2619" customWidth="1"/>
    <col min="7957" max="7957" width="1.07421875" style="2619" customWidth="1"/>
    <col min="7958" max="7958" width="0.84375" style="2619" customWidth="1"/>
    <col min="7959" max="7959" width="9.07421875" style="2619" customWidth="1"/>
    <col min="7960" max="7960" width="1.07421875" style="2619" customWidth="1"/>
    <col min="7961" max="7961" width="0.84375" style="2619" customWidth="1"/>
    <col min="7962" max="7962" width="9.53515625" style="2619" bestFit="1" customWidth="1"/>
    <col min="7963" max="7964" width="0.84375" style="2619" customWidth="1"/>
    <col min="7965" max="7965" width="9.84375" style="2619" customWidth="1"/>
    <col min="7966" max="7966" width="1.07421875" style="2619" customWidth="1"/>
    <col min="7967" max="7967" width="8.53515625" style="2619" customWidth="1"/>
    <col min="7968" max="7968" width="14.53515625" style="2619" customWidth="1"/>
    <col min="7969" max="7969" width="10" style="2619" customWidth="1"/>
    <col min="7970" max="7970" width="7.84375" style="2619" bestFit="1" customWidth="1"/>
    <col min="7971" max="7971" width="9.84375" style="2619" customWidth="1"/>
    <col min="7972" max="8188" width="8.84375" style="2619"/>
    <col min="8189" max="8189" width="38.4609375" style="2619" customWidth="1"/>
    <col min="8190" max="8190" width="8.53515625" style="2619" customWidth="1"/>
    <col min="8191" max="8191" width="1.07421875" style="2619" customWidth="1"/>
    <col min="8192" max="8192" width="8.84375" style="2619" customWidth="1"/>
    <col min="8193" max="8193" width="1.07421875" style="2619" customWidth="1"/>
    <col min="8194" max="8194" width="9.07421875" style="2619" customWidth="1"/>
    <col min="8195" max="8195" width="1.07421875" style="2619" customWidth="1"/>
    <col min="8196" max="8196" width="10" style="2619" customWidth="1"/>
    <col min="8197" max="8197" width="1.07421875" style="2619" customWidth="1"/>
    <col min="8198" max="8198" width="9.07421875" style="2619" customWidth="1"/>
    <col min="8199" max="8199" width="1.07421875" style="2619" customWidth="1"/>
    <col min="8200" max="8200" width="11.07421875" style="2619" customWidth="1"/>
    <col min="8201" max="8201" width="1.07421875" style="2619" customWidth="1"/>
    <col min="8202" max="8202" width="9.07421875" style="2619" customWidth="1"/>
    <col min="8203" max="8203" width="1.84375" style="2619" customWidth="1"/>
    <col min="8204" max="8204" width="11" style="2619" customWidth="1"/>
    <col min="8205" max="8205" width="1.07421875" style="2619" customWidth="1"/>
    <col min="8206" max="8206" width="10.84375" style="2619" customWidth="1"/>
    <col min="8207" max="8207" width="1.07421875" style="2619" customWidth="1"/>
    <col min="8208" max="8208" width="10" style="2619" customWidth="1"/>
    <col min="8209" max="8209" width="1.07421875" style="2619" customWidth="1"/>
    <col min="8210" max="8210" width="9.07421875" style="2619" customWidth="1"/>
    <col min="8211" max="8211" width="1.07421875" style="2619" customWidth="1"/>
    <col min="8212" max="8212" width="7.84375" style="2619" customWidth="1"/>
    <col min="8213" max="8213" width="1.07421875" style="2619" customWidth="1"/>
    <col min="8214" max="8214" width="0.84375" style="2619" customWidth="1"/>
    <col min="8215" max="8215" width="9.07421875" style="2619" customWidth="1"/>
    <col min="8216" max="8216" width="1.07421875" style="2619" customWidth="1"/>
    <col min="8217" max="8217" width="0.84375" style="2619" customWidth="1"/>
    <col min="8218" max="8218" width="9.53515625" style="2619" bestFit="1" customWidth="1"/>
    <col min="8219" max="8220" width="0.84375" style="2619" customWidth="1"/>
    <col min="8221" max="8221" width="9.84375" style="2619" customWidth="1"/>
    <col min="8222" max="8222" width="1.07421875" style="2619" customWidth="1"/>
    <col min="8223" max="8223" width="8.53515625" style="2619" customWidth="1"/>
    <col min="8224" max="8224" width="14.53515625" style="2619" customWidth="1"/>
    <col min="8225" max="8225" width="10" style="2619" customWidth="1"/>
    <col min="8226" max="8226" width="7.84375" style="2619" bestFit="1" customWidth="1"/>
    <col min="8227" max="8227" width="9.84375" style="2619" customWidth="1"/>
    <col min="8228" max="8444" width="8.84375" style="2619"/>
    <col min="8445" max="8445" width="38.4609375" style="2619" customWidth="1"/>
    <col min="8446" max="8446" width="8.53515625" style="2619" customWidth="1"/>
    <col min="8447" max="8447" width="1.07421875" style="2619" customWidth="1"/>
    <col min="8448" max="8448" width="8.84375" style="2619" customWidth="1"/>
    <col min="8449" max="8449" width="1.07421875" style="2619" customWidth="1"/>
    <col min="8450" max="8450" width="9.07421875" style="2619" customWidth="1"/>
    <col min="8451" max="8451" width="1.07421875" style="2619" customWidth="1"/>
    <col min="8452" max="8452" width="10" style="2619" customWidth="1"/>
    <col min="8453" max="8453" width="1.07421875" style="2619" customWidth="1"/>
    <col min="8454" max="8454" width="9.07421875" style="2619" customWidth="1"/>
    <col min="8455" max="8455" width="1.07421875" style="2619" customWidth="1"/>
    <col min="8456" max="8456" width="11.07421875" style="2619" customWidth="1"/>
    <col min="8457" max="8457" width="1.07421875" style="2619" customWidth="1"/>
    <col min="8458" max="8458" width="9.07421875" style="2619" customWidth="1"/>
    <col min="8459" max="8459" width="1.84375" style="2619" customWidth="1"/>
    <col min="8460" max="8460" width="11" style="2619" customWidth="1"/>
    <col min="8461" max="8461" width="1.07421875" style="2619" customWidth="1"/>
    <col min="8462" max="8462" width="10.84375" style="2619" customWidth="1"/>
    <col min="8463" max="8463" width="1.07421875" style="2619" customWidth="1"/>
    <col min="8464" max="8464" width="10" style="2619" customWidth="1"/>
    <col min="8465" max="8465" width="1.07421875" style="2619" customWidth="1"/>
    <col min="8466" max="8466" width="9.07421875" style="2619" customWidth="1"/>
    <col min="8467" max="8467" width="1.07421875" style="2619" customWidth="1"/>
    <col min="8468" max="8468" width="7.84375" style="2619" customWidth="1"/>
    <col min="8469" max="8469" width="1.07421875" style="2619" customWidth="1"/>
    <col min="8470" max="8470" width="0.84375" style="2619" customWidth="1"/>
    <col min="8471" max="8471" width="9.07421875" style="2619" customWidth="1"/>
    <col min="8472" max="8472" width="1.07421875" style="2619" customWidth="1"/>
    <col min="8473" max="8473" width="0.84375" style="2619" customWidth="1"/>
    <col min="8474" max="8474" width="9.53515625" style="2619" bestFit="1" customWidth="1"/>
    <col min="8475" max="8476" width="0.84375" style="2619" customWidth="1"/>
    <col min="8477" max="8477" width="9.84375" style="2619" customWidth="1"/>
    <col min="8478" max="8478" width="1.07421875" style="2619" customWidth="1"/>
    <col min="8479" max="8479" width="8.53515625" style="2619" customWidth="1"/>
    <col min="8480" max="8480" width="14.53515625" style="2619" customWidth="1"/>
    <col min="8481" max="8481" width="10" style="2619" customWidth="1"/>
    <col min="8482" max="8482" width="7.84375" style="2619" bestFit="1" customWidth="1"/>
    <col min="8483" max="8483" width="9.84375" style="2619" customWidth="1"/>
    <col min="8484" max="8700" width="8.84375" style="2619"/>
    <col min="8701" max="8701" width="38.4609375" style="2619" customWidth="1"/>
    <col min="8702" max="8702" width="8.53515625" style="2619" customWidth="1"/>
    <col min="8703" max="8703" width="1.07421875" style="2619" customWidth="1"/>
    <col min="8704" max="8704" width="8.84375" style="2619" customWidth="1"/>
    <col min="8705" max="8705" width="1.07421875" style="2619" customWidth="1"/>
    <col min="8706" max="8706" width="9.07421875" style="2619" customWidth="1"/>
    <col min="8707" max="8707" width="1.07421875" style="2619" customWidth="1"/>
    <col min="8708" max="8708" width="10" style="2619" customWidth="1"/>
    <col min="8709" max="8709" width="1.07421875" style="2619" customWidth="1"/>
    <col min="8710" max="8710" width="9.07421875" style="2619" customWidth="1"/>
    <col min="8711" max="8711" width="1.07421875" style="2619" customWidth="1"/>
    <col min="8712" max="8712" width="11.07421875" style="2619" customWidth="1"/>
    <col min="8713" max="8713" width="1.07421875" style="2619" customWidth="1"/>
    <col min="8714" max="8714" width="9.07421875" style="2619" customWidth="1"/>
    <col min="8715" max="8715" width="1.84375" style="2619" customWidth="1"/>
    <col min="8716" max="8716" width="11" style="2619" customWidth="1"/>
    <col min="8717" max="8717" width="1.07421875" style="2619" customWidth="1"/>
    <col min="8718" max="8718" width="10.84375" style="2619" customWidth="1"/>
    <col min="8719" max="8719" width="1.07421875" style="2619" customWidth="1"/>
    <col min="8720" max="8720" width="10" style="2619" customWidth="1"/>
    <col min="8721" max="8721" width="1.07421875" style="2619" customWidth="1"/>
    <col min="8722" max="8722" width="9.07421875" style="2619" customWidth="1"/>
    <col min="8723" max="8723" width="1.07421875" style="2619" customWidth="1"/>
    <col min="8724" max="8724" width="7.84375" style="2619" customWidth="1"/>
    <col min="8725" max="8725" width="1.07421875" style="2619" customWidth="1"/>
    <col min="8726" max="8726" width="0.84375" style="2619" customWidth="1"/>
    <col min="8727" max="8727" width="9.07421875" style="2619" customWidth="1"/>
    <col min="8728" max="8728" width="1.07421875" style="2619" customWidth="1"/>
    <col min="8729" max="8729" width="0.84375" style="2619" customWidth="1"/>
    <col min="8730" max="8730" width="9.53515625" style="2619" bestFit="1" customWidth="1"/>
    <col min="8731" max="8732" width="0.84375" style="2619" customWidth="1"/>
    <col min="8733" max="8733" width="9.84375" style="2619" customWidth="1"/>
    <col min="8734" max="8734" width="1.07421875" style="2619" customWidth="1"/>
    <col min="8735" max="8735" width="8.53515625" style="2619" customWidth="1"/>
    <col min="8736" max="8736" width="14.53515625" style="2619" customWidth="1"/>
    <col min="8737" max="8737" width="10" style="2619" customWidth="1"/>
    <col min="8738" max="8738" width="7.84375" style="2619" bestFit="1" customWidth="1"/>
    <col min="8739" max="8739" width="9.84375" style="2619" customWidth="1"/>
    <col min="8740" max="8956" width="8.84375" style="2619"/>
    <col min="8957" max="8957" width="38.4609375" style="2619" customWidth="1"/>
    <col min="8958" max="8958" width="8.53515625" style="2619" customWidth="1"/>
    <col min="8959" max="8959" width="1.07421875" style="2619" customWidth="1"/>
    <col min="8960" max="8960" width="8.84375" style="2619" customWidth="1"/>
    <col min="8961" max="8961" width="1.07421875" style="2619" customWidth="1"/>
    <col min="8962" max="8962" width="9.07421875" style="2619" customWidth="1"/>
    <col min="8963" max="8963" width="1.07421875" style="2619" customWidth="1"/>
    <col min="8964" max="8964" width="10" style="2619" customWidth="1"/>
    <col min="8965" max="8965" width="1.07421875" style="2619" customWidth="1"/>
    <col min="8966" max="8966" width="9.07421875" style="2619" customWidth="1"/>
    <col min="8967" max="8967" width="1.07421875" style="2619" customWidth="1"/>
    <col min="8968" max="8968" width="11.07421875" style="2619" customWidth="1"/>
    <col min="8969" max="8969" width="1.07421875" style="2619" customWidth="1"/>
    <col min="8970" max="8970" width="9.07421875" style="2619" customWidth="1"/>
    <col min="8971" max="8971" width="1.84375" style="2619" customWidth="1"/>
    <col min="8972" max="8972" width="11" style="2619" customWidth="1"/>
    <col min="8973" max="8973" width="1.07421875" style="2619" customWidth="1"/>
    <col min="8974" max="8974" width="10.84375" style="2619" customWidth="1"/>
    <col min="8975" max="8975" width="1.07421875" style="2619" customWidth="1"/>
    <col min="8976" max="8976" width="10" style="2619" customWidth="1"/>
    <col min="8977" max="8977" width="1.07421875" style="2619" customWidth="1"/>
    <col min="8978" max="8978" width="9.07421875" style="2619" customWidth="1"/>
    <col min="8979" max="8979" width="1.07421875" style="2619" customWidth="1"/>
    <col min="8980" max="8980" width="7.84375" style="2619" customWidth="1"/>
    <col min="8981" max="8981" width="1.07421875" style="2619" customWidth="1"/>
    <col min="8982" max="8982" width="0.84375" style="2619" customWidth="1"/>
    <col min="8983" max="8983" width="9.07421875" style="2619" customWidth="1"/>
    <col min="8984" max="8984" width="1.07421875" style="2619" customWidth="1"/>
    <col min="8985" max="8985" width="0.84375" style="2619" customWidth="1"/>
    <col min="8986" max="8986" width="9.53515625" style="2619" bestFit="1" customWidth="1"/>
    <col min="8987" max="8988" width="0.84375" style="2619" customWidth="1"/>
    <col min="8989" max="8989" width="9.84375" style="2619" customWidth="1"/>
    <col min="8990" max="8990" width="1.07421875" style="2619" customWidth="1"/>
    <col min="8991" max="8991" width="8.53515625" style="2619" customWidth="1"/>
    <col min="8992" max="8992" width="14.53515625" style="2619" customWidth="1"/>
    <col min="8993" max="8993" width="10" style="2619" customWidth="1"/>
    <col min="8994" max="8994" width="7.84375" style="2619" bestFit="1" customWidth="1"/>
    <col min="8995" max="8995" width="9.84375" style="2619" customWidth="1"/>
    <col min="8996" max="9212" width="8.84375" style="2619"/>
    <col min="9213" max="9213" width="38.4609375" style="2619" customWidth="1"/>
    <col min="9214" max="9214" width="8.53515625" style="2619" customWidth="1"/>
    <col min="9215" max="9215" width="1.07421875" style="2619" customWidth="1"/>
    <col min="9216" max="9216" width="8.84375" style="2619" customWidth="1"/>
    <col min="9217" max="9217" width="1.07421875" style="2619" customWidth="1"/>
    <col min="9218" max="9218" width="9.07421875" style="2619" customWidth="1"/>
    <col min="9219" max="9219" width="1.07421875" style="2619" customWidth="1"/>
    <col min="9220" max="9220" width="10" style="2619" customWidth="1"/>
    <col min="9221" max="9221" width="1.07421875" style="2619" customWidth="1"/>
    <col min="9222" max="9222" width="9.07421875" style="2619" customWidth="1"/>
    <col min="9223" max="9223" width="1.07421875" style="2619" customWidth="1"/>
    <col min="9224" max="9224" width="11.07421875" style="2619" customWidth="1"/>
    <col min="9225" max="9225" width="1.07421875" style="2619" customWidth="1"/>
    <col min="9226" max="9226" width="9.07421875" style="2619" customWidth="1"/>
    <col min="9227" max="9227" width="1.84375" style="2619" customWidth="1"/>
    <col min="9228" max="9228" width="11" style="2619" customWidth="1"/>
    <col min="9229" max="9229" width="1.07421875" style="2619" customWidth="1"/>
    <col min="9230" max="9230" width="10.84375" style="2619" customWidth="1"/>
    <col min="9231" max="9231" width="1.07421875" style="2619" customWidth="1"/>
    <col min="9232" max="9232" width="10" style="2619" customWidth="1"/>
    <col min="9233" max="9233" width="1.07421875" style="2619" customWidth="1"/>
    <col min="9234" max="9234" width="9.07421875" style="2619" customWidth="1"/>
    <col min="9235" max="9235" width="1.07421875" style="2619" customWidth="1"/>
    <col min="9236" max="9236" width="7.84375" style="2619" customWidth="1"/>
    <col min="9237" max="9237" width="1.07421875" style="2619" customWidth="1"/>
    <col min="9238" max="9238" width="0.84375" style="2619" customWidth="1"/>
    <col min="9239" max="9239" width="9.07421875" style="2619" customWidth="1"/>
    <col min="9240" max="9240" width="1.07421875" style="2619" customWidth="1"/>
    <col min="9241" max="9241" width="0.84375" style="2619" customWidth="1"/>
    <col min="9242" max="9242" width="9.53515625" style="2619" bestFit="1" customWidth="1"/>
    <col min="9243" max="9244" width="0.84375" style="2619" customWidth="1"/>
    <col min="9245" max="9245" width="9.84375" style="2619" customWidth="1"/>
    <col min="9246" max="9246" width="1.07421875" style="2619" customWidth="1"/>
    <col min="9247" max="9247" width="8.53515625" style="2619" customWidth="1"/>
    <col min="9248" max="9248" width="14.53515625" style="2619" customWidth="1"/>
    <col min="9249" max="9249" width="10" style="2619" customWidth="1"/>
    <col min="9250" max="9250" width="7.84375" style="2619" bestFit="1" customWidth="1"/>
    <col min="9251" max="9251" width="9.84375" style="2619" customWidth="1"/>
    <col min="9252" max="9468" width="8.84375" style="2619"/>
    <col min="9469" max="9469" width="38.4609375" style="2619" customWidth="1"/>
    <col min="9470" max="9470" width="8.53515625" style="2619" customWidth="1"/>
    <col min="9471" max="9471" width="1.07421875" style="2619" customWidth="1"/>
    <col min="9472" max="9472" width="8.84375" style="2619" customWidth="1"/>
    <col min="9473" max="9473" width="1.07421875" style="2619" customWidth="1"/>
    <col min="9474" max="9474" width="9.07421875" style="2619" customWidth="1"/>
    <col min="9475" max="9475" width="1.07421875" style="2619" customWidth="1"/>
    <col min="9476" max="9476" width="10" style="2619" customWidth="1"/>
    <col min="9477" max="9477" width="1.07421875" style="2619" customWidth="1"/>
    <col min="9478" max="9478" width="9.07421875" style="2619" customWidth="1"/>
    <col min="9479" max="9479" width="1.07421875" style="2619" customWidth="1"/>
    <col min="9480" max="9480" width="11.07421875" style="2619" customWidth="1"/>
    <col min="9481" max="9481" width="1.07421875" style="2619" customWidth="1"/>
    <col min="9482" max="9482" width="9.07421875" style="2619" customWidth="1"/>
    <col min="9483" max="9483" width="1.84375" style="2619" customWidth="1"/>
    <col min="9484" max="9484" width="11" style="2619" customWidth="1"/>
    <col min="9485" max="9485" width="1.07421875" style="2619" customWidth="1"/>
    <col min="9486" max="9486" width="10.84375" style="2619" customWidth="1"/>
    <col min="9487" max="9487" width="1.07421875" style="2619" customWidth="1"/>
    <col min="9488" max="9488" width="10" style="2619" customWidth="1"/>
    <col min="9489" max="9489" width="1.07421875" style="2619" customWidth="1"/>
    <col min="9490" max="9490" width="9.07421875" style="2619" customWidth="1"/>
    <col min="9491" max="9491" width="1.07421875" style="2619" customWidth="1"/>
    <col min="9492" max="9492" width="7.84375" style="2619" customWidth="1"/>
    <col min="9493" max="9493" width="1.07421875" style="2619" customWidth="1"/>
    <col min="9494" max="9494" width="0.84375" style="2619" customWidth="1"/>
    <col min="9495" max="9495" width="9.07421875" style="2619" customWidth="1"/>
    <col min="9496" max="9496" width="1.07421875" style="2619" customWidth="1"/>
    <col min="9497" max="9497" width="0.84375" style="2619" customWidth="1"/>
    <col min="9498" max="9498" width="9.53515625" style="2619" bestFit="1" customWidth="1"/>
    <col min="9499" max="9500" width="0.84375" style="2619" customWidth="1"/>
    <col min="9501" max="9501" width="9.84375" style="2619" customWidth="1"/>
    <col min="9502" max="9502" width="1.07421875" style="2619" customWidth="1"/>
    <col min="9503" max="9503" width="8.53515625" style="2619" customWidth="1"/>
    <col min="9504" max="9504" width="14.53515625" style="2619" customWidth="1"/>
    <col min="9505" max="9505" width="10" style="2619" customWidth="1"/>
    <col min="9506" max="9506" width="7.84375" style="2619" bestFit="1" customWidth="1"/>
    <col min="9507" max="9507" width="9.84375" style="2619" customWidth="1"/>
    <col min="9508" max="9724" width="8.84375" style="2619"/>
    <col min="9725" max="9725" width="38.4609375" style="2619" customWidth="1"/>
    <col min="9726" max="9726" width="8.53515625" style="2619" customWidth="1"/>
    <col min="9727" max="9727" width="1.07421875" style="2619" customWidth="1"/>
    <col min="9728" max="9728" width="8.84375" style="2619" customWidth="1"/>
    <col min="9729" max="9729" width="1.07421875" style="2619" customWidth="1"/>
    <col min="9730" max="9730" width="9.07421875" style="2619" customWidth="1"/>
    <col min="9731" max="9731" width="1.07421875" style="2619" customWidth="1"/>
    <col min="9732" max="9732" width="10" style="2619" customWidth="1"/>
    <col min="9733" max="9733" width="1.07421875" style="2619" customWidth="1"/>
    <col min="9734" max="9734" width="9.07421875" style="2619" customWidth="1"/>
    <col min="9735" max="9735" width="1.07421875" style="2619" customWidth="1"/>
    <col min="9736" max="9736" width="11.07421875" style="2619" customWidth="1"/>
    <col min="9737" max="9737" width="1.07421875" style="2619" customWidth="1"/>
    <col min="9738" max="9738" width="9.07421875" style="2619" customWidth="1"/>
    <col min="9739" max="9739" width="1.84375" style="2619" customWidth="1"/>
    <col min="9740" max="9740" width="11" style="2619" customWidth="1"/>
    <col min="9741" max="9741" width="1.07421875" style="2619" customWidth="1"/>
    <col min="9742" max="9742" width="10.84375" style="2619" customWidth="1"/>
    <col min="9743" max="9743" width="1.07421875" style="2619" customWidth="1"/>
    <col min="9744" max="9744" width="10" style="2619" customWidth="1"/>
    <col min="9745" max="9745" width="1.07421875" style="2619" customWidth="1"/>
    <col min="9746" max="9746" width="9.07421875" style="2619" customWidth="1"/>
    <col min="9747" max="9747" width="1.07421875" style="2619" customWidth="1"/>
    <col min="9748" max="9748" width="7.84375" style="2619" customWidth="1"/>
    <col min="9749" max="9749" width="1.07421875" style="2619" customWidth="1"/>
    <col min="9750" max="9750" width="0.84375" style="2619" customWidth="1"/>
    <col min="9751" max="9751" width="9.07421875" style="2619" customWidth="1"/>
    <col min="9752" max="9752" width="1.07421875" style="2619" customWidth="1"/>
    <col min="9753" max="9753" width="0.84375" style="2619" customWidth="1"/>
    <col min="9754" max="9754" width="9.53515625" style="2619" bestFit="1" customWidth="1"/>
    <col min="9755" max="9756" width="0.84375" style="2619" customWidth="1"/>
    <col min="9757" max="9757" width="9.84375" style="2619" customWidth="1"/>
    <col min="9758" max="9758" width="1.07421875" style="2619" customWidth="1"/>
    <col min="9759" max="9759" width="8.53515625" style="2619" customWidth="1"/>
    <col min="9760" max="9760" width="14.53515625" style="2619" customWidth="1"/>
    <col min="9761" max="9761" width="10" style="2619" customWidth="1"/>
    <col min="9762" max="9762" width="7.84375" style="2619" bestFit="1" customWidth="1"/>
    <col min="9763" max="9763" width="9.84375" style="2619" customWidth="1"/>
    <col min="9764" max="9980" width="8.84375" style="2619"/>
    <col min="9981" max="9981" width="38.4609375" style="2619" customWidth="1"/>
    <col min="9982" max="9982" width="8.53515625" style="2619" customWidth="1"/>
    <col min="9983" max="9983" width="1.07421875" style="2619" customWidth="1"/>
    <col min="9984" max="9984" width="8.84375" style="2619" customWidth="1"/>
    <col min="9985" max="9985" width="1.07421875" style="2619" customWidth="1"/>
    <col min="9986" max="9986" width="9.07421875" style="2619" customWidth="1"/>
    <col min="9987" max="9987" width="1.07421875" style="2619" customWidth="1"/>
    <col min="9988" max="9988" width="10" style="2619" customWidth="1"/>
    <col min="9989" max="9989" width="1.07421875" style="2619" customWidth="1"/>
    <col min="9990" max="9990" width="9.07421875" style="2619" customWidth="1"/>
    <col min="9991" max="9991" width="1.07421875" style="2619" customWidth="1"/>
    <col min="9992" max="9992" width="11.07421875" style="2619" customWidth="1"/>
    <col min="9993" max="9993" width="1.07421875" style="2619" customWidth="1"/>
    <col min="9994" max="9994" width="9.07421875" style="2619" customWidth="1"/>
    <col min="9995" max="9995" width="1.84375" style="2619" customWidth="1"/>
    <col min="9996" max="9996" width="11" style="2619" customWidth="1"/>
    <col min="9997" max="9997" width="1.07421875" style="2619" customWidth="1"/>
    <col min="9998" max="9998" width="10.84375" style="2619" customWidth="1"/>
    <col min="9999" max="9999" width="1.07421875" style="2619" customWidth="1"/>
    <col min="10000" max="10000" width="10" style="2619" customWidth="1"/>
    <col min="10001" max="10001" width="1.07421875" style="2619" customWidth="1"/>
    <col min="10002" max="10002" width="9.07421875" style="2619" customWidth="1"/>
    <col min="10003" max="10003" width="1.07421875" style="2619" customWidth="1"/>
    <col min="10004" max="10004" width="7.84375" style="2619" customWidth="1"/>
    <col min="10005" max="10005" width="1.07421875" style="2619" customWidth="1"/>
    <col min="10006" max="10006" width="0.84375" style="2619" customWidth="1"/>
    <col min="10007" max="10007" width="9.07421875" style="2619" customWidth="1"/>
    <col min="10008" max="10008" width="1.07421875" style="2619" customWidth="1"/>
    <col min="10009" max="10009" width="0.84375" style="2619" customWidth="1"/>
    <col min="10010" max="10010" width="9.53515625" style="2619" bestFit="1" customWidth="1"/>
    <col min="10011" max="10012" width="0.84375" style="2619" customWidth="1"/>
    <col min="10013" max="10013" width="9.84375" style="2619" customWidth="1"/>
    <col min="10014" max="10014" width="1.07421875" style="2619" customWidth="1"/>
    <col min="10015" max="10015" width="8.53515625" style="2619" customWidth="1"/>
    <col min="10016" max="10016" width="14.53515625" style="2619" customWidth="1"/>
    <col min="10017" max="10017" width="10" style="2619" customWidth="1"/>
    <col min="10018" max="10018" width="7.84375" style="2619" bestFit="1" customWidth="1"/>
    <col min="10019" max="10019" width="9.84375" style="2619" customWidth="1"/>
    <col min="10020" max="10236" width="8.84375" style="2619"/>
    <col min="10237" max="10237" width="38.4609375" style="2619" customWidth="1"/>
    <col min="10238" max="10238" width="8.53515625" style="2619" customWidth="1"/>
    <col min="10239" max="10239" width="1.07421875" style="2619" customWidth="1"/>
    <col min="10240" max="10240" width="8.84375" style="2619" customWidth="1"/>
    <col min="10241" max="10241" width="1.07421875" style="2619" customWidth="1"/>
    <col min="10242" max="10242" width="9.07421875" style="2619" customWidth="1"/>
    <col min="10243" max="10243" width="1.07421875" style="2619" customWidth="1"/>
    <col min="10244" max="10244" width="10" style="2619" customWidth="1"/>
    <col min="10245" max="10245" width="1.07421875" style="2619" customWidth="1"/>
    <col min="10246" max="10246" width="9.07421875" style="2619" customWidth="1"/>
    <col min="10247" max="10247" width="1.07421875" style="2619" customWidth="1"/>
    <col min="10248" max="10248" width="11.07421875" style="2619" customWidth="1"/>
    <col min="10249" max="10249" width="1.07421875" style="2619" customWidth="1"/>
    <col min="10250" max="10250" width="9.07421875" style="2619" customWidth="1"/>
    <col min="10251" max="10251" width="1.84375" style="2619" customWidth="1"/>
    <col min="10252" max="10252" width="11" style="2619" customWidth="1"/>
    <col min="10253" max="10253" width="1.07421875" style="2619" customWidth="1"/>
    <col min="10254" max="10254" width="10.84375" style="2619" customWidth="1"/>
    <col min="10255" max="10255" width="1.07421875" style="2619" customWidth="1"/>
    <col min="10256" max="10256" width="10" style="2619" customWidth="1"/>
    <col min="10257" max="10257" width="1.07421875" style="2619" customWidth="1"/>
    <col min="10258" max="10258" width="9.07421875" style="2619" customWidth="1"/>
    <col min="10259" max="10259" width="1.07421875" style="2619" customWidth="1"/>
    <col min="10260" max="10260" width="7.84375" style="2619" customWidth="1"/>
    <col min="10261" max="10261" width="1.07421875" style="2619" customWidth="1"/>
    <col min="10262" max="10262" width="0.84375" style="2619" customWidth="1"/>
    <col min="10263" max="10263" width="9.07421875" style="2619" customWidth="1"/>
    <col min="10264" max="10264" width="1.07421875" style="2619" customWidth="1"/>
    <col min="10265" max="10265" width="0.84375" style="2619" customWidth="1"/>
    <col min="10266" max="10266" width="9.53515625" style="2619" bestFit="1" customWidth="1"/>
    <col min="10267" max="10268" width="0.84375" style="2619" customWidth="1"/>
    <col min="10269" max="10269" width="9.84375" style="2619" customWidth="1"/>
    <col min="10270" max="10270" width="1.07421875" style="2619" customWidth="1"/>
    <col min="10271" max="10271" width="8.53515625" style="2619" customWidth="1"/>
    <col min="10272" max="10272" width="14.53515625" style="2619" customWidth="1"/>
    <col min="10273" max="10273" width="10" style="2619" customWidth="1"/>
    <col min="10274" max="10274" width="7.84375" style="2619" bestFit="1" customWidth="1"/>
    <col min="10275" max="10275" width="9.84375" style="2619" customWidth="1"/>
    <col min="10276" max="10492" width="8.84375" style="2619"/>
    <col min="10493" max="10493" width="38.4609375" style="2619" customWidth="1"/>
    <col min="10494" max="10494" width="8.53515625" style="2619" customWidth="1"/>
    <col min="10495" max="10495" width="1.07421875" style="2619" customWidth="1"/>
    <col min="10496" max="10496" width="8.84375" style="2619" customWidth="1"/>
    <col min="10497" max="10497" width="1.07421875" style="2619" customWidth="1"/>
    <col min="10498" max="10498" width="9.07421875" style="2619" customWidth="1"/>
    <col min="10499" max="10499" width="1.07421875" style="2619" customWidth="1"/>
    <col min="10500" max="10500" width="10" style="2619" customWidth="1"/>
    <col min="10501" max="10501" width="1.07421875" style="2619" customWidth="1"/>
    <col min="10502" max="10502" width="9.07421875" style="2619" customWidth="1"/>
    <col min="10503" max="10503" width="1.07421875" style="2619" customWidth="1"/>
    <col min="10504" max="10504" width="11.07421875" style="2619" customWidth="1"/>
    <col min="10505" max="10505" width="1.07421875" style="2619" customWidth="1"/>
    <col min="10506" max="10506" width="9.07421875" style="2619" customWidth="1"/>
    <col min="10507" max="10507" width="1.84375" style="2619" customWidth="1"/>
    <col min="10508" max="10508" width="11" style="2619" customWidth="1"/>
    <col min="10509" max="10509" width="1.07421875" style="2619" customWidth="1"/>
    <col min="10510" max="10510" width="10.84375" style="2619" customWidth="1"/>
    <col min="10511" max="10511" width="1.07421875" style="2619" customWidth="1"/>
    <col min="10512" max="10512" width="10" style="2619" customWidth="1"/>
    <col min="10513" max="10513" width="1.07421875" style="2619" customWidth="1"/>
    <col min="10514" max="10514" width="9.07421875" style="2619" customWidth="1"/>
    <col min="10515" max="10515" width="1.07421875" style="2619" customWidth="1"/>
    <col min="10516" max="10516" width="7.84375" style="2619" customWidth="1"/>
    <col min="10517" max="10517" width="1.07421875" style="2619" customWidth="1"/>
    <col min="10518" max="10518" width="0.84375" style="2619" customWidth="1"/>
    <col min="10519" max="10519" width="9.07421875" style="2619" customWidth="1"/>
    <col min="10520" max="10520" width="1.07421875" style="2619" customWidth="1"/>
    <col min="10521" max="10521" width="0.84375" style="2619" customWidth="1"/>
    <col min="10522" max="10522" width="9.53515625" style="2619" bestFit="1" customWidth="1"/>
    <col min="10523" max="10524" width="0.84375" style="2619" customWidth="1"/>
    <col min="10525" max="10525" width="9.84375" style="2619" customWidth="1"/>
    <col min="10526" max="10526" width="1.07421875" style="2619" customWidth="1"/>
    <col min="10527" max="10527" width="8.53515625" style="2619" customWidth="1"/>
    <col min="10528" max="10528" width="14.53515625" style="2619" customWidth="1"/>
    <col min="10529" max="10529" width="10" style="2619" customWidth="1"/>
    <col min="10530" max="10530" width="7.84375" style="2619" bestFit="1" customWidth="1"/>
    <col min="10531" max="10531" width="9.84375" style="2619" customWidth="1"/>
    <col min="10532" max="10748" width="8.84375" style="2619"/>
    <col min="10749" max="10749" width="38.4609375" style="2619" customWidth="1"/>
    <col min="10750" max="10750" width="8.53515625" style="2619" customWidth="1"/>
    <col min="10751" max="10751" width="1.07421875" style="2619" customWidth="1"/>
    <col min="10752" max="10752" width="8.84375" style="2619" customWidth="1"/>
    <col min="10753" max="10753" width="1.07421875" style="2619" customWidth="1"/>
    <col min="10754" max="10754" width="9.07421875" style="2619" customWidth="1"/>
    <col min="10755" max="10755" width="1.07421875" style="2619" customWidth="1"/>
    <col min="10756" max="10756" width="10" style="2619" customWidth="1"/>
    <col min="10757" max="10757" width="1.07421875" style="2619" customWidth="1"/>
    <col min="10758" max="10758" width="9.07421875" style="2619" customWidth="1"/>
    <col min="10759" max="10759" width="1.07421875" style="2619" customWidth="1"/>
    <col min="10760" max="10760" width="11.07421875" style="2619" customWidth="1"/>
    <col min="10761" max="10761" width="1.07421875" style="2619" customWidth="1"/>
    <col min="10762" max="10762" width="9.07421875" style="2619" customWidth="1"/>
    <col min="10763" max="10763" width="1.84375" style="2619" customWidth="1"/>
    <col min="10764" max="10764" width="11" style="2619" customWidth="1"/>
    <col min="10765" max="10765" width="1.07421875" style="2619" customWidth="1"/>
    <col min="10766" max="10766" width="10.84375" style="2619" customWidth="1"/>
    <col min="10767" max="10767" width="1.07421875" style="2619" customWidth="1"/>
    <col min="10768" max="10768" width="10" style="2619" customWidth="1"/>
    <col min="10769" max="10769" width="1.07421875" style="2619" customWidth="1"/>
    <col min="10770" max="10770" width="9.07421875" style="2619" customWidth="1"/>
    <col min="10771" max="10771" width="1.07421875" style="2619" customWidth="1"/>
    <col min="10772" max="10772" width="7.84375" style="2619" customWidth="1"/>
    <col min="10773" max="10773" width="1.07421875" style="2619" customWidth="1"/>
    <col min="10774" max="10774" width="0.84375" style="2619" customWidth="1"/>
    <col min="10775" max="10775" width="9.07421875" style="2619" customWidth="1"/>
    <col min="10776" max="10776" width="1.07421875" style="2619" customWidth="1"/>
    <col min="10777" max="10777" width="0.84375" style="2619" customWidth="1"/>
    <col min="10778" max="10778" width="9.53515625" style="2619" bestFit="1" customWidth="1"/>
    <col min="10779" max="10780" width="0.84375" style="2619" customWidth="1"/>
    <col min="10781" max="10781" width="9.84375" style="2619" customWidth="1"/>
    <col min="10782" max="10782" width="1.07421875" style="2619" customWidth="1"/>
    <col min="10783" max="10783" width="8.53515625" style="2619" customWidth="1"/>
    <col min="10784" max="10784" width="14.53515625" style="2619" customWidth="1"/>
    <col min="10785" max="10785" width="10" style="2619" customWidth="1"/>
    <col min="10786" max="10786" width="7.84375" style="2619" bestFit="1" customWidth="1"/>
    <col min="10787" max="10787" width="9.84375" style="2619" customWidth="1"/>
    <col min="10788" max="11004" width="8.84375" style="2619"/>
    <col min="11005" max="11005" width="38.4609375" style="2619" customWidth="1"/>
    <col min="11006" max="11006" width="8.53515625" style="2619" customWidth="1"/>
    <col min="11007" max="11007" width="1.07421875" style="2619" customWidth="1"/>
    <col min="11008" max="11008" width="8.84375" style="2619" customWidth="1"/>
    <col min="11009" max="11009" width="1.07421875" style="2619" customWidth="1"/>
    <col min="11010" max="11010" width="9.07421875" style="2619" customWidth="1"/>
    <col min="11011" max="11011" width="1.07421875" style="2619" customWidth="1"/>
    <col min="11012" max="11012" width="10" style="2619" customWidth="1"/>
    <col min="11013" max="11013" width="1.07421875" style="2619" customWidth="1"/>
    <col min="11014" max="11014" width="9.07421875" style="2619" customWidth="1"/>
    <col min="11015" max="11015" width="1.07421875" style="2619" customWidth="1"/>
    <col min="11016" max="11016" width="11.07421875" style="2619" customWidth="1"/>
    <col min="11017" max="11017" width="1.07421875" style="2619" customWidth="1"/>
    <col min="11018" max="11018" width="9.07421875" style="2619" customWidth="1"/>
    <col min="11019" max="11019" width="1.84375" style="2619" customWidth="1"/>
    <col min="11020" max="11020" width="11" style="2619" customWidth="1"/>
    <col min="11021" max="11021" width="1.07421875" style="2619" customWidth="1"/>
    <col min="11022" max="11022" width="10.84375" style="2619" customWidth="1"/>
    <col min="11023" max="11023" width="1.07421875" style="2619" customWidth="1"/>
    <col min="11024" max="11024" width="10" style="2619" customWidth="1"/>
    <col min="11025" max="11025" width="1.07421875" style="2619" customWidth="1"/>
    <col min="11026" max="11026" width="9.07421875" style="2619" customWidth="1"/>
    <col min="11027" max="11027" width="1.07421875" style="2619" customWidth="1"/>
    <col min="11028" max="11028" width="7.84375" style="2619" customWidth="1"/>
    <col min="11029" max="11029" width="1.07421875" style="2619" customWidth="1"/>
    <col min="11030" max="11030" width="0.84375" style="2619" customWidth="1"/>
    <col min="11031" max="11031" width="9.07421875" style="2619" customWidth="1"/>
    <col min="11032" max="11032" width="1.07421875" style="2619" customWidth="1"/>
    <col min="11033" max="11033" width="0.84375" style="2619" customWidth="1"/>
    <col min="11034" max="11034" width="9.53515625" style="2619" bestFit="1" customWidth="1"/>
    <col min="11035" max="11036" width="0.84375" style="2619" customWidth="1"/>
    <col min="11037" max="11037" width="9.84375" style="2619" customWidth="1"/>
    <col min="11038" max="11038" width="1.07421875" style="2619" customWidth="1"/>
    <col min="11039" max="11039" width="8.53515625" style="2619" customWidth="1"/>
    <col min="11040" max="11040" width="14.53515625" style="2619" customWidth="1"/>
    <col min="11041" max="11041" width="10" style="2619" customWidth="1"/>
    <col min="11042" max="11042" width="7.84375" style="2619" bestFit="1" customWidth="1"/>
    <col min="11043" max="11043" width="9.84375" style="2619" customWidth="1"/>
    <col min="11044" max="11260" width="8.84375" style="2619"/>
    <col min="11261" max="11261" width="38.4609375" style="2619" customWidth="1"/>
    <col min="11262" max="11262" width="8.53515625" style="2619" customWidth="1"/>
    <col min="11263" max="11263" width="1.07421875" style="2619" customWidth="1"/>
    <col min="11264" max="11264" width="8.84375" style="2619" customWidth="1"/>
    <col min="11265" max="11265" width="1.07421875" style="2619" customWidth="1"/>
    <col min="11266" max="11266" width="9.07421875" style="2619" customWidth="1"/>
    <col min="11267" max="11267" width="1.07421875" style="2619" customWidth="1"/>
    <col min="11268" max="11268" width="10" style="2619" customWidth="1"/>
    <col min="11269" max="11269" width="1.07421875" style="2619" customWidth="1"/>
    <col min="11270" max="11270" width="9.07421875" style="2619" customWidth="1"/>
    <col min="11271" max="11271" width="1.07421875" style="2619" customWidth="1"/>
    <col min="11272" max="11272" width="11.07421875" style="2619" customWidth="1"/>
    <col min="11273" max="11273" width="1.07421875" style="2619" customWidth="1"/>
    <col min="11274" max="11274" width="9.07421875" style="2619" customWidth="1"/>
    <col min="11275" max="11275" width="1.84375" style="2619" customWidth="1"/>
    <col min="11276" max="11276" width="11" style="2619" customWidth="1"/>
    <col min="11277" max="11277" width="1.07421875" style="2619" customWidth="1"/>
    <col min="11278" max="11278" width="10.84375" style="2619" customWidth="1"/>
    <col min="11279" max="11279" width="1.07421875" style="2619" customWidth="1"/>
    <col min="11280" max="11280" width="10" style="2619" customWidth="1"/>
    <col min="11281" max="11281" width="1.07421875" style="2619" customWidth="1"/>
    <col min="11282" max="11282" width="9.07421875" style="2619" customWidth="1"/>
    <col min="11283" max="11283" width="1.07421875" style="2619" customWidth="1"/>
    <col min="11284" max="11284" width="7.84375" style="2619" customWidth="1"/>
    <col min="11285" max="11285" width="1.07421875" style="2619" customWidth="1"/>
    <col min="11286" max="11286" width="0.84375" style="2619" customWidth="1"/>
    <col min="11287" max="11287" width="9.07421875" style="2619" customWidth="1"/>
    <col min="11288" max="11288" width="1.07421875" style="2619" customWidth="1"/>
    <col min="11289" max="11289" width="0.84375" style="2619" customWidth="1"/>
    <col min="11290" max="11290" width="9.53515625" style="2619" bestFit="1" customWidth="1"/>
    <col min="11291" max="11292" width="0.84375" style="2619" customWidth="1"/>
    <col min="11293" max="11293" width="9.84375" style="2619" customWidth="1"/>
    <col min="11294" max="11294" width="1.07421875" style="2619" customWidth="1"/>
    <col min="11295" max="11295" width="8.53515625" style="2619" customWidth="1"/>
    <col min="11296" max="11296" width="14.53515625" style="2619" customWidth="1"/>
    <col min="11297" max="11297" width="10" style="2619" customWidth="1"/>
    <col min="11298" max="11298" width="7.84375" style="2619" bestFit="1" customWidth="1"/>
    <col min="11299" max="11299" width="9.84375" style="2619" customWidth="1"/>
    <col min="11300" max="11516" width="8.84375" style="2619"/>
    <col min="11517" max="11517" width="38.4609375" style="2619" customWidth="1"/>
    <col min="11518" max="11518" width="8.53515625" style="2619" customWidth="1"/>
    <col min="11519" max="11519" width="1.07421875" style="2619" customWidth="1"/>
    <col min="11520" max="11520" width="8.84375" style="2619" customWidth="1"/>
    <col min="11521" max="11521" width="1.07421875" style="2619" customWidth="1"/>
    <col min="11522" max="11522" width="9.07421875" style="2619" customWidth="1"/>
    <col min="11523" max="11523" width="1.07421875" style="2619" customWidth="1"/>
    <col min="11524" max="11524" width="10" style="2619" customWidth="1"/>
    <col min="11525" max="11525" width="1.07421875" style="2619" customWidth="1"/>
    <col min="11526" max="11526" width="9.07421875" style="2619" customWidth="1"/>
    <col min="11527" max="11527" width="1.07421875" style="2619" customWidth="1"/>
    <col min="11528" max="11528" width="11.07421875" style="2619" customWidth="1"/>
    <col min="11529" max="11529" width="1.07421875" style="2619" customWidth="1"/>
    <col min="11530" max="11530" width="9.07421875" style="2619" customWidth="1"/>
    <col min="11531" max="11531" width="1.84375" style="2619" customWidth="1"/>
    <col min="11532" max="11532" width="11" style="2619" customWidth="1"/>
    <col min="11533" max="11533" width="1.07421875" style="2619" customWidth="1"/>
    <col min="11534" max="11534" width="10.84375" style="2619" customWidth="1"/>
    <col min="11535" max="11535" width="1.07421875" style="2619" customWidth="1"/>
    <col min="11536" max="11536" width="10" style="2619" customWidth="1"/>
    <col min="11537" max="11537" width="1.07421875" style="2619" customWidth="1"/>
    <col min="11538" max="11538" width="9.07421875" style="2619" customWidth="1"/>
    <col min="11539" max="11539" width="1.07421875" style="2619" customWidth="1"/>
    <col min="11540" max="11540" width="7.84375" style="2619" customWidth="1"/>
    <col min="11541" max="11541" width="1.07421875" style="2619" customWidth="1"/>
    <col min="11542" max="11542" width="0.84375" style="2619" customWidth="1"/>
    <col min="11543" max="11543" width="9.07421875" style="2619" customWidth="1"/>
    <col min="11544" max="11544" width="1.07421875" style="2619" customWidth="1"/>
    <col min="11545" max="11545" width="0.84375" style="2619" customWidth="1"/>
    <col min="11546" max="11546" width="9.53515625" style="2619" bestFit="1" customWidth="1"/>
    <col min="11547" max="11548" width="0.84375" style="2619" customWidth="1"/>
    <col min="11549" max="11549" width="9.84375" style="2619" customWidth="1"/>
    <col min="11550" max="11550" width="1.07421875" style="2619" customWidth="1"/>
    <col min="11551" max="11551" width="8.53515625" style="2619" customWidth="1"/>
    <col min="11552" max="11552" width="14.53515625" style="2619" customWidth="1"/>
    <col min="11553" max="11553" width="10" style="2619" customWidth="1"/>
    <col min="11554" max="11554" width="7.84375" style="2619" bestFit="1" customWidth="1"/>
    <col min="11555" max="11555" width="9.84375" style="2619" customWidth="1"/>
    <col min="11556" max="11772" width="8.84375" style="2619"/>
    <col min="11773" max="11773" width="38.4609375" style="2619" customWidth="1"/>
    <col min="11774" max="11774" width="8.53515625" style="2619" customWidth="1"/>
    <col min="11775" max="11775" width="1.07421875" style="2619" customWidth="1"/>
    <col min="11776" max="11776" width="8.84375" style="2619" customWidth="1"/>
    <col min="11777" max="11777" width="1.07421875" style="2619" customWidth="1"/>
    <col min="11778" max="11778" width="9.07421875" style="2619" customWidth="1"/>
    <col min="11779" max="11779" width="1.07421875" style="2619" customWidth="1"/>
    <col min="11780" max="11780" width="10" style="2619" customWidth="1"/>
    <col min="11781" max="11781" width="1.07421875" style="2619" customWidth="1"/>
    <col min="11782" max="11782" width="9.07421875" style="2619" customWidth="1"/>
    <col min="11783" max="11783" width="1.07421875" style="2619" customWidth="1"/>
    <col min="11784" max="11784" width="11.07421875" style="2619" customWidth="1"/>
    <col min="11785" max="11785" width="1.07421875" style="2619" customWidth="1"/>
    <col min="11786" max="11786" width="9.07421875" style="2619" customWidth="1"/>
    <col min="11787" max="11787" width="1.84375" style="2619" customWidth="1"/>
    <col min="11788" max="11788" width="11" style="2619" customWidth="1"/>
    <col min="11789" max="11789" width="1.07421875" style="2619" customWidth="1"/>
    <col min="11790" max="11790" width="10.84375" style="2619" customWidth="1"/>
    <col min="11791" max="11791" width="1.07421875" style="2619" customWidth="1"/>
    <col min="11792" max="11792" width="10" style="2619" customWidth="1"/>
    <col min="11793" max="11793" width="1.07421875" style="2619" customWidth="1"/>
    <col min="11794" max="11794" width="9.07421875" style="2619" customWidth="1"/>
    <col min="11795" max="11795" width="1.07421875" style="2619" customWidth="1"/>
    <col min="11796" max="11796" width="7.84375" style="2619" customWidth="1"/>
    <col min="11797" max="11797" width="1.07421875" style="2619" customWidth="1"/>
    <col min="11798" max="11798" width="0.84375" style="2619" customWidth="1"/>
    <col min="11799" max="11799" width="9.07421875" style="2619" customWidth="1"/>
    <col min="11800" max="11800" width="1.07421875" style="2619" customWidth="1"/>
    <col min="11801" max="11801" width="0.84375" style="2619" customWidth="1"/>
    <col min="11802" max="11802" width="9.53515625" style="2619" bestFit="1" customWidth="1"/>
    <col min="11803" max="11804" width="0.84375" style="2619" customWidth="1"/>
    <col min="11805" max="11805" width="9.84375" style="2619" customWidth="1"/>
    <col min="11806" max="11806" width="1.07421875" style="2619" customWidth="1"/>
    <col min="11807" max="11807" width="8.53515625" style="2619" customWidth="1"/>
    <col min="11808" max="11808" width="14.53515625" style="2619" customWidth="1"/>
    <col min="11809" max="11809" width="10" style="2619" customWidth="1"/>
    <col min="11810" max="11810" width="7.84375" style="2619" bestFit="1" customWidth="1"/>
    <col min="11811" max="11811" width="9.84375" style="2619" customWidth="1"/>
    <col min="11812" max="12028" width="8.84375" style="2619"/>
    <col min="12029" max="12029" width="38.4609375" style="2619" customWidth="1"/>
    <col min="12030" max="12030" width="8.53515625" style="2619" customWidth="1"/>
    <col min="12031" max="12031" width="1.07421875" style="2619" customWidth="1"/>
    <col min="12032" max="12032" width="8.84375" style="2619" customWidth="1"/>
    <col min="12033" max="12033" width="1.07421875" style="2619" customWidth="1"/>
    <col min="12034" max="12034" width="9.07421875" style="2619" customWidth="1"/>
    <col min="12035" max="12035" width="1.07421875" style="2619" customWidth="1"/>
    <col min="12036" max="12036" width="10" style="2619" customWidth="1"/>
    <col min="12037" max="12037" width="1.07421875" style="2619" customWidth="1"/>
    <col min="12038" max="12038" width="9.07421875" style="2619" customWidth="1"/>
    <col min="12039" max="12039" width="1.07421875" style="2619" customWidth="1"/>
    <col min="12040" max="12040" width="11.07421875" style="2619" customWidth="1"/>
    <col min="12041" max="12041" width="1.07421875" style="2619" customWidth="1"/>
    <col min="12042" max="12042" width="9.07421875" style="2619" customWidth="1"/>
    <col min="12043" max="12043" width="1.84375" style="2619" customWidth="1"/>
    <col min="12044" max="12044" width="11" style="2619" customWidth="1"/>
    <col min="12045" max="12045" width="1.07421875" style="2619" customWidth="1"/>
    <col min="12046" max="12046" width="10.84375" style="2619" customWidth="1"/>
    <col min="12047" max="12047" width="1.07421875" style="2619" customWidth="1"/>
    <col min="12048" max="12048" width="10" style="2619" customWidth="1"/>
    <col min="12049" max="12049" width="1.07421875" style="2619" customWidth="1"/>
    <col min="12050" max="12050" width="9.07421875" style="2619" customWidth="1"/>
    <col min="12051" max="12051" width="1.07421875" style="2619" customWidth="1"/>
    <col min="12052" max="12052" width="7.84375" style="2619" customWidth="1"/>
    <col min="12053" max="12053" width="1.07421875" style="2619" customWidth="1"/>
    <col min="12054" max="12054" width="0.84375" style="2619" customWidth="1"/>
    <col min="12055" max="12055" width="9.07421875" style="2619" customWidth="1"/>
    <col min="12056" max="12056" width="1.07421875" style="2619" customWidth="1"/>
    <col min="12057" max="12057" width="0.84375" style="2619" customWidth="1"/>
    <col min="12058" max="12058" width="9.53515625" style="2619" bestFit="1" customWidth="1"/>
    <col min="12059" max="12060" width="0.84375" style="2619" customWidth="1"/>
    <col min="12061" max="12061" width="9.84375" style="2619" customWidth="1"/>
    <col min="12062" max="12062" width="1.07421875" style="2619" customWidth="1"/>
    <col min="12063" max="12063" width="8.53515625" style="2619" customWidth="1"/>
    <col min="12064" max="12064" width="14.53515625" style="2619" customWidth="1"/>
    <col min="12065" max="12065" width="10" style="2619" customWidth="1"/>
    <col min="12066" max="12066" width="7.84375" style="2619" bestFit="1" customWidth="1"/>
    <col min="12067" max="12067" width="9.84375" style="2619" customWidth="1"/>
    <col min="12068" max="12284" width="8.84375" style="2619"/>
    <col min="12285" max="12285" width="38.4609375" style="2619" customWidth="1"/>
    <col min="12286" max="12286" width="8.53515625" style="2619" customWidth="1"/>
    <col min="12287" max="12287" width="1.07421875" style="2619" customWidth="1"/>
    <col min="12288" max="12288" width="8.84375" style="2619" customWidth="1"/>
    <col min="12289" max="12289" width="1.07421875" style="2619" customWidth="1"/>
    <col min="12290" max="12290" width="9.07421875" style="2619" customWidth="1"/>
    <col min="12291" max="12291" width="1.07421875" style="2619" customWidth="1"/>
    <col min="12292" max="12292" width="10" style="2619" customWidth="1"/>
    <col min="12293" max="12293" width="1.07421875" style="2619" customWidth="1"/>
    <col min="12294" max="12294" width="9.07421875" style="2619" customWidth="1"/>
    <col min="12295" max="12295" width="1.07421875" style="2619" customWidth="1"/>
    <col min="12296" max="12296" width="11.07421875" style="2619" customWidth="1"/>
    <col min="12297" max="12297" width="1.07421875" style="2619" customWidth="1"/>
    <col min="12298" max="12298" width="9.07421875" style="2619" customWidth="1"/>
    <col min="12299" max="12299" width="1.84375" style="2619" customWidth="1"/>
    <col min="12300" max="12300" width="11" style="2619" customWidth="1"/>
    <col min="12301" max="12301" width="1.07421875" style="2619" customWidth="1"/>
    <col min="12302" max="12302" width="10.84375" style="2619" customWidth="1"/>
    <col min="12303" max="12303" width="1.07421875" style="2619" customWidth="1"/>
    <col min="12304" max="12304" width="10" style="2619" customWidth="1"/>
    <col min="12305" max="12305" width="1.07421875" style="2619" customWidth="1"/>
    <col min="12306" max="12306" width="9.07421875" style="2619" customWidth="1"/>
    <col min="12307" max="12307" width="1.07421875" style="2619" customWidth="1"/>
    <col min="12308" max="12308" width="7.84375" style="2619" customWidth="1"/>
    <col min="12309" max="12309" width="1.07421875" style="2619" customWidth="1"/>
    <col min="12310" max="12310" width="0.84375" style="2619" customWidth="1"/>
    <col min="12311" max="12311" width="9.07421875" style="2619" customWidth="1"/>
    <col min="12312" max="12312" width="1.07421875" style="2619" customWidth="1"/>
    <col min="12313" max="12313" width="0.84375" style="2619" customWidth="1"/>
    <col min="12314" max="12314" width="9.53515625" style="2619" bestFit="1" customWidth="1"/>
    <col min="12315" max="12316" width="0.84375" style="2619" customWidth="1"/>
    <col min="12317" max="12317" width="9.84375" style="2619" customWidth="1"/>
    <col min="12318" max="12318" width="1.07421875" style="2619" customWidth="1"/>
    <col min="12319" max="12319" width="8.53515625" style="2619" customWidth="1"/>
    <col min="12320" max="12320" width="14.53515625" style="2619" customWidth="1"/>
    <col min="12321" max="12321" width="10" style="2619" customWidth="1"/>
    <col min="12322" max="12322" width="7.84375" style="2619" bestFit="1" customWidth="1"/>
    <col min="12323" max="12323" width="9.84375" style="2619" customWidth="1"/>
    <col min="12324" max="12540" width="8.84375" style="2619"/>
    <col min="12541" max="12541" width="38.4609375" style="2619" customWidth="1"/>
    <col min="12542" max="12542" width="8.53515625" style="2619" customWidth="1"/>
    <col min="12543" max="12543" width="1.07421875" style="2619" customWidth="1"/>
    <col min="12544" max="12544" width="8.84375" style="2619" customWidth="1"/>
    <col min="12545" max="12545" width="1.07421875" style="2619" customWidth="1"/>
    <col min="12546" max="12546" width="9.07421875" style="2619" customWidth="1"/>
    <col min="12547" max="12547" width="1.07421875" style="2619" customWidth="1"/>
    <col min="12548" max="12548" width="10" style="2619" customWidth="1"/>
    <col min="12549" max="12549" width="1.07421875" style="2619" customWidth="1"/>
    <col min="12550" max="12550" width="9.07421875" style="2619" customWidth="1"/>
    <col min="12551" max="12551" width="1.07421875" style="2619" customWidth="1"/>
    <col min="12552" max="12552" width="11.07421875" style="2619" customWidth="1"/>
    <col min="12553" max="12553" width="1.07421875" style="2619" customWidth="1"/>
    <col min="12554" max="12554" width="9.07421875" style="2619" customWidth="1"/>
    <col min="12555" max="12555" width="1.84375" style="2619" customWidth="1"/>
    <col min="12556" max="12556" width="11" style="2619" customWidth="1"/>
    <col min="12557" max="12557" width="1.07421875" style="2619" customWidth="1"/>
    <col min="12558" max="12558" width="10.84375" style="2619" customWidth="1"/>
    <col min="12559" max="12559" width="1.07421875" style="2619" customWidth="1"/>
    <col min="12560" max="12560" width="10" style="2619" customWidth="1"/>
    <col min="12561" max="12561" width="1.07421875" style="2619" customWidth="1"/>
    <col min="12562" max="12562" width="9.07421875" style="2619" customWidth="1"/>
    <col min="12563" max="12563" width="1.07421875" style="2619" customWidth="1"/>
    <col min="12564" max="12564" width="7.84375" style="2619" customWidth="1"/>
    <col min="12565" max="12565" width="1.07421875" style="2619" customWidth="1"/>
    <col min="12566" max="12566" width="0.84375" style="2619" customWidth="1"/>
    <col min="12567" max="12567" width="9.07421875" style="2619" customWidth="1"/>
    <col min="12568" max="12568" width="1.07421875" style="2619" customWidth="1"/>
    <col min="12569" max="12569" width="0.84375" style="2619" customWidth="1"/>
    <col min="12570" max="12570" width="9.53515625" style="2619" bestFit="1" customWidth="1"/>
    <col min="12571" max="12572" width="0.84375" style="2619" customWidth="1"/>
    <col min="12573" max="12573" width="9.84375" style="2619" customWidth="1"/>
    <col min="12574" max="12574" width="1.07421875" style="2619" customWidth="1"/>
    <col min="12575" max="12575" width="8.53515625" style="2619" customWidth="1"/>
    <col min="12576" max="12576" width="14.53515625" style="2619" customWidth="1"/>
    <col min="12577" max="12577" width="10" style="2619" customWidth="1"/>
    <col min="12578" max="12578" width="7.84375" style="2619" bestFit="1" customWidth="1"/>
    <col min="12579" max="12579" width="9.84375" style="2619" customWidth="1"/>
    <col min="12580" max="12796" width="8.84375" style="2619"/>
    <col min="12797" max="12797" width="38.4609375" style="2619" customWidth="1"/>
    <col min="12798" max="12798" width="8.53515625" style="2619" customWidth="1"/>
    <col min="12799" max="12799" width="1.07421875" style="2619" customWidth="1"/>
    <col min="12800" max="12800" width="8.84375" style="2619" customWidth="1"/>
    <col min="12801" max="12801" width="1.07421875" style="2619" customWidth="1"/>
    <col min="12802" max="12802" width="9.07421875" style="2619" customWidth="1"/>
    <col min="12803" max="12803" width="1.07421875" style="2619" customWidth="1"/>
    <col min="12804" max="12804" width="10" style="2619" customWidth="1"/>
    <col min="12805" max="12805" width="1.07421875" style="2619" customWidth="1"/>
    <col min="12806" max="12806" width="9.07421875" style="2619" customWidth="1"/>
    <col min="12807" max="12807" width="1.07421875" style="2619" customWidth="1"/>
    <col min="12808" max="12808" width="11.07421875" style="2619" customWidth="1"/>
    <col min="12809" max="12809" width="1.07421875" style="2619" customWidth="1"/>
    <col min="12810" max="12810" width="9.07421875" style="2619" customWidth="1"/>
    <col min="12811" max="12811" width="1.84375" style="2619" customWidth="1"/>
    <col min="12812" max="12812" width="11" style="2619" customWidth="1"/>
    <col min="12813" max="12813" width="1.07421875" style="2619" customWidth="1"/>
    <col min="12814" max="12814" width="10.84375" style="2619" customWidth="1"/>
    <col min="12815" max="12815" width="1.07421875" style="2619" customWidth="1"/>
    <col min="12816" max="12816" width="10" style="2619" customWidth="1"/>
    <col min="12817" max="12817" width="1.07421875" style="2619" customWidth="1"/>
    <col min="12818" max="12818" width="9.07421875" style="2619" customWidth="1"/>
    <col min="12819" max="12819" width="1.07421875" style="2619" customWidth="1"/>
    <col min="12820" max="12820" width="7.84375" style="2619" customWidth="1"/>
    <col min="12821" max="12821" width="1.07421875" style="2619" customWidth="1"/>
    <col min="12822" max="12822" width="0.84375" style="2619" customWidth="1"/>
    <col min="12823" max="12823" width="9.07421875" style="2619" customWidth="1"/>
    <col min="12824" max="12824" width="1.07421875" style="2619" customWidth="1"/>
    <col min="12825" max="12825" width="0.84375" style="2619" customWidth="1"/>
    <col min="12826" max="12826" width="9.53515625" style="2619" bestFit="1" customWidth="1"/>
    <col min="12827" max="12828" width="0.84375" style="2619" customWidth="1"/>
    <col min="12829" max="12829" width="9.84375" style="2619" customWidth="1"/>
    <col min="12830" max="12830" width="1.07421875" style="2619" customWidth="1"/>
    <col min="12831" max="12831" width="8.53515625" style="2619" customWidth="1"/>
    <col min="12832" max="12832" width="14.53515625" style="2619" customWidth="1"/>
    <col min="12833" max="12833" width="10" style="2619" customWidth="1"/>
    <col min="12834" max="12834" width="7.84375" style="2619" bestFit="1" customWidth="1"/>
    <col min="12835" max="12835" width="9.84375" style="2619" customWidth="1"/>
    <col min="12836" max="13052" width="8.84375" style="2619"/>
    <col min="13053" max="13053" width="38.4609375" style="2619" customWidth="1"/>
    <col min="13054" max="13054" width="8.53515625" style="2619" customWidth="1"/>
    <col min="13055" max="13055" width="1.07421875" style="2619" customWidth="1"/>
    <col min="13056" max="13056" width="8.84375" style="2619" customWidth="1"/>
    <col min="13057" max="13057" width="1.07421875" style="2619" customWidth="1"/>
    <col min="13058" max="13058" width="9.07421875" style="2619" customWidth="1"/>
    <col min="13059" max="13059" width="1.07421875" style="2619" customWidth="1"/>
    <col min="13060" max="13060" width="10" style="2619" customWidth="1"/>
    <col min="13061" max="13061" width="1.07421875" style="2619" customWidth="1"/>
    <col min="13062" max="13062" width="9.07421875" style="2619" customWidth="1"/>
    <col min="13063" max="13063" width="1.07421875" style="2619" customWidth="1"/>
    <col min="13064" max="13064" width="11.07421875" style="2619" customWidth="1"/>
    <col min="13065" max="13065" width="1.07421875" style="2619" customWidth="1"/>
    <col min="13066" max="13066" width="9.07421875" style="2619" customWidth="1"/>
    <col min="13067" max="13067" width="1.84375" style="2619" customWidth="1"/>
    <col min="13068" max="13068" width="11" style="2619" customWidth="1"/>
    <col min="13069" max="13069" width="1.07421875" style="2619" customWidth="1"/>
    <col min="13070" max="13070" width="10.84375" style="2619" customWidth="1"/>
    <col min="13071" max="13071" width="1.07421875" style="2619" customWidth="1"/>
    <col min="13072" max="13072" width="10" style="2619" customWidth="1"/>
    <col min="13073" max="13073" width="1.07421875" style="2619" customWidth="1"/>
    <col min="13074" max="13074" width="9.07421875" style="2619" customWidth="1"/>
    <col min="13075" max="13075" width="1.07421875" style="2619" customWidth="1"/>
    <col min="13076" max="13076" width="7.84375" style="2619" customWidth="1"/>
    <col min="13077" max="13077" width="1.07421875" style="2619" customWidth="1"/>
    <col min="13078" max="13078" width="0.84375" style="2619" customWidth="1"/>
    <col min="13079" max="13079" width="9.07421875" style="2619" customWidth="1"/>
    <col min="13080" max="13080" width="1.07421875" style="2619" customWidth="1"/>
    <col min="13081" max="13081" width="0.84375" style="2619" customWidth="1"/>
    <col min="13082" max="13082" width="9.53515625" style="2619" bestFit="1" customWidth="1"/>
    <col min="13083" max="13084" width="0.84375" style="2619" customWidth="1"/>
    <col min="13085" max="13085" width="9.84375" style="2619" customWidth="1"/>
    <col min="13086" max="13086" width="1.07421875" style="2619" customWidth="1"/>
    <col min="13087" max="13087" width="8.53515625" style="2619" customWidth="1"/>
    <col min="13088" max="13088" width="14.53515625" style="2619" customWidth="1"/>
    <col min="13089" max="13089" width="10" style="2619" customWidth="1"/>
    <col min="13090" max="13090" width="7.84375" style="2619" bestFit="1" customWidth="1"/>
    <col min="13091" max="13091" width="9.84375" style="2619" customWidth="1"/>
    <col min="13092" max="13308" width="8.84375" style="2619"/>
    <col min="13309" max="13309" width="38.4609375" style="2619" customWidth="1"/>
    <col min="13310" max="13310" width="8.53515625" style="2619" customWidth="1"/>
    <col min="13311" max="13311" width="1.07421875" style="2619" customWidth="1"/>
    <col min="13312" max="13312" width="8.84375" style="2619" customWidth="1"/>
    <col min="13313" max="13313" width="1.07421875" style="2619" customWidth="1"/>
    <col min="13314" max="13314" width="9.07421875" style="2619" customWidth="1"/>
    <col min="13315" max="13315" width="1.07421875" style="2619" customWidth="1"/>
    <col min="13316" max="13316" width="10" style="2619" customWidth="1"/>
    <col min="13317" max="13317" width="1.07421875" style="2619" customWidth="1"/>
    <col min="13318" max="13318" width="9.07421875" style="2619" customWidth="1"/>
    <col min="13319" max="13319" width="1.07421875" style="2619" customWidth="1"/>
    <col min="13320" max="13320" width="11.07421875" style="2619" customWidth="1"/>
    <col min="13321" max="13321" width="1.07421875" style="2619" customWidth="1"/>
    <col min="13322" max="13322" width="9.07421875" style="2619" customWidth="1"/>
    <col min="13323" max="13323" width="1.84375" style="2619" customWidth="1"/>
    <col min="13324" max="13324" width="11" style="2619" customWidth="1"/>
    <col min="13325" max="13325" width="1.07421875" style="2619" customWidth="1"/>
    <col min="13326" max="13326" width="10.84375" style="2619" customWidth="1"/>
    <col min="13327" max="13327" width="1.07421875" style="2619" customWidth="1"/>
    <col min="13328" max="13328" width="10" style="2619" customWidth="1"/>
    <col min="13329" max="13329" width="1.07421875" style="2619" customWidth="1"/>
    <col min="13330" max="13330" width="9.07421875" style="2619" customWidth="1"/>
    <col min="13331" max="13331" width="1.07421875" style="2619" customWidth="1"/>
    <col min="13332" max="13332" width="7.84375" style="2619" customWidth="1"/>
    <col min="13333" max="13333" width="1.07421875" style="2619" customWidth="1"/>
    <col min="13334" max="13334" width="0.84375" style="2619" customWidth="1"/>
    <col min="13335" max="13335" width="9.07421875" style="2619" customWidth="1"/>
    <col min="13336" max="13336" width="1.07421875" style="2619" customWidth="1"/>
    <col min="13337" max="13337" width="0.84375" style="2619" customWidth="1"/>
    <col min="13338" max="13338" width="9.53515625" style="2619" bestFit="1" customWidth="1"/>
    <col min="13339" max="13340" width="0.84375" style="2619" customWidth="1"/>
    <col min="13341" max="13341" width="9.84375" style="2619" customWidth="1"/>
    <col min="13342" max="13342" width="1.07421875" style="2619" customWidth="1"/>
    <col min="13343" max="13343" width="8.53515625" style="2619" customWidth="1"/>
    <col min="13344" max="13344" width="14.53515625" style="2619" customWidth="1"/>
    <col min="13345" max="13345" width="10" style="2619" customWidth="1"/>
    <col min="13346" max="13346" width="7.84375" style="2619" bestFit="1" customWidth="1"/>
    <col min="13347" max="13347" width="9.84375" style="2619" customWidth="1"/>
    <col min="13348" max="13564" width="8.84375" style="2619"/>
    <col min="13565" max="13565" width="38.4609375" style="2619" customWidth="1"/>
    <col min="13566" max="13566" width="8.53515625" style="2619" customWidth="1"/>
    <col min="13567" max="13567" width="1.07421875" style="2619" customWidth="1"/>
    <col min="13568" max="13568" width="8.84375" style="2619" customWidth="1"/>
    <col min="13569" max="13569" width="1.07421875" style="2619" customWidth="1"/>
    <col min="13570" max="13570" width="9.07421875" style="2619" customWidth="1"/>
    <col min="13571" max="13571" width="1.07421875" style="2619" customWidth="1"/>
    <col min="13572" max="13572" width="10" style="2619" customWidth="1"/>
    <col min="13573" max="13573" width="1.07421875" style="2619" customWidth="1"/>
    <col min="13574" max="13574" width="9.07421875" style="2619" customWidth="1"/>
    <col min="13575" max="13575" width="1.07421875" style="2619" customWidth="1"/>
    <col min="13576" max="13576" width="11.07421875" style="2619" customWidth="1"/>
    <col min="13577" max="13577" width="1.07421875" style="2619" customWidth="1"/>
    <col min="13578" max="13578" width="9.07421875" style="2619" customWidth="1"/>
    <col min="13579" max="13579" width="1.84375" style="2619" customWidth="1"/>
    <col min="13580" max="13580" width="11" style="2619" customWidth="1"/>
    <col min="13581" max="13581" width="1.07421875" style="2619" customWidth="1"/>
    <col min="13582" max="13582" width="10.84375" style="2619" customWidth="1"/>
    <col min="13583" max="13583" width="1.07421875" style="2619" customWidth="1"/>
    <col min="13584" max="13584" width="10" style="2619" customWidth="1"/>
    <col min="13585" max="13585" width="1.07421875" style="2619" customWidth="1"/>
    <col min="13586" max="13586" width="9.07421875" style="2619" customWidth="1"/>
    <col min="13587" max="13587" width="1.07421875" style="2619" customWidth="1"/>
    <col min="13588" max="13588" width="7.84375" style="2619" customWidth="1"/>
    <col min="13589" max="13589" width="1.07421875" style="2619" customWidth="1"/>
    <col min="13590" max="13590" width="0.84375" style="2619" customWidth="1"/>
    <col min="13591" max="13591" width="9.07421875" style="2619" customWidth="1"/>
    <col min="13592" max="13592" width="1.07421875" style="2619" customWidth="1"/>
    <col min="13593" max="13593" width="0.84375" style="2619" customWidth="1"/>
    <col min="13594" max="13594" width="9.53515625" style="2619" bestFit="1" customWidth="1"/>
    <col min="13595" max="13596" width="0.84375" style="2619" customWidth="1"/>
    <col min="13597" max="13597" width="9.84375" style="2619" customWidth="1"/>
    <col min="13598" max="13598" width="1.07421875" style="2619" customWidth="1"/>
    <col min="13599" max="13599" width="8.53515625" style="2619" customWidth="1"/>
    <col min="13600" max="13600" width="14.53515625" style="2619" customWidth="1"/>
    <col min="13601" max="13601" width="10" style="2619" customWidth="1"/>
    <col min="13602" max="13602" width="7.84375" style="2619" bestFit="1" customWidth="1"/>
    <col min="13603" max="13603" width="9.84375" style="2619" customWidth="1"/>
    <col min="13604" max="13820" width="8.84375" style="2619"/>
    <col min="13821" max="13821" width="38.4609375" style="2619" customWidth="1"/>
    <col min="13822" max="13822" width="8.53515625" style="2619" customWidth="1"/>
    <col min="13823" max="13823" width="1.07421875" style="2619" customWidth="1"/>
    <col min="13824" max="13824" width="8.84375" style="2619" customWidth="1"/>
    <col min="13825" max="13825" width="1.07421875" style="2619" customWidth="1"/>
    <col min="13826" max="13826" width="9.07421875" style="2619" customWidth="1"/>
    <col min="13827" max="13827" width="1.07421875" style="2619" customWidth="1"/>
    <col min="13828" max="13828" width="10" style="2619" customWidth="1"/>
    <col min="13829" max="13829" width="1.07421875" style="2619" customWidth="1"/>
    <col min="13830" max="13830" width="9.07421875" style="2619" customWidth="1"/>
    <col min="13831" max="13831" width="1.07421875" style="2619" customWidth="1"/>
    <col min="13832" max="13832" width="11.07421875" style="2619" customWidth="1"/>
    <col min="13833" max="13833" width="1.07421875" style="2619" customWidth="1"/>
    <col min="13834" max="13834" width="9.07421875" style="2619" customWidth="1"/>
    <col min="13835" max="13835" width="1.84375" style="2619" customWidth="1"/>
    <col min="13836" max="13836" width="11" style="2619" customWidth="1"/>
    <col min="13837" max="13837" width="1.07421875" style="2619" customWidth="1"/>
    <col min="13838" max="13838" width="10.84375" style="2619" customWidth="1"/>
    <col min="13839" max="13839" width="1.07421875" style="2619" customWidth="1"/>
    <col min="13840" max="13840" width="10" style="2619" customWidth="1"/>
    <col min="13841" max="13841" width="1.07421875" style="2619" customWidth="1"/>
    <col min="13842" max="13842" width="9.07421875" style="2619" customWidth="1"/>
    <col min="13843" max="13843" width="1.07421875" style="2619" customWidth="1"/>
    <col min="13844" max="13844" width="7.84375" style="2619" customWidth="1"/>
    <col min="13845" max="13845" width="1.07421875" style="2619" customWidth="1"/>
    <col min="13846" max="13846" width="0.84375" style="2619" customWidth="1"/>
    <col min="13847" max="13847" width="9.07421875" style="2619" customWidth="1"/>
    <col min="13848" max="13848" width="1.07421875" style="2619" customWidth="1"/>
    <col min="13849" max="13849" width="0.84375" style="2619" customWidth="1"/>
    <col min="13850" max="13850" width="9.53515625" style="2619" bestFit="1" customWidth="1"/>
    <col min="13851" max="13852" width="0.84375" style="2619" customWidth="1"/>
    <col min="13853" max="13853" width="9.84375" style="2619" customWidth="1"/>
    <col min="13854" max="13854" width="1.07421875" style="2619" customWidth="1"/>
    <col min="13855" max="13855" width="8.53515625" style="2619" customWidth="1"/>
    <col min="13856" max="13856" width="14.53515625" style="2619" customWidth="1"/>
    <col min="13857" max="13857" width="10" style="2619" customWidth="1"/>
    <col min="13858" max="13858" width="7.84375" style="2619" bestFit="1" customWidth="1"/>
    <col min="13859" max="13859" width="9.84375" style="2619" customWidth="1"/>
    <col min="13860" max="14076" width="8.84375" style="2619"/>
    <col min="14077" max="14077" width="38.4609375" style="2619" customWidth="1"/>
    <col min="14078" max="14078" width="8.53515625" style="2619" customWidth="1"/>
    <col min="14079" max="14079" width="1.07421875" style="2619" customWidth="1"/>
    <col min="14080" max="14080" width="8.84375" style="2619" customWidth="1"/>
    <col min="14081" max="14081" width="1.07421875" style="2619" customWidth="1"/>
    <col min="14082" max="14082" width="9.07421875" style="2619" customWidth="1"/>
    <col min="14083" max="14083" width="1.07421875" style="2619" customWidth="1"/>
    <col min="14084" max="14084" width="10" style="2619" customWidth="1"/>
    <col min="14085" max="14085" width="1.07421875" style="2619" customWidth="1"/>
    <col min="14086" max="14086" width="9.07421875" style="2619" customWidth="1"/>
    <col min="14087" max="14087" width="1.07421875" style="2619" customWidth="1"/>
    <col min="14088" max="14088" width="11.07421875" style="2619" customWidth="1"/>
    <col min="14089" max="14089" width="1.07421875" style="2619" customWidth="1"/>
    <col min="14090" max="14090" width="9.07421875" style="2619" customWidth="1"/>
    <col min="14091" max="14091" width="1.84375" style="2619" customWidth="1"/>
    <col min="14092" max="14092" width="11" style="2619" customWidth="1"/>
    <col min="14093" max="14093" width="1.07421875" style="2619" customWidth="1"/>
    <col min="14094" max="14094" width="10.84375" style="2619" customWidth="1"/>
    <col min="14095" max="14095" width="1.07421875" style="2619" customWidth="1"/>
    <col min="14096" max="14096" width="10" style="2619" customWidth="1"/>
    <col min="14097" max="14097" width="1.07421875" style="2619" customWidth="1"/>
    <col min="14098" max="14098" width="9.07421875" style="2619" customWidth="1"/>
    <col min="14099" max="14099" width="1.07421875" style="2619" customWidth="1"/>
    <col min="14100" max="14100" width="7.84375" style="2619" customWidth="1"/>
    <col min="14101" max="14101" width="1.07421875" style="2619" customWidth="1"/>
    <col min="14102" max="14102" width="0.84375" style="2619" customWidth="1"/>
    <col min="14103" max="14103" width="9.07421875" style="2619" customWidth="1"/>
    <col min="14104" max="14104" width="1.07421875" style="2619" customWidth="1"/>
    <col min="14105" max="14105" width="0.84375" style="2619" customWidth="1"/>
    <col min="14106" max="14106" width="9.53515625" style="2619" bestFit="1" customWidth="1"/>
    <col min="14107" max="14108" width="0.84375" style="2619" customWidth="1"/>
    <col min="14109" max="14109" width="9.84375" style="2619" customWidth="1"/>
    <col min="14110" max="14110" width="1.07421875" style="2619" customWidth="1"/>
    <col min="14111" max="14111" width="8.53515625" style="2619" customWidth="1"/>
    <col min="14112" max="14112" width="14.53515625" style="2619" customWidth="1"/>
    <col min="14113" max="14113" width="10" style="2619" customWidth="1"/>
    <col min="14114" max="14114" width="7.84375" style="2619" bestFit="1" customWidth="1"/>
    <col min="14115" max="14115" width="9.84375" style="2619" customWidth="1"/>
    <col min="14116" max="14332" width="8.84375" style="2619"/>
    <col min="14333" max="14333" width="38.4609375" style="2619" customWidth="1"/>
    <col min="14334" max="14334" width="8.53515625" style="2619" customWidth="1"/>
    <col min="14335" max="14335" width="1.07421875" style="2619" customWidth="1"/>
    <col min="14336" max="14336" width="8.84375" style="2619" customWidth="1"/>
    <col min="14337" max="14337" width="1.07421875" style="2619" customWidth="1"/>
    <col min="14338" max="14338" width="9.07421875" style="2619" customWidth="1"/>
    <col min="14339" max="14339" width="1.07421875" style="2619" customWidth="1"/>
    <col min="14340" max="14340" width="10" style="2619" customWidth="1"/>
    <col min="14341" max="14341" width="1.07421875" style="2619" customWidth="1"/>
    <col min="14342" max="14342" width="9.07421875" style="2619" customWidth="1"/>
    <col min="14343" max="14343" width="1.07421875" style="2619" customWidth="1"/>
    <col min="14344" max="14344" width="11.07421875" style="2619" customWidth="1"/>
    <col min="14345" max="14345" width="1.07421875" style="2619" customWidth="1"/>
    <col min="14346" max="14346" width="9.07421875" style="2619" customWidth="1"/>
    <col min="14347" max="14347" width="1.84375" style="2619" customWidth="1"/>
    <col min="14348" max="14348" width="11" style="2619" customWidth="1"/>
    <col min="14349" max="14349" width="1.07421875" style="2619" customWidth="1"/>
    <col min="14350" max="14350" width="10.84375" style="2619" customWidth="1"/>
    <col min="14351" max="14351" width="1.07421875" style="2619" customWidth="1"/>
    <col min="14352" max="14352" width="10" style="2619" customWidth="1"/>
    <col min="14353" max="14353" width="1.07421875" style="2619" customWidth="1"/>
    <col min="14354" max="14354" width="9.07421875" style="2619" customWidth="1"/>
    <col min="14355" max="14355" width="1.07421875" style="2619" customWidth="1"/>
    <col min="14356" max="14356" width="7.84375" style="2619" customWidth="1"/>
    <col min="14357" max="14357" width="1.07421875" style="2619" customWidth="1"/>
    <col min="14358" max="14358" width="0.84375" style="2619" customWidth="1"/>
    <col min="14359" max="14359" width="9.07421875" style="2619" customWidth="1"/>
    <col min="14360" max="14360" width="1.07421875" style="2619" customWidth="1"/>
    <col min="14361" max="14361" width="0.84375" style="2619" customWidth="1"/>
    <col min="14362" max="14362" width="9.53515625" style="2619" bestFit="1" customWidth="1"/>
    <col min="14363" max="14364" width="0.84375" style="2619" customWidth="1"/>
    <col min="14365" max="14365" width="9.84375" style="2619" customWidth="1"/>
    <col min="14366" max="14366" width="1.07421875" style="2619" customWidth="1"/>
    <col min="14367" max="14367" width="8.53515625" style="2619" customWidth="1"/>
    <col min="14368" max="14368" width="14.53515625" style="2619" customWidth="1"/>
    <col min="14369" max="14369" width="10" style="2619" customWidth="1"/>
    <col min="14370" max="14370" width="7.84375" style="2619" bestFit="1" customWidth="1"/>
    <col min="14371" max="14371" width="9.84375" style="2619" customWidth="1"/>
    <col min="14372" max="14588" width="8.84375" style="2619"/>
    <col min="14589" max="14589" width="38.4609375" style="2619" customWidth="1"/>
    <col min="14590" max="14590" width="8.53515625" style="2619" customWidth="1"/>
    <col min="14591" max="14591" width="1.07421875" style="2619" customWidth="1"/>
    <col min="14592" max="14592" width="8.84375" style="2619" customWidth="1"/>
    <col min="14593" max="14593" width="1.07421875" style="2619" customWidth="1"/>
    <col min="14594" max="14594" width="9.07421875" style="2619" customWidth="1"/>
    <col min="14595" max="14595" width="1.07421875" style="2619" customWidth="1"/>
    <col min="14596" max="14596" width="10" style="2619" customWidth="1"/>
    <col min="14597" max="14597" width="1.07421875" style="2619" customWidth="1"/>
    <col min="14598" max="14598" width="9.07421875" style="2619" customWidth="1"/>
    <col min="14599" max="14599" width="1.07421875" style="2619" customWidth="1"/>
    <col min="14600" max="14600" width="11.07421875" style="2619" customWidth="1"/>
    <col min="14601" max="14601" width="1.07421875" style="2619" customWidth="1"/>
    <col min="14602" max="14602" width="9.07421875" style="2619" customWidth="1"/>
    <col min="14603" max="14603" width="1.84375" style="2619" customWidth="1"/>
    <col min="14604" max="14604" width="11" style="2619" customWidth="1"/>
    <col min="14605" max="14605" width="1.07421875" style="2619" customWidth="1"/>
    <col min="14606" max="14606" width="10.84375" style="2619" customWidth="1"/>
    <col min="14607" max="14607" width="1.07421875" style="2619" customWidth="1"/>
    <col min="14608" max="14608" width="10" style="2619" customWidth="1"/>
    <col min="14609" max="14609" width="1.07421875" style="2619" customWidth="1"/>
    <col min="14610" max="14610" width="9.07421875" style="2619" customWidth="1"/>
    <col min="14611" max="14611" width="1.07421875" style="2619" customWidth="1"/>
    <col min="14612" max="14612" width="7.84375" style="2619" customWidth="1"/>
    <col min="14613" max="14613" width="1.07421875" style="2619" customWidth="1"/>
    <col min="14614" max="14614" width="0.84375" style="2619" customWidth="1"/>
    <col min="14615" max="14615" width="9.07421875" style="2619" customWidth="1"/>
    <col min="14616" max="14616" width="1.07421875" style="2619" customWidth="1"/>
    <col min="14617" max="14617" width="0.84375" style="2619" customWidth="1"/>
    <col min="14618" max="14618" width="9.53515625" style="2619" bestFit="1" customWidth="1"/>
    <col min="14619" max="14620" width="0.84375" style="2619" customWidth="1"/>
    <col min="14621" max="14621" width="9.84375" style="2619" customWidth="1"/>
    <col min="14622" max="14622" width="1.07421875" style="2619" customWidth="1"/>
    <col min="14623" max="14623" width="8.53515625" style="2619" customWidth="1"/>
    <col min="14624" max="14624" width="14.53515625" style="2619" customWidth="1"/>
    <col min="14625" max="14625" width="10" style="2619" customWidth="1"/>
    <col min="14626" max="14626" width="7.84375" style="2619" bestFit="1" customWidth="1"/>
    <col min="14627" max="14627" width="9.84375" style="2619" customWidth="1"/>
    <col min="14628" max="14844" width="8.84375" style="2619"/>
    <col min="14845" max="14845" width="38.4609375" style="2619" customWidth="1"/>
    <col min="14846" max="14846" width="8.53515625" style="2619" customWidth="1"/>
    <col min="14847" max="14847" width="1.07421875" style="2619" customWidth="1"/>
    <col min="14848" max="14848" width="8.84375" style="2619" customWidth="1"/>
    <col min="14849" max="14849" width="1.07421875" style="2619" customWidth="1"/>
    <col min="14850" max="14850" width="9.07421875" style="2619" customWidth="1"/>
    <col min="14851" max="14851" width="1.07421875" style="2619" customWidth="1"/>
    <col min="14852" max="14852" width="10" style="2619" customWidth="1"/>
    <col min="14853" max="14853" width="1.07421875" style="2619" customWidth="1"/>
    <col min="14854" max="14854" width="9.07421875" style="2619" customWidth="1"/>
    <col min="14855" max="14855" width="1.07421875" style="2619" customWidth="1"/>
    <col min="14856" max="14856" width="11.07421875" style="2619" customWidth="1"/>
    <col min="14857" max="14857" width="1.07421875" style="2619" customWidth="1"/>
    <col min="14858" max="14858" width="9.07421875" style="2619" customWidth="1"/>
    <col min="14859" max="14859" width="1.84375" style="2619" customWidth="1"/>
    <col min="14860" max="14860" width="11" style="2619" customWidth="1"/>
    <col min="14861" max="14861" width="1.07421875" style="2619" customWidth="1"/>
    <col min="14862" max="14862" width="10.84375" style="2619" customWidth="1"/>
    <col min="14863" max="14863" width="1.07421875" style="2619" customWidth="1"/>
    <col min="14864" max="14864" width="10" style="2619" customWidth="1"/>
    <col min="14865" max="14865" width="1.07421875" style="2619" customWidth="1"/>
    <col min="14866" max="14866" width="9.07421875" style="2619" customWidth="1"/>
    <col min="14867" max="14867" width="1.07421875" style="2619" customWidth="1"/>
    <col min="14868" max="14868" width="7.84375" style="2619" customWidth="1"/>
    <col min="14869" max="14869" width="1.07421875" style="2619" customWidth="1"/>
    <col min="14870" max="14870" width="0.84375" style="2619" customWidth="1"/>
    <col min="14871" max="14871" width="9.07421875" style="2619" customWidth="1"/>
    <col min="14872" max="14872" width="1.07421875" style="2619" customWidth="1"/>
    <col min="14873" max="14873" width="0.84375" style="2619" customWidth="1"/>
    <col min="14874" max="14874" width="9.53515625" style="2619" bestFit="1" customWidth="1"/>
    <col min="14875" max="14876" width="0.84375" style="2619" customWidth="1"/>
    <col min="14877" max="14877" width="9.84375" style="2619" customWidth="1"/>
    <col min="14878" max="14878" width="1.07421875" style="2619" customWidth="1"/>
    <col min="14879" max="14879" width="8.53515625" style="2619" customWidth="1"/>
    <col min="14880" max="14880" width="14.53515625" style="2619" customWidth="1"/>
    <col min="14881" max="14881" width="10" style="2619" customWidth="1"/>
    <col min="14882" max="14882" width="7.84375" style="2619" bestFit="1" customWidth="1"/>
    <col min="14883" max="14883" width="9.84375" style="2619" customWidth="1"/>
    <col min="14884" max="15100" width="8.84375" style="2619"/>
    <col min="15101" max="15101" width="38.4609375" style="2619" customWidth="1"/>
    <col min="15102" max="15102" width="8.53515625" style="2619" customWidth="1"/>
    <col min="15103" max="15103" width="1.07421875" style="2619" customWidth="1"/>
    <col min="15104" max="15104" width="8.84375" style="2619" customWidth="1"/>
    <col min="15105" max="15105" width="1.07421875" style="2619" customWidth="1"/>
    <col min="15106" max="15106" width="9.07421875" style="2619" customWidth="1"/>
    <col min="15107" max="15107" width="1.07421875" style="2619" customWidth="1"/>
    <col min="15108" max="15108" width="10" style="2619" customWidth="1"/>
    <col min="15109" max="15109" width="1.07421875" style="2619" customWidth="1"/>
    <col min="15110" max="15110" width="9.07421875" style="2619" customWidth="1"/>
    <col min="15111" max="15111" width="1.07421875" style="2619" customWidth="1"/>
    <col min="15112" max="15112" width="11.07421875" style="2619" customWidth="1"/>
    <col min="15113" max="15113" width="1.07421875" style="2619" customWidth="1"/>
    <col min="15114" max="15114" width="9.07421875" style="2619" customWidth="1"/>
    <col min="15115" max="15115" width="1.84375" style="2619" customWidth="1"/>
    <col min="15116" max="15116" width="11" style="2619" customWidth="1"/>
    <col min="15117" max="15117" width="1.07421875" style="2619" customWidth="1"/>
    <col min="15118" max="15118" width="10.84375" style="2619" customWidth="1"/>
    <col min="15119" max="15119" width="1.07421875" style="2619" customWidth="1"/>
    <col min="15120" max="15120" width="10" style="2619" customWidth="1"/>
    <col min="15121" max="15121" width="1.07421875" style="2619" customWidth="1"/>
    <col min="15122" max="15122" width="9.07421875" style="2619" customWidth="1"/>
    <col min="15123" max="15123" width="1.07421875" style="2619" customWidth="1"/>
    <col min="15124" max="15124" width="7.84375" style="2619" customWidth="1"/>
    <col min="15125" max="15125" width="1.07421875" style="2619" customWidth="1"/>
    <col min="15126" max="15126" width="0.84375" style="2619" customWidth="1"/>
    <col min="15127" max="15127" width="9.07421875" style="2619" customWidth="1"/>
    <col min="15128" max="15128" width="1.07421875" style="2619" customWidth="1"/>
    <col min="15129" max="15129" width="0.84375" style="2619" customWidth="1"/>
    <col min="15130" max="15130" width="9.53515625" style="2619" bestFit="1" customWidth="1"/>
    <col min="15131" max="15132" width="0.84375" style="2619" customWidth="1"/>
    <col min="15133" max="15133" width="9.84375" style="2619" customWidth="1"/>
    <col min="15134" max="15134" width="1.07421875" style="2619" customWidth="1"/>
    <col min="15135" max="15135" width="8.53515625" style="2619" customWidth="1"/>
    <col min="15136" max="15136" width="14.53515625" style="2619" customWidth="1"/>
    <col min="15137" max="15137" width="10" style="2619" customWidth="1"/>
    <col min="15138" max="15138" width="7.84375" style="2619" bestFit="1" customWidth="1"/>
    <col min="15139" max="15139" width="9.84375" style="2619" customWidth="1"/>
    <col min="15140" max="15356" width="8.84375" style="2619"/>
    <col min="15357" max="15357" width="38.4609375" style="2619" customWidth="1"/>
    <col min="15358" max="15358" width="8.53515625" style="2619" customWidth="1"/>
    <col min="15359" max="15359" width="1.07421875" style="2619" customWidth="1"/>
    <col min="15360" max="15360" width="8.84375" style="2619" customWidth="1"/>
    <col min="15361" max="15361" width="1.07421875" style="2619" customWidth="1"/>
    <col min="15362" max="15362" width="9.07421875" style="2619" customWidth="1"/>
    <col min="15363" max="15363" width="1.07421875" style="2619" customWidth="1"/>
    <col min="15364" max="15364" width="10" style="2619" customWidth="1"/>
    <col min="15365" max="15365" width="1.07421875" style="2619" customWidth="1"/>
    <col min="15366" max="15366" width="9.07421875" style="2619" customWidth="1"/>
    <col min="15367" max="15367" width="1.07421875" style="2619" customWidth="1"/>
    <col min="15368" max="15368" width="11.07421875" style="2619" customWidth="1"/>
    <col min="15369" max="15369" width="1.07421875" style="2619" customWidth="1"/>
    <col min="15370" max="15370" width="9.07421875" style="2619" customWidth="1"/>
    <col min="15371" max="15371" width="1.84375" style="2619" customWidth="1"/>
    <col min="15372" max="15372" width="11" style="2619" customWidth="1"/>
    <col min="15373" max="15373" width="1.07421875" style="2619" customWidth="1"/>
    <col min="15374" max="15374" width="10.84375" style="2619" customWidth="1"/>
    <col min="15375" max="15375" width="1.07421875" style="2619" customWidth="1"/>
    <col min="15376" max="15376" width="10" style="2619" customWidth="1"/>
    <col min="15377" max="15377" width="1.07421875" style="2619" customWidth="1"/>
    <col min="15378" max="15378" width="9.07421875" style="2619" customWidth="1"/>
    <col min="15379" max="15379" width="1.07421875" style="2619" customWidth="1"/>
    <col min="15380" max="15380" width="7.84375" style="2619" customWidth="1"/>
    <col min="15381" max="15381" width="1.07421875" style="2619" customWidth="1"/>
    <col min="15382" max="15382" width="0.84375" style="2619" customWidth="1"/>
    <col min="15383" max="15383" width="9.07421875" style="2619" customWidth="1"/>
    <col min="15384" max="15384" width="1.07421875" style="2619" customWidth="1"/>
    <col min="15385" max="15385" width="0.84375" style="2619" customWidth="1"/>
    <col min="15386" max="15386" width="9.53515625" style="2619" bestFit="1" customWidth="1"/>
    <col min="15387" max="15388" width="0.84375" style="2619" customWidth="1"/>
    <col min="15389" max="15389" width="9.84375" style="2619" customWidth="1"/>
    <col min="15390" max="15390" width="1.07421875" style="2619" customWidth="1"/>
    <col min="15391" max="15391" width="8.53515625" style="2619" customWidth="1"/>
    <col min="15392" max="15392" width="14.53515625" style="2619" customWidth="1"/>
    <col min="15393" max="15393" width="10" style="2619" customWidth="1"/>
    <col min="15394" max="15394" width="7.84375" style="2619" bestFit="1" customWidth="1"/>
    <col min="15395" max="15395" width="9.84375" style="2619" customWidth="1"/>
    <col min="15396" max="15612" width="8.84375" style="2619"/>
    <col min="15613" max="15613" width="38.4609375" style="2619" customWidth="1"/>
    <col min="15614" max="15614" width="8.53515625" style="2619" customWidth="1"/>
    <col min="15615" max="15615" width="1.07421875" style="2619" customWidth="1"/>
    <col min="15616" max="15616" width="8.84375" style="2619" customWidth="1"/>
    <col min="15617" max="15617" width="1.07421875" style="2619" customWidth="1"/>
    <col min="15618" max="15618" width="9.07421875" style="2619" customWidth="1"/>
    <col min="15619" max="15619" width="1.07421875" style="2619" customWidth="1"/>
    <col min="15620" max="15620" width="10" style="2619" customWidth="1"/>
    <col min="15621" max="15621" width="1.07421875" style="2619" customWidth="1"/>
    <col min="15622" max="15622" width="9.07421875" style="2619" customWidth="1"/>
    <col min="15623" max="15623" width="1.07421875" style="2619" customWidth="1"/>
    <col min="15624" max="15624" width="11.07421875" style="2619" customWidth="1"/>
    <col min="15625" max="15625" width="1.07421875" style="2619" customWidth="1"/>
    <col min="15626" max="15626" width="9.07421875" style="2619" customWidth="1"/>
    <col min="15627" max="15627" width="1.84375" style="2619" customWidth="1"/>
    <col min="15628" max="15628" width="11" style="2619" customWidth="1"/>
    <col min="15629" max="15629" width="1.07421875" style="2619" customWidth="1"/>
    <col min="15630" max="15630" width="10.84375" style="2619" customWidth="1"/>
    <col min="15631" max="15631" width="1.07421875" style="2619" customWidth="1"/>
    <col min="15632" max="15632" width="10" style="2619" customWidth="1"/>
    <col min="15633" max="15633" width="1.07421875" style="2619" customWidth="1"/>
    <col min="15634" max="15634" width="9.07421875" style="2619" customWidth="1"/>
    <col min="15635" max="15635" width="1.07421875" style="2619" customWidth="1"/>
    <col min="15636" max="15636" width="7.84375" style="2619" customWidth="1"/>
    <col min="15637" max="15637" width="1.07421875" style="2619" customWidth="1"/>
    <col min="15638" max="15638" width="0.84375" style="2619" customWidth="1"/>
    <col min="15639" max="15639" width="9.07421875" style="2619" customWidth="1"/>
    <col min="15640" max="15640" width="1.07421875" style="2619" customWidth="1"/>
    <col min="15641" max="15641" width="0.84375" style="2619" customWidth="1"/>
    <col min="15642" max="15642" width="9.53515625" style="2619" bestFit="1" customWidth="1"/>
    <col min="15643" max="15644" width="0.84375" style="2619" customWidth="1"/>
    <col min="15645" max="15645" width="9.84375" style="2619" customWidth="1"/>
    <col min="15646" max="15646" width="1.07421875" style="2619" customWidth="1"/>
    <col min="15647" max="15647" width="8.53515625" style="2619" customWidth="1"/>
    <col min="15648" max="15648" width="14.53515625" style="2619" customWidth="1"/>
    <col min="15649" max="15649" width="10" style="2619" customWidth="1"/>
    <col min="15650" max="15650" width="7.84375" style="2619" bestFit="1" customWidth="1"/>
    <col min="15651" max="15651" width="9.84375" style="2619" customWidth="1"/>
    <col min="15652" max="15868" width="8.84375" style="2619"/>
    <col min="15869" max="15869" width="38.4609375" style="2619" customWidth="1"/>
    <col min="15870" max="15870" width="8.53515625" style="2619" customWidth="1"/>
    <col min="15871" max="15871" width="1.07421875" style="2619" customWidth="1"/>
    <col min="15872" max="15872" width="8.84375" style="2619" customWidth="1"/>
    <col min="15873" max="15873" width="1.07421875" style="2619" customWidth="1"/>
    <col min="15874" max="15874" width="9.07421875" style="2619" customWidth="1"/>
    <col min="15875" max="15875" width="1.07421875" style="2619" customWidth="1"/>
    <col min="15876" max="15876" width="10" style="2619" customWidth="1"/>
    <col min="15877" max="15877" width="1.07421875" style="2619" customWidth="1"/>
    <col min="15878" max="15878" width="9.07421875" style="2619" customWidth="1"/>
    <col min="15879" max="15879" width="1.07421875" style="2619" customWidth="1"/>
    <col min="15880" max="15880" width="11.07421875" style="2619" customWidth="1"/>
    <col min="15881" max="15881" width="1.07421875" style="2619" customWidth="1"/>
    <col min="15882" max="15882" width="9.07421875" style="2619" customWidth="1"/>
    <col min="15883" max="15883" width="1.84375" style="2619" customWidth="1"/>
    <col min="15884" max="15884" width="11" style="2619" customWidth="1"/>
    <col min="15885" max="15885" width="1.07421875" style="2619" customWidth="1"/>
    <col min="15886" max="15886" width="10.84375" style="2619" customWidth="1"/>
    <col min="15887" max="15887" width="1.07421875" style="2619" customWidth="1"/>
    <col min="15888" max="15888" width="10" style="2619" customWidth="1"/>
    <col min="15889" max="15889" width="1.07421875" style="2619" customWidth="1"/>
    <col min="15890" max="15890" width="9.07421875" style="2619" customWidth="1"/>
    <col min="15891" max="15891" width="1.07421875" style="2619" customWidth="1"/>
    <col min="15892" max="15892" width="7.84375" style="2619" customWidth="1"/>
    <col min="15893" max="15893" width="1.07421875" style="2619" customWidth="1"/>
    <col min="15894" max="15894" width="0.84375" style="2619" customWidth="1"/>
    <col min="15895" max="15895" width="9.07421875" style="2619" customWidth="1"/>
    <col min="15896" max="15896" width="1.07421875" style="2619" customWidth="1"/>
    <col min="15897" max="15897" width="0.84375" style="2619" customWidth="1"/>
    <col min="15898" max="15898" width="9.53515625" style="2619" bestFit="1" customWidth="1"/>
    <col min="15899" max="15900" width="0.84375" style="2619" customWidth="1"/>
    <col min="15901" max="15901" width="9.84375" style="2619" customWidth="1"/>
    <col min="15902" max="15902" width="1.07421875" style="2619" customWidth="1"/>
    <col min="15903" max="15903" width="8.53515625" style="2619" customWidth="1"/>
    <col min="15904" max="15904" width="14.53515625" style="2619" customWidth="1"/>
    <col min="15905" max="15905" width="10" style="2619" customWidth="1"/>
    <col min="15906" max="15906" width="7.84375" style="2619" bestFit="1" customWidth="1"/>
    <col min="15907" max="15907" width="9.84375" style="2619" customWidth="1"/>
    <col min="15908" max="16124" width="8.84375" style="2619"/>
    <col min="16125" max="16125" width="38.4609375" style="2619" customWidth="1"/>
    <col min="16126" max="16126" width="8.53515625" style="2619" customWidth="1"/>
    <col min="16127" max="16127" width="1.07421875" style="2619" customWidth="1"/>
    <col min="16128" max="16128" width="8.84375" style="2619" customWidth="1"/>
    <col min="16129" max="16129" width="1.07421875" style="2619" customWidth="1"/>
    <col min="16130" max="16130" width="9.07421875" style="2619" customWidth="1"/>
    <col min="16131" max="16131" width="1.07421875" style="2619" customWidth="1"/>
    <col min="16132" max="16132" width="10" style="2619" customWidth="1"/>
    <col min="16133" max="16133" width="1.07421875" style="2619" customWidth="1"/>
    <col min="16134" max="16134" width="9.07421875" style="2619" customWidth="1"/>
    <col min="16135" max="16135" width="1.07421875" style="2619" customWidth="1"/>
    <col min="16136" max="16136" width="11.07421875" style="2619" customWidth="1"/>
    <col min="16137" max="16137" width="1.07421875" style="2619" customWidth="1"/>
    <col min="16138" max="16138" width="9.07421875" style="2619" customWidth="1"/>
    <col min="16139" max="16139" width="1.84375" style="2619" customWidth="1"/>
    <col min="16140" max="16140" width="11" style="2619" customWidth="1"/>
    <col min="16141" max="16141" width="1.07421875" style="2619" customWidth="1"/>
    <col min="16142" max="16142" width="10.84375" style="2619" customWidth="1"/>
    <col min="16143" max="16143" width="1.07421875" style="2619" customWidth="1"/>
    <col min="16144" max="16144" width="10" style="2619" customWidth="1"/>
    <col min="16145" max="16145" width="1.07421875" style="2619" customWidth="1"/>
    <col min="16146" max="16146" width="9.07421875" style="2619" customWidth="1"/>
    <col min="16147" max="16147" width="1.07421875" style="2619" customWidth="1"/>
    <col min="16148" max="16148" width="7.84375" style="2619" customWidth="1"/>
    <col min="16149" max="16149" width="1.07421875" style="2619" customWidth="1"/>
    <col min="16150" max="16150" width="0.84375" style="2619" customWidth="1"/>
    <col min="16151" max="16151" width="9.07421875" style="2619" customWidth="1"/>
    <col min="16152" max="16152" width="1.07421875" style="2619" customWidth="1"/>
    <col min="16153" max="16153" width="0.84375" style="2619" customWidth="1"/>
    <col min="16154" max="16154" width="9.53515625" style="2619" bestFit="1" customWidth="1"/>
    <col min="16155" max="16156" width="0.84375" style="2619" customWidth="1"/>
    <col min="16157" max="16157" width="9.84375" style="2619" customWidth="1"/>
    <col min="16158" max="16158" width="1.07421875" style="2619" customWidth="1"/>
    <col min="16159" max="16159" width="8.53515625" style="2619" customWidth="1"/>
    <col min="16160" max="16160" width="14.53515625" style="2619" customWidth="1"/>
    <col min="16161" max="16161" width="10" style="2619" customWidth="1"/>
    <col min="16162" max="16162" width="7.84375" style="2619" bestFit="1" customWidth="1"/>
    <col min="16163" max="16163" width="9.84375" style="2619" customWidth="1"/>
    <col min="16164" max="16384" width="8.84375" style="2619"/>
  </cols>
  <sheetData>
    <row r="1" spans="1:36" ht="15.5">
      <c r="A1" s="2215" t="s">
        <v>882</v>
      </c>
    </row>
    <row r="2" spans="1:36" ht="10.5" customHeight="1"/>
    <row r="3" spans="1:36" ht="18">
      <c r="A3" s="2622" t="s">
        <v>0</v>
      </c>
      <c r="AI3" s="2623" t="s">
        <v>1062</v>
      </c>
    </row>
    <row r="4" spans="1:36" ht="18">
      <c r="A4" s="2624" t="s">
        <v>183</v>
      </c>
    </row>
    <row r="5" spans="1:36" ht="18">
      <c r="A5" s="2624" t="s">
        <v>147</v>
      </c>
      <c r="AB5" s="3968"/>
      <c r="AC5" s="3969"/>
      <c r="AD5" s="3969"/>
      <c r="AE5" s="2625"/>
      <c r="AF5" s="2625"/>
      <c r="AG5" s="2625"/>
      <c r="AH5" s="2625"/>
      <c r="AI5" s="2625"/>
      <c r="AJ5" s="2626"/>
    </row>
    <row r="6" spans="1:36" ht="18">
      <c r="A6" s="2622" t="str">
        <f>'Cashflow Governmental'!A6</f>
        <v xml:space="preserve">FISCAL YEAR 2021-2022   </v>
      </c>
    </row>
    <row r="7" spans="1:36" ht="18">
      <c r="A7" s="2624" t="s">
        <v>1277</v>
      </c>
    </row>
    <row r="8" spans="1:36" ht="15.5">
      <c r="AA8" s="3970" t="s">
        <v>1563</v>
      </c>
      <c r="AB8" s="3970"/>
      <c r="AC8" s="3970"/>
      <c r="AD8" s="3970"/>
      <c r="AE8" s="3970"/>
      <c r="AF8" s="3970"/>
      <c r="AG8" s="3970"/>
      <c r="AH8" s="3970"/>
      <c r="AI8" s="3970"/>
    </row>
    <row r="9" spans="1:36" ht="15.5">
      <c r="B9" s="2627" t="str">
        <f>'Cashflow Governmental'!C13</f>
        <v>2021</v>
      </c>
      <c r="C9" s="2447"/>
      <c r="D9" s="2447"/>
      <c r="E9" s="2447"/>
      <c r="F9" s="2628"/>
      <c r="G9" s="2447"/>
      <c r="H9" s="2447"/>
      <c r="I9" s="2447"/>
      <c r="J9" s="2447"/>
      <c r="K9" s="2447"/>
      <c r="L9" s="2447"/>
      <c r="M9" s="2447"/>
      <c r="N9" s="2447"/>
      <c r="O9" s="2447"/>
      <c r="P9" s="2447"/>
      <c r="Q9" s="2447"/>
      <c r="R9" s="2447"/>
      <c r="S9" s="2447"/>
      <c r="T9" s="2627">
        <f>'Cashflow Governmental'!U13</f>
        <v>2022</v>
      </c>
      <c r="U9" s="2447"/>
      <c r="V9" s="2447"/>
      <c r="W9" s="2447"/>
      <c r="X9" s="2629"/>
      <c r="Y9" s="2447"/>
      <c r="Z9" s="2447"/>
      <c r="AA9" s="2447"/>
      <c r="AB9" s="2447"/>
      <c r="AC9" s="2447"/>
      <c r="AD9" s="2447"/>
      <c r="AE9" s="2630"/>
      <c r="AF9" s="2447"/>
      <c r="AG9" s="2631" t="s">
        <v>7</v>
      </c>
      <c r="AH9" s="2632"/>
      <c r="AI9" s="2633" t="s">
        <v>8</v>
      </c>
      <c r="AJ9" s="2626"/>
    </row>
    <row r="10" spans="1:36" ht="15.5">
      <c r="B10" s="2634" t="s">
        <v>123</v>
      </c>
      <c r="C10" s="2447"/>
      <c r="D10" s="2634" t="s">
        <v>124</v>
      </c>
      <c r="E10" s="2629"/>
      <c r="F10" s="2635" t="s">
        <v>125</v>
      </c>
      <c r="G10" s="2629"/>
      <c r="H10" s="2634" t="s">
        <v>126</v>
      </c>
      <c r="I10" s="2629"/>
      <c r="J10" s="2634" t="s">
        <v>127</v>
      </c>
      <c r="K10" s="2629"/>
      <c r="L10" s="2636" t="s">
        <v>142</v>
      </c>
      <c r="M10" s="2629"/>
      <c r="N10" s="2634" t="s">
        <v>143</v>
      </c>
      <c r="O10" s="2629"/>
      <c r="P10" s="2634" t="s">
        <v>130</v>
      </c>
      <c r="Q10" s="2629"/>
      <c r="R10" s="2634" t="s">
        <v>131</v>
      </c>
      <c r="S10" s="2447"/>
      <c r="T10" s="2634" t="s">
        <v>132</v>
      </c>
      <c r="U10" s="2629"/>
      <c r="V10" s="2634" t="s">
        <v>133</v>
      </c>
      <c r="W10" s="2629"/>
      <c r="X10" s="2634" t="s">
        <v>184</v>
      </c>
      <c r="Y10" s="2629"/>
      <c r="Z10" s="2629"/>
      <c r="AA10" s="2637">
        <f>'Cashflow Governmental'!AB14</f>
        <v>2021</v>
      </c>
      <c r="AB10" s="2629"/>
      <c r="AC10" s="2629"/>
      <c r="AD10" s="2637">
        <f>'Cashflow Governmental'!AE14</f>
        <v>2020</v>
      </c>
      <c r="AE10" s="2638"/>
      <c r="AF10" s="2638"/>
      <c r="AG10" s="2639" t="s">
        <v>11</v>
      </c>
      <c r="AH10" s="2640"/>
      <c r="AI10" s="2639" t="s">
        <v>12</v>
      </c>
      <c r="AJ10" s="2626"/>
    </row>
    <row r="11" spans="1:36" ht="3" customHeight="1">
      <c r="B11" s="2641"/>
      <c r="C11" s="1445"/>
      <c r="D11" s="2641"/>
      <c r="E11" s="2642"/>
      <c r="F11" s="2643"/>
      <c r="G11" s="2642"/>
      <c r="H11" s="2641"/>
      <c r="I11" s="2642"/>
      <c r="J11" s="2641"/>
      <c r="K11" s="2642"/>
      <c r="L11" s="2644"/>
      <c r="M11" s="2642"/>
      <c r="N11" s="2641"/>
      <c r="O11" s="2642"/>
      <c r="P11" s="2641"/>
      <c r="Q11" s="2642"/>
      <c r="R11" s="2641"/>
      <c r="S11" s="1445"/>
      <c r="T11" s="2645"/>
      <c r="U11" s="2642"/>
      <c r="V11" s="2641"/>
      <c r="W11" s="2642"/>
      <c r="X11" s="2641"/>
      <c r="Y11" s="2642"/>
      <c r="Z11" s="2642"/>
      <c r="AA11" s="2646"/>
      <c r="AB11" s="2642"/>
      <c r="AC11" s="2642"/>
      <c r="AD11" s="2646"/>
      <c r="AE11" s="2646"/>
      <c r="AF11" s="2647"/>
      <c r="AG11" s="2646"/>
      <c r="AH11" s="1442"/>
      <c r="AI11" s="1445"/>
    </row>
    <row r="12" spans="1:36" ht="15.5">
      <c r="A12" s="2648" t="s">
        <v>185</v>
      </c>
      <c r="B12" s="2427">
        <v>65</v>
      </c>
      <c r="C12" s="2427"/>
      <c r="D12" s="2649">
        <f>B77</f>
        <v>206.5</v>
      </c>
      <c r="E12" s="2427"/>
      <c r="F12" s="2649">
        <f>D77</f>
        <v>302.89999999999998</v>
      </c>
      <c r="G12" s="2427"/>
      <c r="H12" s="2649">
        <f>F77</f>
        <v>237.7</v>
      </c>
      <c r="I12" s="2427"/>
      <c r="J12" s="2649">
        <f>H77</f>
        <v>546.1</v>
      </c>
      <c r="K12" s="2427"/>
      <c r="L12" s="2649">
        <f>J77</f>
        <v>982.1</v>
      </c>
      <c r="M12" s="2427"/>
      <c r="N12" s="2649"/>
      <c r="O12" s="2427"/>
      <c r="P12" s="2649"/>
      <c r="Q12" s="2427"/>
      <c r="R12" s="2649"/>
      <c r="S12" s="2427"/>
      <c r="T12" s="2649"/>
      <c r="U12" s="2427"/>
      <c r="V12" s="2649"/>
      <c r="W12" s="2427"/>
      <c r="X12" s="2649"/>
      <c r="Y12" s="2650"/>
      <c r="Z12" s="2427"/>
      <c r="AA12" s="2427">
        <f>B12</f>
        <v>65</v>
      </c>
      <c r="AB12" s="2650"/>
      <c r="AC12" s="2427"/>
      <c r="AD12" s="3431">
        <v>63.4</v>
      </c>
      <c r="AE12" s="2651"/>
      <c r="AF12" s="2652"/>
      <c r="AG12" s="2653">
        <f>ROUND(SUM(AA12-AD12),1)</f>
        <v>1.6</v>
      </c>
      <c r="AH12" s="2630"/>
      <c r="AI12" s="2654">
        <f>ROUND(SUM(AG12/AD12),3)</f>
        <v>2.5000000000000001E-2</v>
      </c>
      <c r="AJ12" s="2626"/>
    </row>
    <row r="13" spans="1:36" ht="12.75" customHeight="1">
      <c r="A13" s="1445"/>
      <c r="B13" s="1445"/>
      <c r="C13" s="1445"/>
      <c r="D13" s="1445"/>
      <c r="E13" s="1445"/>
      <c r="F13" s="1964"/>
      <c r="G13" s="1445"/>
      <c r="H13" s="1445"/>
      <c r="I13" s="1445"/>
      <c r="J13" s="1445"/>
      <c r="K13" s="1445"/>
      <c r="L13" s="1445"/>
      <c r="M13" s="1445"/>
      <c r="N13" s="1445"/>
      <c r="O13" s="1445"/>
      <c r="P13" s="1445"/>
      <c r="Q13" s="1445"/>
      <c r="R13" s="1445"/>
      <c r="S13" s="1445"/>
      <c r="T13" s="1445"/>
      <c r="U13" s="1445"/>
      <c r="V13" s="1445"/>
      <c r="W13" s="1445"/>
      <c r="X13" s="1445"/>
      <c r="Y13" s="2655"/>
      <c r="Z13" s="1445"/>
      <c r="AA13" s="1964"/>
      <c r="AB13" s="2656"/>
      <c r="AC13" s="1964"/>
      <c r="AD13" s="2579"/>
      <c r="AE13" s="2646"/>
      <c r="AF13" s="2657"/>
      <c r="AG13" s="2658"/>
      <c r="AH13" s="1442"/>
      <c r="AI13" s="1445"/>
    </row>
    <row r="14" spans="1:36" ht="14.25" customHeight="1">
      <c r="A14" s="2447" t="s">
        <v>13</v>
      </c>
      <c r="B14" s="1445"/>
      <c r="C14" s="1445"/>
      <c r="D14" s="1445"/>
      <c r="E14" s="1445"/>
      <c r="F14" s="1964"/>
      <c r="G14" s="1445"/>
      <c r="H14" s="1445"/>
      <c r="I14" s="1445"/>
      <c r="J14" s="1445"/>
      <c r="K14" s="1445"/>
      <c r="L14" s="1445"/>
      <c r="M14" s="1445"/>
      <c r="N14" s="1445"/>
      <c r="O14" s="1445"/>
      <c r="P14" s="1445"/>
      <c r="Q14" s="1445"/>
      <c r="R14" s="1445"/>
      <c r="S14" s="1445"/>
      <c r="T14" s="1445"/>
      <c r="U14" s="1445"/>
      <c r="V14" s="1445"/>
      <c r="W14" s="1445"/>
      <c r="X14" s="1445"/>
      <c r="Y14" s="2655"/>
      <c r="Z14" s="1445"/>
      <c r="AA14" s="1964"/>
      <c r="AB14" s="2656"/>
      <c r="AC14" s="1964"/>
      <c r="AD14" s="2579"/>
      <c r="AE14" s="2646"/>
      <c r="AF14" s="2657"/>
      <c r="AG14" s="2658"/>
      <c r="AH14" s="1442"/>
      <c r="AI14" s="1445"/>
    </row>
    <row r="15" spans="1:36" ht="14.25" customHeight="1">
      <c r="A15" s="2436" t="s">
        <v>994</v>
      </c>
      <c r="B15" s="1426"/>
      <c r="C15" s="1426"/>
      <c r="D15" s="1426"/>
      <c r="E15" s="2659"/>
      <c r="F15" s="1426"/>
      <c r="G15" s="2659"/>
      <c r="H15" s="1445"/>
      <c r="I15" s="1445"/>
      <c r="J15" s="1445"/>
      <c r="K15" s="1445"/>
      <c r="L15" s="1445"/>
      <c r="M15" s="1445"/>
      <c r="N15" s="1445"/>
      <c r="O15" s="1445"/>
      <c r="P15" s="1445"/>
      <c r="Q15" s="1445"/>
      <c r="R15" s="1445"/>
      <c r="S15" s="1445"/>
      <c r="T15" s="1445"/>
      <c r="U15" s="1445"/>
      <c r="V15" s="1445"/>
      <c r="W15" s="1445"/>
      <c r="X15" s="1445"/>
      <c r="Y15" s="2660"/>
      <c r="Z15" s="1445"/>
      <c r="AA15" s="1964"/>
      <c r="AB15" s="1963"/>
      <c r="AC15" s="1964"/>
      <c r="AD15" s="3065"/>
      <c r="AE15" s="2646"/>
      <c r="AF15" s="2657"/>
      <c r="AG15" s="2658"/>
      <c r="AH15" s="1442"/>
      <c r="AI15" s="1445"/>
    </row>
    <row r="16" spans="1:36" ht="14.25" customHeight="1">
      <c r="A16" s="2514" t="s">
        <v>997</v>
      </c>
      <c r="B16" s="1353">
        <v>3262.9</v>
      </c>
      <c r="C16" s="1408"/>
      <c r="D16" s="1353">
        <v>4916.5</v>
      </c>
      <c r="E16" s="1408"/>
      <c r="F16" s="1353">
        <v>2910.3000000000011</v>
      </c>
      <c r="G16" s="1353"/>
      <c r="H16" s="1353">
        <v>1682.2999999999993</v>
      </c>
      <c r="I16" s="2579"/>
      <c r="J16" s="1353">
        <v>1900.7000000000007</v>
      </c>
      <c r="K16" s="2579"/>
      <c r="L16" s="1353">
        <f>$AA16-$B16-$D16-$F16-$H16-$J16</f>
        <v>3224.8999999999978</v>
      </c>
      <c r="M16" s="2579"/>
      <c r="N16" s="1353"/>
      <c r="O16" s="2579"/>
      <c r="P16" s="1773"/>
      <c r="Q16" s="2579"/>
      <c r="R16" s="1773"/>
      <c r="S16" s="2579"/>
      <c r="T16" s="1773"/>
      <c r="U16" s="2579"/>
      <c r="V16" s="1773"/>
      <c r="W16" s="2579"/>
      <c r="X16" s="1773"/>
      <c r="Y16" s="2660"/>
      <c r="Z16" s="1445"/>
      <c r="AA16" s="1773">
        <v>17897.599999999999</v>
      </c>
      <c r="AB16" s="1963"/>
      <c r="AC16" s="1964"/>
      <c r="AD16" s="1773">
        <v>13429.5</v>
      </c>
      <c r="AE16" s="2646"/>
      <c r="AF16" s="2657"/>
      <c r="AG16" s="2661">
        <f>ROUND(SUM(AA16-AD16),1)</f>
        <v>4468.1000000000004</v>
      </c>
      <c r="AH16" s="1442"/>
      <c r="AI16" s="1634">
        <f>ROUND(IF(AD16=0,0,AG16/ABS(AD16)),3)</f>
        <v>0.33300000000000002</v>
      </c>
    </row>
    <row r="17" spans="1:35" ht="6" customHeight="1">
      <c r="A17" s="2514"/>
      <c r="B17" s="1353"/>
      <c r="C17" s="1408"/>
      <c r="D17" s="1353"/>
      <c r="E17" s="1408"/>
      <c r="F17" s="1353"/>
      <c r="G17" s="2443"/>
      <c r="H17" s="1353"/>
      <c r="I17" s="1445"/>
      <c r="J17" s="1353"/>
      <c r="K17" s="1445"/>
      <c r="L17" s="1353"/>
      <c r="M17" s="1445"/>
      <c r="N17" s="1353"/>
      <c r="O17" s="1445"/>
      <c r="P17" s="1773"/>
      <c r="Q17" s="1445"/>
      <c r="R17" s="1773"/>
      <c r="S17" s="1445"/>
      <c r="T17" s="1773"/>
      <c r="U17" s="1445"/>
      <c r="V17" s="1773"/>
      <c r="W17" s="1445"/>
      <c r="X17" s="1773"/>
      <c r="Y17" s="2662"/>
      <c r="Z17" s="1445"/>
      <c r="AA17" s="1773"/>
      <c r="AB17" s="1965"/>
      <c r="AC17" s="1964"/>
      <c r="AD17" s="1773"/>
      <c r="AE17" s="2646"/>
      <c r="AF17" s="2657"/>
      <c r="AG17" s="2661"/>
      <c r="AH17" s="1442"/>
      <c r="AI17" s="1634"/>
    </row>
    <row r="18" spans="1:35" ht="14.25" customHeight="1">
      <c r="A18" s="2514" t="s">
        <v>1056</v>
      </c>
      <c r="B18" s="1430"/>
      <c r="C18" s="1429"/>
      <c r="D18" s="1353"/>
      <c r="E18" s="1429"/>
      <c r="F18" s="1353"/>
      <c r="G18" s="1429"/>
      <c r="H18" s="1430"/>
      <c r="I18" s="1445"/>
      <c r="J18" s="1353"/>
      <c r="K18" s="1445"/>
      <c r="L18" s="1353"/>
      <c r="M18" s="1445"/>
      <c r="N18" s="1353"/>
      <c r="O18" s="1445"/>
      <c r="P18" s="1773"/>
      <c r="Q18" s="1445"/>
      <c r="R18" s="1773"/>
      <c r="S18" s="1445"/>
      <c r="T18" s="1773"/>
      <c r="U18" s="1445"/>
      <c r="V18" s="1773"/>
      <c r="W18" s="1445"/>
      <c r="X18" s="1773"/>
      <c r="Y18" s="2660"/>
      <c r="Z18" s="1445"/>
      <c r="AA18" s="1448"/>
      <c r="AB18" s="1963"/>
      <c r="AC18" s="1964"/>
      <c r="AD18" s="1448"/>
      <c r="AE18" s="2646"/>
      <c r="AF18" s="2657"/>
      <c r="AG18" s="2658"/>
      <c r="AH18" s="1442"/>
      <c r="AI18" s="1445"/>
    </row>
    <row r="19" spans="1:35" ht="14.25" customHeight="1">
      <c r="A19" s="2215" t="s">
        <v>1009</v>
      </c>
      <c r="B19" s="1353">
        <v>895.4</v>
      </c>
      <c r="C19" s="1408"/>
      <c r="D19" s="1353">
        <v>885.30000000000007</v>
      </c>
      <c r="E19" s="1408"/>
      <c r="F19" s="1353">
        <v>1207.0999999999999</v>
      </c>
      <c r="G19" s="1429"/>
      <c r="H19" s="1353">
        <v>971.5</v>
      </c>
      <c r="I19" s="2579"/>
      <c r="J19" s="1353">
        <v>938.09999999999945</v>
      </c>
      <c r="K19" s="2579"/>
      <c r="L19" s="1353">
        <f>$AA19-$B19-$D19-$F19-$H19-$J19</f>
        <v>1222.7000000000012</v>
      </c>
      <c r="M19" s="2579"/>
      <c r="N19" s="1353"/>
      <c r="O19" s="2579"/>
      <c r="P19" s="1773"/>
      <c r="Q19" s="2579"/>
      <c r="R19" s="1773"/>
      <c r="S19" s="2579"/>
      <c r="T19" s="1773"/>
      <c r="U19" s="2579"/>
      <c r="V19" s="1773"/>
      <c r="W19" s="2579"/>
      <c r="X19" s="1773"/>
      <c r="Y19" s="2660"/>
      <c r="Z19" s="1445"/>
      <c r="AA19" s="1773">
        <v>6120.1</v>
      </c>
      <c r="AB19" s="1963"/>
      <c r="AC19" s="1964"/>
      <c r="AD19" s="1773">
        <v>3110.8</v>
      </c>
      <c r="AE19" s="2646"/>
      <c r="AF19" s="2657"/>
      <c r="AG19" s="2661">
        <f>ROUND(SUM(AA19-AD19),1)</f>
        <v>3009.3</v>
      </c>
      <c r="AH19" s="1442"/>
      <c r="AI19" s="1412">
        <f>ROUND(IF(AD19=0,0,AG19/ABS(AD19)),3)</f>
        <v>0.96699999999999997</v>
      </c>
    </row>
    <row r="20" spans="1:35" ht="14.25" customHeight="1">
      <c r="A20" s="2447" t="s">
        <v>1008</v>
      </c>
      <c r="B20" s="1446">
        <f>ROUND(SUM(B19:B19),1)</f>
        <v>895.4</v>
      </c>
      <c r="C20" s="1447"/>
      <c r="D20" s="1446">
        <f>ROUND(SUM(D19:D19),1)</f>
        <v>885.3</v>
      </c>
      <c r="E20" s="1447"/>
      <c r="F20" s="1446">
        <f>ROUND(SUM(F19:F19),1)</f>
        <v>1207.0999999999999</v>
      </c>
      <c r="G20" s="1447"/>
      <c r="H20" s="1446">
        <f>ROUND(SUM(H19:H19),1)</f>
        <v>971.5</v>
      </c>
      <c r="I20" s="1445"/>
      <c r="J20" s="1446">
        <f>ROUND(SUM(J19:J19),1)</f>
        <v>938.1</v>
      </c>
      <c r="K20" s="1445"/>
      <c r="L20" s="1446">
        <f>ROUND(SUM(L19:L19),1)</f>
        <v>1222.7</v>
      </c>
      <c r="M20" s="1445"/>
      <c r="N20" s="1446">
        <f>ROUND(SUM(N19:N19),1)</f>
        <v>0</v>
      </c>
      <c r="O20" s="1445"/>
      <c r="P20" s="1446">
        <f>ROUND(SUM(P19:P19),1)</f>
        <v>0</v>
      </c>
      <c r="Q20" s="1445"/>
      <c r="R20" s="1446">
        <f>ROUND(SUM(R19:R19),1)</f>
        <v>0</v>
      </c>
      <c r="S20" s="1445"/>
      <c r="T20" s="1446">
        <f>ROUND(SUM(T19:T19),1)</f>
        <v>0</v>
      </c>
      <c r="U20" s="1445"/>
      <c r="V20" s="1446">
        <f>ROUND(SUM(V19:V19),1)</f>
        <v>0</v>
      </c>
      <c r="W20" s="1445"/>
      <c r="X20" s="1446">
        <f>ROUND(SUM(X19:X19),1)</f>
        <v>0</v>
      </c>
      <c r="Y20" s="2660"/>
      <c r="Z20" s="1445"/>
      <c r="AA20" s="1446">
        <f>ROUND(SUM(AA19:AA19),1)</f>
        <v>6120.1</v>
      </c>
      <c r="AB20" s="1963"/>
      <c r="AC20" s="1964"/>
      <c r="AD20" s="1446">
        <f>ROUND(SUM(AD19:AD19),1)</f>
        <v>3110.8</v>
      </c>
      <c r="AE20" s="2646"/>
      <c r="AF20" s="2657"/>
      <c r="AG20" s="2663">
        <f>ROUND(SUM(AA20-AD20),1)</f>
        <v>3009.3</v>
      </c>
      <c r="AH20" s="2630"/>
      <c r="AI20" s="1428">
        <f>ROUND(IF(AD20=0,0,AG20/ABS(AD20)),3)</f>
        <v>0.96699999999999997</v>
      </c>
    </row>
    <row r="21" spans="1:35" ht="14.25" customHeight="1">
      <c r="A21" s="2437" t="s">
        <v>1058</v>
      </c>
      <c r="B21" s="1430"/>
      <c r="C21" s="1447"/>
      <c r="D21" s="1430"/>
      <c r="E21" s="1447"/>
      <c r="F21" s="1430"/>
      <c r="G21" s="1447"/>
      <c r="H21" s="1430"/>
      <c r="I21" s="1445"/>
      <c r="J21" s="1430"/>
      <c r="K21" s="1445"/>
      <c r="L21" s="1430"/>
      <c r="M21" s="1445"/>
      <c r="N21" s="1430"/>
      <c r="O21" s="1445"/>
      <c r="P21" s="1430"/>
      <c r="Q21" s="1445"/>
      <c r="R21" s="1430"/>
      <c r="S21" s="1445"/>
      <c r="T21" s="1430"/>
      <c r="U21" s="1445"/>
      <c r="V21" s="1430"/>
      <c r="W21" s="1445"/>
      <c r="X21" s="1430"/>
      <c r="Y21" s="2660"/>
      <c r="Z21" s="1445"/>
      <c r="AA21" s="1448"/>
      <c r="AB21" s="1963"/>
      <c r="AC21" s="1964"/>
      <c r="AD21" s="1448"/>
      <c r="AE21" s="2646"/>
      <c r="AF21" s="2657"/>
      <c r="AG21" s="2658"/>
      <c r="AH21" s="1442"/>
      <c r="AI21" s="1445"/>
    </row>
    <row r="22" spans="1:35" ht="14.25" customHeight="1">
      <c r="A22" s="2215" t="s">
        <v>1026</v>
      </c>
      <c r="B22" s="1353">
        <v>97.4</v>
      </c>
      <c r="C22" s="1408"/>
      <c r="D22" s="1353">
        <v>110</v>
      </c>
      <c r="E22" s="1408"/>
      <c r="F22" s="1353">
        <v>115.1</v>
      </c>
      <c r="G22" s="1447"/>
      <c r="H22" s="1353">
        <v>132.00000000000003</v>
      </c>
      <c r="I22" s="2579"/>
      <c r="J22" s="1353">
        <v>139.99999999999997</v>
      </c>
      <c r="K22" s="2579"/>
      <c r="L22" s="1353">
        <f t="shared" ref="L22:L23" si="0">$AA22-$B22-$D22-$F22-$H22-$J22</f>
        <v>133.29999999999998</v>
      </c>
      <c r="M22" s="2579"/>
      <c r="N22" s="1773"/>
      <c r="O22" s="2579"/>
      <c r="P22" s="1773"/>
      <c r="Q22" s="2579"/>
      <c r="R22" s="1773"/>
      <c r="S22" s="2579"/>
      <c r="T22" s="1773"/>
      <c r="U22" s="2579"/>
      <c r="V22" s="1773"/>
      <c r="W22" s="2579"/>
      <c r="X22" s="1773"/>
      <c r="Y22" s="2660"/>
      <c r="Z22" s="1445"/>
      <c r="AA22" s="1773">
        <v>727.8</v>
      </c>
      <c r="AB22" s="1963"/>
      <c r="AC22" s="1964"/>
      <c r="AD22" s="1773">
        <v>323.2</v>
      </c>
      <c r="AE22" s="2646"/>
      <c r="AF22" s="2657"/>
      <c r="AG22" s="2661">
        <f>ROUND(SUM(AA22-AD22),1)</f>
        <v>404.6</v>
      </c>
      <c r="AH22" s="1442"/>
      <c r="AI22" s="1412">
        <f>ROUND(IF(AD22=0,0,AG22/ABS(AD22)),3)</f>
        <v>1.252</v>
      </c>
    </row>
    <row r="23" spans="1:35" ht="14.25" customHeight="1">
      <c r="A23" s="2444" t="s">
        <v>1284</v>
      </c>
      <c r="B23" s="1353">
        <v>0.1</v>
      </c>
      <c r="C23" s="1429"/>
      <c r="D23" s="1353">
        <v>0.1</v>
      </c>
      <c r="E23" s="1429"/>
      <c r="F23" s="1353">
        <v>9.9999999999999978E-2</v>
      </c>
      <c r="G23" s="1429"/>
      <c r="H23" s="1353">
        <v>0.20000000000000007</v>
      </c>
      <c r="I23" s="2677"/>
      <c r="J23" s="1353">
        <v>0.19999999999999996</v>
      </c>
      <c r="K23" s="2677"/>
      <c r="L23" s="1353">
        <f t="shared" si="0"/>
        <v>0.10000000000000009</v>
      </c>
      <c r="M23" s="2677"/>
      <c r="N23" s="1773"/>
      <c r="O23" s="2677"/>
      <c r="P23" s="1773"/>
      <c r="Q23" s="2677"/>
      <c r="R23" s="1773"/>
      <c r="S23" s="2677"/>
      <c r="T23" s="1773"/>
      <c r="U23" s="2677"/>
      <c r="V23" s="1773"/>
      <c r="W23" s="2677"/>
      <c r="X23" s="1773"/>
      <c r="Y23" s="3514"/>
      <c r="Z23" s="2677"/>
      <c r="AA23" s="1773">
        <v>0.8</v>
      </c>
      <c r="AB23" s="3515"/>
      <c r="AC23" s="3516"/>
      <c r="AD23" s="1773">
        <v>0.4</v>
      </c>
      <c r="AE23" s="3517"/>
      <c r="AF23" s="3518"/>
      <c r="AG23" s="2661">
        <f>ROUND(SUM(AA23-AD23),1)</f>
        <v>0.4</v>
      </c>
      <c r="AH23" s="1442"/>
      <c r="AI23" s="1634">
        <f>ROUND(IF(AD23=0,1,AG23/ABS(AD23)),3)</f>
        <v>1</v>
      </c>
    </row>
    <row r="24" spans="1:35" ht="14.25" customHeight="1">
      <c r="A24" s="2447" t="s">
        <v>1021</v>
      </c>
      <c r="B24" s="1966">
        <f>ROUND(SUM(B22:B23),1)</f>
        <v>97.5</v>
      </c>
      <c r="C24" s="1447"/>
      <c r="D24" s="2026">
        <f>ROUND(SUM(D22:D23),1)</f>
        <v>110.1</v>
      </c>
      <c r="E24" s="1447"/>
      <c r="F24" s="2026">
        <f>ROUND(SUM(F22:F23),1)</f>
        <v>115.2</v>
      </c>
      <c r="G24" s="1447"/>
      <c r="H24" s="2026">
        <f>ROUND(SUM(H22:H23),1)</f>
        <v>132.19999999999999</v>
      </c>
      <c r="I24" s="1445"/>
      <c r="J24" s="2026">
        <f>ROUND(SUM(J22:J23),1)</f>
        <v>140.19999999999999</v>
      </c>
      <c r="K24" s="1445"/>
      <c r="L24" s="2026">
        <f>ROUND(SUM(L22:L23),1)</f>
        <v>133.4</v>
      </c>
      <c r="M24" s="1445"/>
      <c r="N24" s="2026">
        <f>ROUND(SUM(N22:N23),1)</f>
        <v>0</v>
      </c>
      <c r="O24" s="1445"/>
      <c r="P24" s="2026">
        <f>ROUND(SUM(P22:P23),1)</f>
        <v>0</v>
      </c>
      <c r="Q24" s="1445"/>
      <c r="R24" s="2026">
        <f>ROUND(SUM(R22:R23),1)</f>
        <v>0</v>
      </c>
      <c r="S24" s="1445"/>
      <c r="T24" s="2026">
        <f>ROUND(SUM(T22:T23),1)</f>
        <v>0</v>
      </c>
      <c r="U24" s="1445"/>
      <c r="V24" s="2026">
        <f>ROUND(SUM(V22:V23),1)</f>
        <v>0</v>
      </c>
      <c r="W24" s="1445"/>
      <c r="X24" s="2026">
        <f>ROUND(SUM(X22:X23),1)</f>
        <v>0</v>
      </c>
      <c r="Y24" s="2660"/>
      <c r="Z24" s="1445"/>
      <c r="AA24" s="1446">
        <f>SUM(AA22:AA23)</f>
        <v>728.59999999999991</v>
      </c>
      <c r="AB24" s="1963"/>
      <c r="AC24" s="1964"/>
      <c r="AD24" s="1446">
        <f>SUM(AD22:AD23)</f>
        <v>323.59999999999997</v>
      </c>
      <c r="AE24" s="2646"/>
      <c r="AF24" s="2657"/>
      <c r="AG24" s="2664">
        <f>ROUND(SUM(AA24-AD24),1)</f>
        <v>405</v>
      </c>
      <c r="AH24" s="2630"/>
      <c r="AI24" s="1441">
        <f>ROUND(IF(AD24=0,0,AG24/ABS(AD24)),3)</f>
        <v>1.252</v>
      </c>
    </row>
    <row r="25" spans="1:35" ht="14.25" customHeight="1">
      <c r="A25" s="2447"/>
      <c r="B25" s="1966"/>
      <c r="C25" s="1447"/>
      <c r="D25" s="1430"/>
      <c r="E25" s="1447"/>
      <c r="F25" s="1430"/>
      <c r="G25" s="1430"/>
      <c r="H25" s="1430"/>
      <c r="I25" s="1442"/>
      <c r="J25" s="1430"/>
      <c r="K25" s="1442"/>
      <c r="L25" s="1430"/>
      <c r="M25" s="1442"/>
      <c r="N25" s="1430"/>
      <c r="O25" s="1442"/>
      <c r="P25" s="1430"/>
      <c r="Q25" s="1442"/>
      <c r="R25" s="1430"/>
      <c r="S25" s="1442"/>
      <c r="T25" s="1430"/>
      <c r="U25" s="1442"/>
      <c r="V25" s="1430"/>
      <c r="W25" s="1442"/>
      <c r="X25" s="1430"/>
      <c r="Y25" s="2660"/>
      <c r="Z25" s="1445"/>
      <c r="AA25" s="1966"/>
      <c r="AB25" s="1963"/>
      <c r="AC25" s="1964"/>
      <c r="AD25" s="3432"/>
      <c r="AE25" s="2646"/>
      <c r="AF25" s="2657"/>
      <c r="AG25" s="2658"/>
      <c r="AH25" s="1442"/>
      <c r="AI25" s="1442"/>
    </row>
    <row r="26" spans="1:35" ht="14.25" customHeight="1">
      <c r="A26" s="2447" t="s">
        <v>1022</v>
      </c>
      <c r="B26" s="2456">
        <f>ROUND(SUM(B16+B20+B24),1)</f>
        <v>4255.8</v>
      </c>
      <c r="C26" s="1429"/>
      <c r="D26" s="2456">
        <f>ROUND(SUM(D16+D20+D24),1)</f>
        <v>5911.9</v>
      </c>
      <c r="E26" s="1429"/>
      <c r="F26" s="2456">
        <f>ROUND(SUM(F16+F20+F24),1)</f>
        <v>4232.6000000000004</v>
      </c>
      <c r="G26" s="1429"/>
      <c r="H26" s="2456">
        <f>ROUND(SUM(H16+H20+H24),1)</f>
        <v>2786</v>
      </c>
      <c r="I26" s="1445"/>
      <c r="J26" s="1967">
        <f>ROUND(SUM(J16+J20+J24),1)</f>
        <v>2979</v>
      </c>
      <c r="K26" s="1445"/>
      <c r="L26" s="1967">
        <f>ROUND(SUM(L16+L20+L24),1)</f>
        <v>4581</v>
      </c>
      <c r="M26" s="1445"/>
      <c r="N26" s="1967">
        <f>ROUND(SUM(N16+N20+N24),1)</f>
        <v>0</v>
      </c>
      <c r="O26" s="1445"/>
      <c r="P26" s="1967">
        <f>ROUND(SUM(P16+P20+P24),1)</f>
        <v>0</v>
      </c>
      <c r="Q26" s="1445"/>
      <c r="R26" s="1967">
        <f>ROUND(SUM(R16+R20+R24),1)</f>
        <v>0</v>
      </c>
      <c r="S26" s="1445"/>
      <c r="T26" s="1967">
        <f>ROUND(SUM(T16+T20+T24),1)</f>
        <v>0</v>
      </c>
      <c r="U26" s="1445"/>
      <c r="V26" s="1967">
        <f>ROUND(SUM(V16+V20+V24),1)</f>
        <v>0</v>
      </c>
      <c r="W26" s="1445"/>
      <c r="X26" s="1967">
        <f>ROUND(SUM(X16+X20+X24),1)</f>
        <v>0</v>
      </c>
      <c r="Y26" s="2660"/>
      <c r="Z26" s="1445"/>
      <c r="AA26" s="1967">
        <f>ROUND(SUM(AA16+AA20+AA24),1)</f>
        <v>24746.3</v>
      </c>
      <c r="AB26" s="1963"/>
      <c r="AC26" s="1964"/>
      <c r="AD26" s="1967">
        <f>ROUND(SUM(AD16+AD20+AD24),1)</f>
        <v>16863.900000000001</v>
      </c>
      <c r="AE26" s="2646"/>
      <c r="AF26" s="2657"/>
      <c r="AG26" s="1967">
        <f>ROUND(SUM(AG16+AG20+AG24),1)</f>
        <v>7882.4</v>
      </c>
      <c r="AH26" s="2630"/>
      <c r="AI26" s="1443">
        <f>ROUND(IF(AD26=0,0,AG26/ABS(AD26)),3)</f>
        <v>0.46700000000000003</v>
      </c>
    </row>
    <row r="27" spans="1:35" ht="14.25" customHeight="1">
      <c r="A27" s="2436"/>
      <c r="B27" s="1429"/>
      <c r="C27" s="1429"/>
      <c r="D27" s="1429"/>
      <c r="E27" s="1429"/>
      <c r="F27" s="1429"/>
      <c r="G27" s="1429"/>
      <c r="H27" s="1429"/>
      <c r="I27" s="1445"/>
      <c r="J27" s="1990"/>
      <c r="K27" s="1445"/>
      <c r="L27" s="1990"/>
      <c r="M27" s="1445"/>
      <c r="N27" s="1990"/>
      <c r="O27" s="1445"/>
      <c r="P27" s="1990"/>
      <c r="Q27" s="1445"/>
      <c r="R27" s="1990"/>
      <c r="S27" s="1445"/>
      <c r="T27" s="1990"/>
      <c r="U27" s="1445"/>
      <c r="V27" s="1990"/>
      <c r="W27" s="1445"/>
      <c r="X27" s="1990"/>
      <c r="Y27" s="2660"/>
      <c r="Z27" s="1445"/>
      <c r="AA27" s="1429"/>
      <c r="AB27" s="1963"/>
      <c r="AC27" s="1964"/>
      <c r="AD27" s="1984"/>
      <c r="AE27" s="2646"/>
      <c r="AF27" s="2657"/>
      <c r="AG27" s="2658"/>
      <c r="AH27" s="1442"/>
      <c r="AI27" s="1445"/>
    </row>
    <row r="28" spans="1:35" ht="14.25" customHeight="1">
      <c r="A28" s="2436" t="s">
        <v>930</v>
      </c>
      <c r="B28" s="1968"/>
      <c r="C28" s="1982"/>
      <c r="D28" s="1982"/>
      <c r="E28" s="1982"/>
      <c r="F28" s="1982"/>
      <c r="G28" s="1982"/>
      <c r="H28" s="1982"/>
      <c r="I28" s="1962"/>
      <c r="J28" s="1962"/>
      <c r="K28" s="1962"/>
      <c r="L28" s="1962"/>
      <c r="M28" s="1962"/>
      <c r="N28" s="1962"/>
      <c r="O28" s="1962"/>
      <c r="P28" s="1962"/>
      <c r="Q28" s="1962"/>
      <c r="R28" s="1962"/>
      <c r="S28" s="1962"/>
      <c r="T28" s="1962"/>
      <c r="U28" s="1962"/>
      <c r="V28" s="1962"/>
      <c r="W28" s="1962"/>
      <c r="X28" s="1962"/>
      <c r="Y28" s="1969"/>
      <c r="Z28" s="1962"/>
      <c r="AA28" s="1968"/>
      <c r="AB28" s="1969"/>
      <c r="AC28" s="1962"/>
      <c r="AD28" s="1968"/>
      <c r="AE28" s="2665"/>
      <c r="AF28" s="2666"/>
      <c r="AG28" s="2661"/>
      <c r="AH28" s="1442"/>
      <c r="AI28" s="1444"/>
    </row>
    <row r="29" spans="1:35" ht="14.25" customHeight="1">
      <c r="A29" s="2459" t="s">
        <v>1050</v>
      </c>
      <c r="B29" s="1968"/>
      <c r="C29" s="1982"/>
      <c r="D29" s="1982"/>
      <c r="E29" s="1982"/>
      <c r="F29" s="1982"/>
      <c r="G29" s="1982"/>
      <c r="H29" s="1982"/>
      <c r="I29" s="1962"/>
      <c r="J29" s="1962"/>
      <c r="K29" s="1962"/>
      <c r="L29" s="1962"/>
      <c r="M29" s="1962"/>
      <c r="N29" s="1962"/>
      <c r="O29" s="1962"/>
      <c r="P29" s="1962"/>
      <c r="Q29" s="1962"/>
      <c r="R29" s="1962"/>
      <c r="S29" s="1962"/>
      <c r="T29" s="1962"/>
      <c r="U29" s="1962"/>
      <c r="V29" s="1962"/>
      <c r="W29" s="1962"/>
      <c r="X29" s="1962"/>
      <c r="Y29" s="1970"/>
      <c r="Z29" s="1962"/>
      <c r="AA29" s="1968"/>
      <c r="AB29" s="1970"/>
      <c r="AC29" s="1962"/>
      <c r="AD29" s="1968"/>
      <c r="AE29" s="2665"/>
      <c r="AF29" s="2666"/>
      <c r="AG29" s="2661"/>
      <c r="AH29" s="1442"/>
      <c r="AI29" s="1444"/>
    </row>
    <row r="30" spans="1:35" ht="14.25" customHeight="1">
      <c r="A30" s="2459" t="s">
        <v>934</v>
      </c>
      <c r="B30" s="1353">
        <v>0</v>
      </c>
      <c r="C30" s="1982"/>
      <c r="D30" s="1353">
        <v>0</v>
      </c>
      <c r="E30" s="1982"/>
      <c r="F30" s="1353">
        <v>0</v>
      </c>
      <c r="G30" s="1982"/>
      <c r="H30" s="1353">
        <v>0</v>
      </c>
      <c r="I30" s="2579"/>
      <c r="J30" s="1353">
        <v>0</v>
      </c>
      <c r="K30" s="2579"/>
      <c r="L30" s="1353">
        <f t="shared" ref="L30" si="1">$AA30-$B30-$D30-$F30-$H30-$J30</f>
        <v>0</v>
      </c>
      <c r="M30" s="2579"/>
      <c r="N30" s="1353"/>
      <c r="O30" s="2579"/>
      <c r="P30" s="1773"/>
      <c r="Q30" s="2579"/>
      <c r="R30" s="1773"/>
      <c r="S30" s="2579"/>
      <c r="T30" s="1773"/>
      <c r="U30" s="2579"/>
      <c r="V30" s="1773"/>
      <c r="W30" s="2579"/>
      <c r="X30" s="1773"/>
      <c r="Y30" s="2660"/>
      <c r="Z30" s="1445"/>
      <c r="AA30" s="1773">
        <v>0</v>
      </c>
      <c r="AB30" s="1963"/>
      <c r="AC30" s="1964"/>
      <c r="AD30" s="1773">
        <v>0</v>
      </c>
      <c r="AE30" s="2665"/>
      <c r="AF30" s="2666"/>
      <c r="AG30" s="2661">
        <f>ROUND(SUM(AA30-AD30),1)</f>
        <v>0</v>
      </c>
      <c r="AH30" s="1442"/>
      <c r="AI30" s="1412">
        <f>ROUND(IF(AD30=0,0,AG30/ABS(AD30)),3)</f>
        <v>0</v>
      </c>
    </row>
    <row r="31" spans="1:35" ht="14.25" customHeight="1">
      <c r="A31" s="2459" t="s">
        <v>1055</v>
      </c>
      <c r="B31" s="1353" t="s">
        <v>14</v>
      </c>
      <c r="C31" s="1982"/>
      <c r="D31" s="1353"/>
      <c r="E31" s="1982"/>
      <c r="F31" s="1353"/>
      <c r="G31" s="1982"/>
      <c r="H31" s="1353"/>
      <c r="I31" s="2579"/>
      <c r="J31" s="1353"/>
      <c r="K31" s="2579"/>
      <c r="L31" s="1353"/>
      <c r="M31" s="2579"/>
      <c r="N31" s="1353"/>
      <c r="O31" s="2579"/>
      <c r="P31" s="1773"/>
      <c r="Q31" s="2579"/>
      <c r="R31" s="1773"/>
      <c r="S31" s="2579"/>
      <c r="T31" s="1773"/>
      <c r="U31" s="2579"/>
      <c r="V31" s="1773"/>
      <c r="W31" s="2579"/>
      <c r="X31" s="1773"/>
      <c r="Y31" s="2660"/>
      <c r="Z31" s="1445"/>
      <c r="AA31" s="1773"/>
      <c r="AB31" s="1963"/>
      <c r="AC31" s="1964"/>
      <c r="AD31" s="1773"/>
      <c r="AE31" s="2665"/>
      <c r="AF31" s="2666"/>
      <c r="AG31" s="2661"/>
      <c r="AH31" s="1442"/>
      <c r="AI31" s="1444"/>
    </row>
    <row r="32" spans="1:35" ht="14.25" customHeight="1">
      <c r="A32" s="2459" t="s">
        <v>937</v>
      </c>
      <c r="B32" s="1353">
        <v>0</v>
      </c>
      <c r="C32" s="1982"/>
      <c r="D32" s="1353">
        <v>0</v>
      </c>
      <c r="E32" s="1982"/>
      <c r="F32" s="1353">
        <v>0</v>
      </c>
      <c r="G32" s="1982"/>
      <c r="H32" s="1353">
        <v>0</v>
      </c>
      <c r="I32" s="2579"/>
      <c r="J32" s="1353">
        <v>0</v>
      </c>
      <c r="K32" s="2579"/>
      <c r="L32" s="1353">
        <f>$AA32-$B32-$D32-$F32-$H32-$J32</f>
        <v>0</v>
      </c>
      <c r="M32" s="2579"/>
      <c r="N32" s="1353"/>
      <c r="O32" s="2579"/>
      <c r="P32" s="1773"/>
      <c r="Q32" s="2579"/>
      <c r="R32" s="1773"/>
      <c r="S32" s="2579"/>
      <c r="T32" s="1773"/>
      <c r="U32" s="2579"/>
      <c r="V32" s="1773"/>
      <c r="W32" s="2579"/>
      <c r="X32" s="1773"/>
      <c r="Y32" s="2660"/>
      <c r="Z32" s="1445"/>
      <c r="AA32" s="1773">
        <v>0</v>
      </c>
      <c r="AB32" s="1963"/>
      <c r="AC32" s="1964"/>
      <c r="AD32" s="1773">
        <v>0</v>
      </c>
      <c r="AE32" s="2665"/>
      <c r="AF32" s="2666"/>
      <c r="AG32" s="2661">
        <f t="shared" ref="AG32:AG42" si="2">ROUND(SUM(AA32-AD32),1)</f>
        <v>0</v>
      </c>
      <c r="AH32" s="1442"/>
      <c r="AI32" s="1412">
        <f t="shared" ref="AI32:AI42" si="3">ROUND(IF(AD32=0,0,AG32/ABS(AD32)),3)</f>
        <v>0</v>
      </c>
    </row>
    <row r="33" spans="1:36" ht="14.25" customHeight="1">
      <c r="A33" s="2459" t="s">
        <v>938</v>
      </c>
      <c r="B33" s="1353">
        <v>0</v>
      </c>
      <c r="C33" s="1982"/>
      <c r="D33" s="1353">
        <v>0</v>
      </c>
      <c r="E33" s="1982"/>
      <c r="F33" s="1353">
        <v>0</v>
      </c>
      <c r="G33" s="1982"/>
      <c r="H33" s="1353">
        <v>0</v>
      </c>
      <c r="I33" s="2579"/>
      <c r="J33" s="1353">
        <v>0</v>
      </c>
      <c r="K33" s="2579"/>
      <c r="L33" s="1353">
        <f t="shared" ref="L33:L46" si="4">$AA33-$B33-$D33-$F33-$H33-$J33</f>
        <v>0</v>
      </c>
      <c r="M33" s="2579"/>
      <c r="N33" s="1353"/>
      <c r="O33" s="2579"/>
      <c r="P33" s="1773"/>
      <c r="Q33" s="2579"/>
      <c r="R33" s="1773"/>
      <c r="S33" s="2579"/>
      <c r="T33" s="1773"/>
      <c r="U33" s="2579"/>
      <c r="V33" s="1773"/>
      <c r="W33" s="2579"/>
      <c r="X33" s="1773"/>
      <c r="Y33" s="2660"/>
      <c r="Z33" s="1445"/>
      <c r="AA33" s="1773">
        <v>0</v>
      </c>
      <c r="AB33" s="1963"/>
      <c r="AC33" s="1964"/>
      <c r="AD33" s="1773">
        <v>0</v>
      </c>
      <c r="AE33" s="2665"/>
      <c r="AF33" s="2666"/>
      <c r="AG33" s="2661">
        <f t="shared" si="2"/>
        <v>0</v>
      </c>
      <c r="AH33" s="1442"/>
      <c r="AI33" s="1412">
        <f t="shared" si="3"/>
        <v>0</v>
      </c>
    </row>
    <row r="34" spans="1:36" ht="14.25" customHeight="1">
      <c r="A34" s="2459" t="s">
        <v>939</v>
      </c>
      <c r="B34" s="1353">
        <v>0</v>
      </c>
      <c r="C34" s="1982"/>
      <c r="D34" s="1353">
        <v>0</v>
      </c>
      <c r="E34" s="1982"/>
      <c r="F34" s="1353">
        <v>0</v>
      </c>
      <c r="G34" s="1982"/>
      <c r="H34" s="1353">
        <v>0</v>
      </c>
      <c r="I34" s="2579"/>
      <c r="J34" s="1353">
        <v>0</v>
      </c>
      <c r="K34" s="2579"/>
      <c r="L34" s="1353">
        <f t="shared" si="4"/>
        <v>0</v>
      </c>
      <c r="M34" s="2579"/>
      <c r="N34" s="1353"/>
      <c r="O34" s="2579"/>
      <c r="P34" s="1773"/>
      <c r="Q34" s="2579"/>
      <c r="R34" s="1773"/>
      <c r="S34" s="2579"/>
      <c r="T34" s="1773"/>
      <c r="U34" s="2579"/>
      <c r="V34" s="1773"/>
      <c r="W34" s="2579"/>
      <c r="X34" s="1773"/>
      <c r="Y34" s="2660"/>
      <c r="Z34" s="1445"/>
      <c r="AA34" s="1773">
        <v>0</v>
      </c>
      <c r="AB34" s="1963"/>
      <c r="AC34" s="1964"/>
      <c r="AD34" s="1773">
        <v>0</v>
      </c>
      <c r="AE34" s="2665"/>
      <c r="AF34" s="2666"/>
      <c r="AG34" s="2661">
        <f t="shared" si="2"/>
        <v>0</v>
      </c>
      <c r="AH34" s="1442"/>
      <c r="AI34" s="1412">
        <f t="shared" si="3"/>
        <v>0</v>
      </c>
    </row>
    <row r="35" spans="1:36" ht="14.25" customHeight="1">
      <c r="A35" s="2459" t="s">
        <v>940</v>
      </c>
      <c r="B35" s="1353">
        <v>0</v>
      </c>
      <c r="C35" s="1982"/>
      <c r="D35" s="1353">
        <v>0</v>
      </c>
      <c r="E35" s="1982"/>
      <c r="F35" s="1353">
        <v>0</v>
      </c>
      <c r="G35" s="1982"/>
      <c r="H35" s="1353">
        <v>0</v>
      </c>
      <c r="I35" s="2579"/>
      <c r="J35" s="1353">
        <v>0</v>
      </c>
      <c r="K35" s="2579"/>
      <c r="L35" s="1353">
        <f t="shared" si="4"/>
        <v>0</v>
      </c>
      <c r="M35" s="2579"/>
      <c r="N35" s="1353"/>
      <c r="O35" s="2579"/>
      <c r="P35" s="1773"/>
      <c r="Q35" s="2579"/>
      <c r="R35" s="1773"/>
      <c r="S35" s="2579"/>
      <c r="T35" s="1773"/>
      <c r="U35" s="2579"/>
      <c r="V35" s="1773"/>
      <c r="W35" s="2579"/>
      <c r="X35" s="1773"/>
      <c r="Y35" s="2660"/>
      <c r="Z35" s="1445"/>
      <c r="AA35" s="1773">
        <v>0</v>
      </c>
      <c r="AB35" s="1963"/>
      <c r="AC35" s="1964"/>
      <c r="AD35" s="1773">
        <v>0</v>
      </c>
      <c r="AE35" s="2665"/>
      <c r="AF35" s="2666"/>
      <c r="AG35" s="2661">
        <f t="shared" si="2"/>
        <v>0</v>
      </c>
      <c r="AH35" s="1442"/>
      <c r="AI35" s="1412">
        <f t="shared" si="3"/>
        <v>0</v>
      </c>
    </row>
    <row r="36" spans="1:36" ht="14.25" customHeight="1">
      <c r="A36" s="2459" t="s">
        <v>941</v>
      </c>
      <c r="B36" s="1353">
        <v>0</v>
      </c>
      <c r="C36" s="1982"/>
      <c r="D36" s="1353">
        <v>0</v>
      </c>
      <c r="E36" s="1982"/>
      <c r="F36" s="1353">
        <v>0</v>
      </c>
      <c r="G36" s="1982"/>
      <c r="H36" s="1353">
        <v>0</v>
      </c>
      <c r="I36" s="2579"/>
      <c r="J36" s="1353">
        <v>0</v>
      </c>
      <c r="K36" s="2579"/>
      <c r="L36" s="1353">
        <f t="shared" si="4"/>
        <v>0</v>
      </c>
      <c r="M36" s="2579"/>
      <c r="N36" s="1353"/>
      <c r="O36" s="2579"/>
      <c r="P36" s="1773"/>
      <c r="Q36" s="2579"/>
      <c r="R36" s="1773"/>
      <c r="S36" s="2579"/>
      <c r="T36" s="1773"/>
      <c r="U36" s="2579"/>
      <c r="V36" s="1773"/>
      <c r="W36" s="2579"/>
      <c r="X36" s="1773"/>
      <c r="Y36" s="2660"/>
      <c r="Z36" s="1445"/>
      <c r="AA36" s="1773">
        <v>0</v>
      </c>
      <c r="AB36" s="1963"/>
      <c r="AC36" s="1964"/>
      <c r="AD36" s="1773">
        <v>0</v>
      </c>
      <c r="AE36" s="2665"/>
      <c r="AF36" s="2666"/>
      <c r="AG36" s="2661">
        <f t="shared" si="2"/>
        <v>0</v>
      </c>
      <c r="AH36" s="1442"/>
      <c r="AI36" s="1412">
        <f t="shared" si="3"/>
        <v>0</v>
      </c>
    </row>
    <row r="37" spans="1:36" ht="14.25" customHeight="1">
      <c r="A37" s="2459" t="s">
        <v>942</v>
      </c>
      <c r="B37" s="1353">
        <v>0</v>
      </c>
      <c r="C37" s="1982"/>
      <c r="D37" s="1353">
        <v>0</v>
      </c>
      <c r="E37" s="1982"/>
      <c r="F37" s="1353">
        <v>0</v>
      </c>
      <c r="G37" s="1982"/>
      <c r="H37" s="1353">
        <v>0</v>
      </c>
      <c r="I37" s="2579"/>
      <c r="J37" s="1353">
        <v>0</v>
      </c>
      <c r="K37" s="2579"/>
      <c r="L37" s="1353">
        <f t="shared" si="4"/>
        <v>0</v>
      </c>
      <c r="M37" s="2579"/>
      <c r="N37" s="1353"/>
      <c r="O37" s="2579"/>
      <c r="P37" s="1773"/>
      <c r="Q37" s="2579"/>
      <c r="R37" s="1773"/>
      <c r="S37" s="2579"/>
      <c r="T37" s="1773"/>
      <c r="U37" s="2579"/>
      <c r="V37" s="1773"/>
      <c r="W37" s="2579"/>
      <c r="X37" s="1773"/>
      <c r="Y37" s="2660"/>
      <c r="Z37" s="1445"/>
      <c r="AA37" s="1773">
        <v>0</v>
      </c>
      <c r="AB37" s="1963"/>
      <c r="AC37" s="1964"/>
      <c r="AD37" s="1773">
        <v>0</v>
      </c>
      <c r="AE37" s="2665"/>
      <c r="AF37" s="2666"/>
      <c r="AG37" s="2661">
        <f t="shared" si="2"/>
        <v>0</v>
      </c>
      <c r="AH37" s="1442"/>
      <c r="AI37" s="1412">
        <f t="shared" si="3"/>
        <v>0</v>
      </c>
    </row>
    <row r="38" spans="1:36" ht="14.25" customHeight="1">
      <c r="A38" s="2459" t="s">
        <v>932</v>
      </c>
      <c r="B38" s="1353">
        <v>0</v>
      </c>
      <c r="C38" s="1982"/>
      <c r="D38" s="1353">
        <v>0</v>
      </c>
      <c r="E38" s="1982"/>
      <c r="F38" s="1353">
        <v>0</v>
      </c>
      <c r="G38" s="1982"/>
      <c r="H38" s="1353">
        <v>0</v>
      </c>
      <c r="I38" s="2579"/>
      <c r="J38" s="1353">
        <v>0</v>
      </c>
      <c r="K38" s="2579"/>
      <c r="L38" s="1353">
        <f t="shared" si="4"/>
        <v>0</v>
      </c>
      <c r="M38" s="2579"/>
      <c r="N38" s="1353"/>
      <c r="O38" s="2579"/>
      <c r="P38" s="1773"/>
      <c r="Q38" s="2579"/>
      <c r="R38" s="1773"/>
      <c r="S38" s="2579"/>
      <c r="T38" s="1773"/>
      <c r="U38" s="2579"/>
      <c r="V38" s="1773"/>
      <c r="W38" s="2579"/>
      <c r="X38" s="1773"/>
      <c r="Y38" s="2660"/>
      <c r="Z38" s="1445"/>
      <c r="AA38" s="1773">
        <v>0</v>
      </c>
      <c r="AB38" s="1963"/>
      <c r="AC38" s="1964"/>
      <c r="AD38" s="1773">
        <v>0.2</v>
      </c>
      <c r="AE38" s="2665"/>
      <c r="AF38" s="2666"/>
      <c r="AG38" s="2661">
        <f t="shared" si="2"/>
        <v>-0.2</v>
      </c>
      <c r="AH38" s="1442"/>
      <c r="AI38" s="1412">
        <f>ROUND(IF(AD38=0,1,AG38/ABS(AD38)),3)</f>
        <v>-1</v>
      </c>
    </row>
    <row r="39" spans="1:36" ht="14.25" customHeight="1">
      <c r="A39" s="2459" t="s">
        <v>950</v>
      </c>
      <c r="B39" s="1353">
        <v>0</v>
      </c>
      <c r="C39" s="1982"/>
      <c r="D39" s="1353">
        <v>0.3</v>
      </c>
      <c r="E39" s="1982"/>
      <c r="F39" s="1353">
        <v>0</v>
      </c>
      <c r="G39" s="1982"/>
      <c r="H39" s="1353">
        <v>0.10000000000000003</v>
      </c>
      <c r="I39" s="2579"/>
      <c r="J39" s="1353">
        <v>0</v>
      </c>
      <c r="K39" s="2579"/>
      <c r="L39" s="1353">
        <f t="shared" si="4"/>
        <v>1.7</v>
      </c>
      <c r="M39" s="2579"/>
      <c r="N39" s="1353"/>
      <c r="O39" s="2579"/>
      <c r="P39" s="1773"/>
      <c r="Q39" s="2579"/>
      <c r="R39" s="1773"/>
      <c r="S39" s="2579"/>
      <c r="T39" s="1773"/>
      <c r="U39" s="2579"/>
      <c r="V39" s="1773"/>
      <c r="W39" s="2579"/>
      <c r="X39" s="1773"/>
      <c r="Y39" s="2660"/>
      <c r="Z39" s="1445"/>
      <c r="AA39" s="1773">
        <v>2.1</v>
      </c>
      <c r="AB39" s="1963"/>
      <c r="AC39" s="1964"/>
      <c r="AD39" s="1773">
        <v>0.5</v>
      </c>
      <c r="AE39" s="2665"/>
      <c r="AF39" s="2666"/>
      <c r="AG39" s="2661">
        <f>ROUND(SUM(AA39-AD39),1)</f>
        <v>1.6</v>
      </c>
      <c r="AH39" s="1442"/>
      <c r="AI39" s="1412">
        <f>ROUND(IF(AD39=0,0,AG39/ABS(AD39)),3)</f>
        <v>3.2</v>
      </c>
    </row>
    <row r="40" spans="1:36" ht="14.25" customHeight="1">
      <c r="A40" s="2459" t="s">
        <v>1053</v>
      </c>
      <c r="B40" s="1353"/>
      <c r="C40" s="1982"/>
      <c r="D40" s="1353"/>
      <c r="E40" s="1982"/>
      <c r="F40" s="1353"/>
      <c r="G40" s="1982"/>
      <c r="H40" s="1353"/>
      <c r="I40" s="2579"/>
      <c r="J40" s="1353"/>
      <c r="K40" s="2579"/>
      <c r="L40" s="1353"/>
      <c r="M40" s="2579"/>
      <c r="N40" s="1353"/>
      <c r="O40" s="2579"/>
      <c r="P40" s="1773"/>
      <c r="Q40" s="2579"/>
      <c r="R40" s="1773"/>
      <c r="S40" s="2579"/>
      <c r="T40" s="1773"/>
      <c r="U40" s="2579"/>
      <c r="V40" s="1773"/>
      <c r="W40" s="2579"/>
      <c r="X40" s="1773"/>
      <c r="Y40" s="2667"/>
      <c r="Z40" s="1445"/>
      <c r="AA40" s="1773" t="s">
        <v>14</v>
      </c>
      <c r="AB40" s="2142"/>
      <c r="AC40" s="3516" t="s">
        <v>14</v>
      </c>
      <c r="AD40" s="1773" t="s">
        <v>14</v>
      </c>
      <c r="AE40" s="2665"/>
      <c r="AF40" s="3820" t="s">
        <v>14</v>
      </c>
      <c r="AG40" s="3821" t="s">
        <v>14</v>
      </c>
      <c r="AH40" s="1442"/>
      <c r="AI40" s="1412" t="s">
        <v>14</v>
      </c>
    </row>
    <row r="41" spans="1:36" ht="14.25" customHeight="1">
      <c r="A41" s="2459" t="s">
        <v>977</v>
      </c>
      <c r="B41" s="1353">
        <v>0</v>
      </c>
      <c r="C41" s="1982"/>
      <c r="D41" s="1353">
        <v>0</v>
      </c>
      <c r="E41" s="1982"/>
      <c r="F41" s="1353">
        <v>0</v>
      </c>
      <c r="G41" s="1982"/>
      <c r="H41" s="1353">
        <v>0</v>
      </c>
      <c r="I41" s="2579"/>
      <c r="J41" s="1353">
        <v>0</v>
      </c>
      <c r="K41" s="2579"/>
      <c r="L41" s="1353">
        <f t="shared" si="4"/>
        <v>0</v>
      </c>
      <c r="M41" s="2579"/>
      <c r="N41" s="1353"/>
      <c r="O41" s="2579"/>
      <c r="P41" s="1773"/>
      <c r="Q41" s="2579"/>
      <c r="R41" s="1773"/>
      <c r="S41" s="2579"/>
      <c r="T41" s="1773"/>
      <c r="U41" s="2579"/>
      <c r="V41" s="1773"/>
      <c r="W41" s="2579"/>
      <c r="X41" s="1773"/>
      <c r="Y41" s="2667"/>
      <c r="Z41" s="1445"/>
      <c r="AA41" s="1773">
        <v>0</v>
      </c>
      <c r="AB41" s="2142"/>
      <c r="AC41" s="1964"/>
      <c r="AD41" s="1773">
        <v>0</v>
      </c>
      <c r="AE41" s="2665"/>
      <c r="AF41" s="2666"/>
      <c r="AG41" s="2661">
        <f>ROUND(SUM(AA41-AD41),1)</f>
        <v>0</v>
      </c>
      <c r="AH41" s="1442"/>
      <c r="AI41" s="1412">
        <f>ROUND(IF(AD41=0,0,AG41/ABS(AD41)),3)</f>
        <v>0</v>
      </c>
    </row>
    <row r="42" spans="1:36" ht="14.25" customHeight="1">
      <c r="A42" s="2459" t="s">
        <v>951</v>
      </c>
      <c r="B42" s="1353">
        <v>0</v>
      </c>
      <c r="C42" s="1982"/>
      <c r="D42" s="1353">
        <v>0</v>
      </c>
      <c r="E42" s="1982"/>
      <c r="F42" s="1353">
        <v>0</v>
      </c>
      <c r="G42" s="1982"/>
      <c r="H42" s="1353">
        <v>0</v>
      </c>
      <c r="I42" s="2579"/>
      <c r="J42" s="1353">
        <v>0</v>
      </c>
      <c r="K42" s="2579"/>
      <c r="L42" s="1353">
        <f t="shared" si="4"/>
        <v>0</v>
      </c>
      <c r="M42" s="2579"/>
      <c r="N42" s="1353"/>
      <c r="O42" s="2579"/>
      <c r="P42" s="1773"/>
      <c r="Q42" s="2579"/>
      <c r="R42" s="1773"/>
      <c r="S42" s="2579"/>
      <c r="T42" s="1773"/>
      <c r="U42" s="2579"/>
      <c r="V42" s="1773"/>
      <c r="W42" s="2579"/>
      <c r="X42" s="1773"/>
      <c r="Y42" s="2660"/>
      <c r="Z42" s="1445"/>
      <c r="AA42" s="1773">
        <v>0</v>
      </c>
      <c r="AB42" s="1963"/>
      <c r="AC42" s="1964"/>
      <c r="AD42" s="1773">
        <v>0</v>
      </c>
      <c r="AE42" s="2665"/>
      <c r="AF42" s="2666"/>
      <c r="AG42" s="2661">
        <f t="shared" si="2"/>
        <v>0</v>
      </c>
      <c r="AH42" s="1442"/>
      <c r="AI42" s="1412">
        <f t="shared" si="3"/>
        <v>0</v>
      </c>
    </row>
    <row r="43" spans="1:36" ht="14.25" customHeight="1">
      <c r="A43" s="2459" t="s">
        <v>1054</v>
      </c>
      <c r="B43" s="1353" t="s">
        <v>14</v>
      </c>
      <c r="C43" s="1982"/>
      <c r="D43" s="1353"/>
      <c r="E43" s="1982"/>
      <c r="F43" s="1353"/>
      <c r="G43" s="1982"/>
      <c r="H43" s="1353"/>
      <c r="I43" s="2579"/>
      <c r="J43" s="1353"/>
      <c r="K43" s="2579"/>
      <c r="L43" s="1353"/>
      <c r="M43" s="2579"/>
      <c r="N43" s="1353"/>
      <c r="O43" s="2579"/>
      <c r="P43" s="1773"/>
      <c r="Q43" s="2579"/>
      <c r="R43" s="1773"/>
      <c r="S43" s="2579"/>
      <c r="T43" s="1773"/>
      <c r="U43" s="2579"/>
      <c r="V43" s="1773"/>
      <c r="W43" s="2579"/>
      <c r="X43" s="1773"/>
      <c r="Y43" s="2660"/>
      <c r="Z43" s="1445"/>
      <c r="AA43" s="1773"/>
      <c r="AB43" s="1963"/>
      <c r="AC43" s="1964"/>
      <c r="AD43" s="1773"/>
      <c r="AE43" s="2665"/>
      <c r="AF43" s="2666"/>
      <c r="AG43" s="2661"/>
      <c r="AH43" s="1442"/>
      <c r="AI43" s="1444"/>
    </row>
    <row r="44" spans="1:36" ht="14.25" customHeight="1">
      <c r="A44" s="2459" t="s">
        <v>1121</v>
      </c>
      <c r="B44" s="1353">
        <v>43.2</v>
      </c>
      <c r="C44" s="1982"/>
      <c r="D44" s="1353">
        <v>38.799999999999997</v>
      </c>
      <c r="E44" s="1982"/>
      <c r="F44" s="1353">
        <v>47.800000000000011</v>
      </c>
      <c r="G44" s="1982"/>
      <c r="H44" s="1353">
        <v>34.599999999999994</v>
      </c>
      <c r="I44" s="2579"/>
      <c r="J44" s="1353">
        <v>14.100000000000009</v>
      </c>
      <c r="K44" s="2579"/>
      <c r="L44" s="1353">
        <f t="shared" si="4"/>
        <v>41.399999999999963</v>
      </c>
      <c r="M44" s="2579"/>
      <c r="N44" s="1353"/>
      <c r="O44" s="2579"/>
      <c r="P44" s="1773"/>
      <c r="Q44" s="2579"/>
      <c r="R44" s="1773"/>
      <c r="S44" s="2579"/>
      <c r="T44" s="1773"/>
      <c r="U44" s="2579"/>
      <c r="V44" s="1773"/>
      <c r="W44" s="2579"/>
      <c r="X44" s="1773"/>
      <c r="Y44" s="2660"/>
      <c r="Z44" s="1445"/>
      <c r="AA44" s="1773">
        <v>219.9</v>
      </c>
      <c r="AB44" s="1963"/>
      <c r="AC44" s="1964"/>
      <c r="AD44" s="1773">
        <v>231.4</v>
      </c>
      <c r="AE44" s="2665"/>
      <c r="AF44" s="2666"/>
      <c r="AG44" s="2661">
        <f>ROUND(SUM(AA44-AD44),1)</f>
        <v>-11.5</v>
      </c>
      <c r="AH44" s="1442"/>
      <c r="AI44" s="1451">
        <f>ROUND(IF(AD44=0,0,AG44/ABS(AD44)),3)</f>
        <v>-0.05</v>
      </c>
    </row>
    <row r="45" spans="1:36" ht="14.25" customHeight="1">
      <c r="A45" s="2459" t="s">
        <v>960</v>
      </c>
      <c r="B45" s="1353">
        <v>0</v>
      </c>
      <c r="C45" s="1982"/>
      <c r="D45" s="1353">
        <v>0</v>
      </c>
      <c r="E45" s="1982"/>
      <c r="F45" s="1353">
        <v>0</v>
      </c>
      <c r="G45" s="1982"/>
      <c r="H45" s="1353">
        <v>0</v>
      </c>
      <c r="I45" s="2579"/>
      <c r="J45" s="1353">
        <v>0.1</v>
      </c>
      <c r="K45" s="2579"/>
      <c r="L45" s="1353">
        <f t="shared" si="4"/>
        <v>0</v>
      </c>
      <c r="M45" s="2579"/>
      <c r="N45" s="1353"/>
      <c r="O45" s="2579"/>
      <c r="P45" s="1773"/>
      <c r="Q45" s="2579"/>
      <c r="R45" s="1773"/>
      <c r="S45" s="2579"/>
      <c r="T45" s="1773"/>
      <c r="U45" s="2579"/>
      <c r="V45" s="1773"/>
      <c r="W45" s="2579"/>
      <c r="X45" s="1773"/>
      <c r="Y45" s="2667"/>
      <c r="Z45" s="1445"/>
      <c r="AA45" s="1773">
        <v>0.1</v>
      </c>
      <c r="AB45" s="2142"/>
      <c r="AC45" s="1964"/>
      <c r="AD45" s="1773">
        <v>0</v>
      </c>
      <c r="AE45" s="2665"/>
      <c r="AF45" s="2666"/>
      <c r="AG45" s="2661">
        <f>ROUND(SUM(AA45-AD45),1)</f>
        <v>0.1</v>
      </c>
      <c r="AH45" s="1442"/>
      <c r="AI45" s="1412">
        <f>ROUND(IF(AD45=0,1,AG45/ABS(AD45)),3)</f>
        <v>1</v>
      </c>
    </row>
    <row r="46" spans="1:36" ht="14.25" customHeight="1">
      <c r="A46" s="2459" t="s">
        <v>961</v>
      </c>
      <c r="B46" s="1353">
        <v>0</v>
      </c>
      <c r="C46" s="1982"/>
      <c r="D46" s="1353">
        <v>0</v>
      </c>
      <c r="E46" s="1982"/>
      <c r="F46" s="1353">
        <v>0</v>
      </c>
      <c r="G46" s="1982"/>
      <c r="H46" s="1353">
        <v>0</v>
      </c>
      <c r="I46" s="2579"/>
      <c r="J46" s="1353">
        <v>0</v>
      </c>
      <c r="K46" s="2579"/>
      <c r="L46" s="1353">
        <f t="shared" si="4"/>
        <v>0</v>
      </c>
      <c r="M46" s="2579"/>
      <c r="N46" s="1353"/>
      <c r="O46" s="2579"/>
      <c r="P46" s="1773"/>
      <c r="Q46" s="2579"/>
      <c r="R46" s="1773"/>
      <c r="S46" s="2579"/>
      <c r="T46" s="1773"/>
      <c r="U46" s="2579"/>
      <c r="V46" s="1773"/>
      <c r="W46" s="2579"/>
      <c r="X46" s="1773"/>
      <c r="Y46" s="2660"/>
      <c r="Z46" s="1445"/>
      <c r="AA46" s="1773">
        <v>0</v>
      </c>
      <c r="AB46" s="1963"/>
      <c r="AC46" s="1964"/>
      <c r="AD46" s="1773">
        <v>0</v>
      </c>
      <c r="AE46" s="2665"/>
      <c r="AF46" s="2666"/>
      <c r="AG46" s="2661">
        <f>ROUND(SUM(AA46-AD46),1)</f>
        <v>0</v>
      </c>
      <c r="AH46" s="1442"/>
      <c r="AI46" s="1412">
        <f>ROUND(IF(AD46=0,0,AG46/ABS(AD46)),3)</f>
        <v>0</v>
      </c>
    </row>
    <row r="47" spans="1:36" s="2674" customFormat="1" ht="15.5">
      <c r="A47" s="2447" t="s">
        <v>996</v>
      </c>
      <c r="B47" s="2026">
        <f>ROUND(SUM(B30:B46),1)</f>
        <v>43.2</v>
      </c>
      <c r="C47" s="2668"/>
      <c r="D47" s="2026">
        <f>ROUND(SUM(D30:D46),1)</f>
        <v>39.1</v>
      </c>
      <c r="E47" s="2668"/>
      <c r="F47" s="2026">
        <f>ROUND(SUM(F30:F46),1)</f>
        <v>47.8</v>
      </c>
      <c r="G47" s="2668"/>
      <c r="H47" s="2026">
        <f>ROUND(SUM(H30:H46),1)</f>
        <v>34.700000000000003</v>
      </c>
      <c r="I47" s="2669"/>
      <c r="J47" s="2017">
        <f>ROUND(SUM(J30:J46),1)</f>
        <v>14.2</v>
      </c>
      <c r="K47" s="2669"/>
      <c r="L47" s="2017">
        <f>ROUND(SUM(L30:L46),1)</f>
        <v>43.1</v>
      </c>
      <c r="M47" s="2669"/>
      <c r="N47" s="2017">
        <f>ROUND(SUM(N30:N46),1)</f>
        <v>0</v>
      </c>
      <c r="O47" s="2669"/>
      <c r="P47" s="2017">
        <f>ROUND(SUM(P30:P46),1)</f>
        <v>0</v>
      </c>
      <c r="Q47" s="2669"/>
      <c r="R47" s="2017">
        <f>ROUND(SUM(R30:R46),1)</f>
        <v>0</v>
      </c>
      <c r="S47" s="2669"/>
      <c r="T47" s="2017">
        <f>ROUND(SUM(T30:T46),1)</f>
        <v>0</v>
      </c>
      <c r="U47" s="2669"/>
      <c r="V47" s="2001">
        <f>ROUND(SUM(V30:V46),1)</f>
        <v>0</v>
      </c>
      <c r="W47" s="2669"/>
      <c r="X47" s="2001">
        <f>ROUND(SUM(X30:X46),1)</f>
        <v>0</v>
      </c>
      <c r="Y47" s="2670"/>
      <c r="Z47" s="2669"/>
      <c r="AA47" s="2001">
        <f>ROUND(SUM(AA30:AA46),1)</f>
        <v>222.1</v>
      </c>
      <c r="AB47" s="2670"/>
      <c r="AC47" s="2669"/>
      <c r="AD47" s="2001">
        <f>ROUND(SUM(AD30:AD46),1)</f>
        <v>232.1</v>
      </c>
      <c r="AE47" s="2671"/>
      <c r="AF47" s="2672"/>
      <c r="AG47" s="2017">
        <f>ROUND(SUM(AG30:AG46),1)</f>
        <v>-10</v>
      </c>
      <c r="AH47" s="2630"/>
      <c r="AI47" s="2673">
        <f>ROUND(IF(AD47=0,0,AG47/ABS(AD47)),3)</f>
        <v>-4.2999999999999997E-2</v>
      </c>
      <c r="AJ47" s="2626"/>
    </row>
    <row r="48" spans="1:36" s="2674" customFormat="1" ht="14.25" customHeight="1">
      <c r="A48" s="2447"/>
      <c r="B48" s="1430"/>
      <c r="C48" s="2668"/>
      <c r="D48" s="1430"/>
      <c r="E48" s="2668"/>
      <c r="F48" s="1430"/>
      <c r="G48" s="2668"/>
      <c r="H48" s="1430"/>
      <c r="I48" s="2669"/>
      <c r="J48" s="1430"/>
      <c r="K48" s="2669"/>
      <c r="L48" s="1430"/>
      <c r="M48" s="2669"/>
      <c r="N48" s="1430"/>
      <c r="O48" s="2669"/>
      <c r="P48" s="1430"/>
      <c r="Q48" s="2669"/>
      <c r="R48" s="1430"/>
      <c r="S48" s="2669"/>
      <c r="T48" s="1430"/>
      <c r="U48" s="2669"/>
      <c r="V48" s="1448"/>
      <c r="W48" s="2669"/>
      <c r="X48" s="1448"/>
      <c r="Y48" s="2675"/>
      <c r="Z48" s="2669"/>
      <c r="AA48" s="1448"/>
      <c r="AB48" s="2675"/>
      <c r="AC48" s="2669"/>
      <c r="AD48" s="1448"/>
      <c r="AE48" s="2671"/>
      <c r="AF48" s="2672"/>
      <c r="AG48" s="2676"/>
      <c r="AH48" s="2630"/>
      <c r="AI48" s="2654"/>
      <c r="AJ48" s="2626"/>
    </row>
    <row r="49" spans="1:36" ht="15.5">
      <c r="A49" s="2677" t="s">
        <v>848</v>
      </c>
      <c r="B49" s="1353">
        <v>0</v>
      </c>
      <c r="C49" s="2678"/>
      <c r="D49" s="1353">
        <v>0</v>
      </c>
      <c r="E49" s="2678"/>
      <c r="F49" s="1353">
        <v>0</v>
      </c>
      <c r="G49" s="1982"/>
      <c r="H49" s="1353">
        <v>1.5</v>
      </c>
      <c r="I49" s="1962"/>
      <c r="J49" s="1353">
        <v>28.7</v>
      </c>
      <c r="K49" s="1962"/>
      <c r="L49" s="1353">
        <f t="shared" ref="L49" si="5">$AA49-$B49-$D49-$F49-$H49-$J49</f>
        <v>0</v>
      </c>
      <c r="M49" s="1962"/>
      <c r="N49" s="1353"/>
      <c r="O49" s="1962"/>
      <c r="P49" s="1773"/>
      <c r="Q49" s="1962"/>
      <c r="R49" s="1773"/>
      <c r="S49" s="1962"/>
      <c r="T49" s="1773"/>
      <c r="U49" s="1962"/>
      <c r="V49" s="1773"/>
      <c r="W49" s="1962"/>
      <c r="X49" s="1773"/>
      <c r="Y49" s="2679"/>
      <c r="Z49" s="1962"/>
      <c r="AA49" s="2680">
        <v>30.2</v>
      </c>
      <c r="AB49" s="2679"/>
      <c r="AC49" s="1962"/>
      <c r="AD49" s="2680">
        <v>24.4</v>
      </c>
      <c r="AE49" s="2665"/>
      <c r="AF49" s="2666"/>
      <c r="AG49" s="2681">
        <f>ROUND(SUM(AA49-AD49),1)</f>
        <v>5.8</v>
      </c>
      <c r="AH49" s="1442"/>
      <c r="AI49" s="1413">
        <f>ROUND(IF(AD49=0,1,AG49/ABS(AD49)),3)</f>
        <v>0.23799999999999999</v>
      </c>
    </row>
    <row r="50" spans="1:36" ht="12" customHeight="1">
      <c r="A50" s="1445"/>
      <c r="B50" s="2682"/>
      <c r="C50" s="1982"/>
      <c r="D50" s="2682"/>
      <c r="E50" s="1982"/>
      <c r="F50" s="2682"/>
      <c r="G50" s="1982"/>
      <c r="H50" s="2682"/>
      <c r="I50" s="1962"/>
      <c r="J50" s="2683"/>
      <c r="K50" s="1962"/>
      <c r="L50" s="2683"/>
      <c r="M50" s="1962"/>
      <c r="N50" s="2683"/>
      <c r="O50" s="1962"/>
      <c r="P50" s="2683"/>
      <c r="Q50" s="1962"/>
      <c r="R50" s="2683"/>
      <c r="S50" s="1962"/>
      <c r="T50" s="2683"/>
      <c r="U50" s="1962"/>
      <c r="V50" s="2683"/>
      <c r="W50" s="1962"/>
      <c r="X50" s="2683"/>
      <c r="Y50" s="2679"/>
      <c r="Z50" s="1962"/>
      <c r="AA50" s="1982"/>
      <c r="AB50" s="2679"/>
      <c r="AC50" s="1962"/>
      <c r="AD50" s="1982"/>
      <c r="AE50" s="2665"/>
      <c r="AF50" s="2666"/>
      <c r="AG50" s="2661"/>
      <c r="AH50" s="1442"/>
      <c r="AI50" s="1445"/>
    </row>
    <row r="51" spans="1:36" ht="14.25" customHeight="1">
      <c r="A51" s="2447" t="s">
        <v>186</v>
      </c>
      <c r="B51" s="2684">
        <f>B26+B47+B49</f>
        <v>4299</v>
      </c>
      <c r="C51" s="2685"/>
      <c r="D51" s="2684">
        <f>ROUND(SUM(D26+D47+D49),1)</f>
        <v>5951</v>
      </c>
      <c r="E51" s="2686"/>
      <c r="F51" s="2684">
        <f>ROUND(SUM(F26+F47+F49),1)</f>
        <v>4280.3999999999996</v>
      </c>
      <c r="G51" s="2686"/>
      <c r="H51" s="2684">
        <f>ROUND(SUM(H26+H47+H49),1)</f>
        <v>2822.2</v>
      </c>
      <c r="I51" s="2687"/>
      <c r="J51" s="2688">
        <f>ROUND(SUM(J26+J47+J49),1)</f>
        <v>3021.9</v>
      </c>
      <c r="K51" s="2687"/>
      <c r="L51" s="2688">
        <f>ROUND(SUM(L26+L47+L49),1)</f>
        <v>4624.1000000000004</v>
      </c>
      <c r="M51" s="2687"/>
      <c r="N51" s="2688">
        <f>ROUND(SUM(N26+N47+N49),1)</f>
        <v>0</v>
      </c>
      <c r="O51" s="2687"/>
      <c r="P51" s="2688">
        <f>ROUND(SUM(P26+P47+P49),1)</f>
        <v>0</v>
      </c>
      <c r="Q51" s="2687"/>
      <c r="R51" s="2688">
        <f>ROUND(SUM(R26+R47+R49),1)</f>
        <v>0</v>
      </c>
      <c r="S51" s="2687"/>
      <c r="T51" s="2688">
        <f>ROUND(SUM(T26+T47+T49),1)</f>
        <v>0</v>
      </c>
      <c r="U51" s="2687"/>
      <c r="V51" s="2688">
        <f>ROUND(SUM(V26+V47+V49),1)</f>
        <v>0</v>
      </c>
      <c r="W51" s="2687"/>
      <c r="X51" s="2688">
        <f>ROUND(SUM(X26+X47+X49),1)</f>
        <v>0</v>
      </c>
      <c r="Y51" s="2670"/>
      <c r="Z51" s="2669"/>
      <c r="AA51" s="2688">
        <f>ROUND(SUM(AA26+AA47+AA49),1)</f>
        <v>24998.6</v>
      </c>
      <c r="AB51" s="2670"/>
      <c r="AC51" s="2669"/>
      <c r="AD51" s="2688">
        <f>ROUND(SUM(AD26+AD47+AD49),1)</f>
        <v>17120.400000000001</v>
      </c>
      <c r="AE51" s="2671"/>
      <c r="AF51" s="2672"/>
      <c r="AG51" s="2688">
        <f>ROUND(SUM(AG26+AG47+AG49),1)</f>
        <v>7878.2</v>
      </c>
      <c r="AH51" s="2630"/>
      <c r="AI51" s="1443">
        <f>ROUND(IF(AD51=0,0,AG51/ABS(AD51)),3)</f>
        <v>0.46</v>
      </c>
      <c r="AJ51" s="2689"/>
    </row>
    <row r="52" spans="1:36" ht="19.5" customHeight="1">
      <c r="A52" s="1445"/>
      <c r="B52" s="1982"/>
      <c r="C52" s="1982"/>
      <c r="D52" s="1982"/>
      <c r="E52" s="1982"/>
      <c r="F52" s="1982"/>
      <c r="G52" s="1982"/>
      <c r="H52" s="1982"/>
      <c r="I52" s="1962"/>
      <c r="J52" s="1962"/>
      <c r="K52" s="1962"/>
      <c r="L52" s="1962"/>
      <c r="M52" s="1962"/>
      <c r="N52" s="1962"/>
      <c r="O52" s="1962"/>
      <c r="P52" s="1962"/>
      <c r="Q52" s="1962"/>
      <c r="R52" s="1962"/>
      <c r="S52" s="1962"/>
      <c r="T52" s="1962"/>
      <c r="U52" s="1962"/>
      <c r="V52" s="1962"/>
      <c r="W52" s="1962"/>
      <c r="X52" s="1962"/>
      <c r="Y52" s="2679"/>
      <c r="Z52" s="1962"/>
      <c r="AA52" s="1982"/>
      <c r="AB52" s="2679"/>
      <c r="AC52" s="1962"/>
      <c r="AD52" s="1982"/>
      <c r="AE52" s="2665"/>
      <c r="AF52" s="2666"/>
      <c r="AG52" s="2661"/>
      <c r="AH52" s="1442"/>
      <c r="AI52" s="1445"/>
    </row>
    <row r="53" spans="1:36" ht="15.5">
      <c r="A53" s="2690" t="s">
        <v>187</v>
      </c>
      <c r="B53" s="1982"/>
      <c r="C53" s="1982"/>
      <c r="D53" s="1982"/>
      <c r="E53" s="1982"/>
      <c r="F53" s="1982"/>
      <c r="G53" s="1982"/>
      <c r="H53" s="1982"/>
      <c r="I53" s="1962"/>
      <c r="J53" s="1962"/>
      <c r="K53" s="1962"/>
      <c r="L53" s="1962"/>
      <c r="M53" s="1962"/>
      <c r="N53" s="1962"/>
      <c r="O53" s="1962"/>
      <c r="P53" s="1962"/>
      <c r="Q53" s="1962"/>
      <c r="R53" s="1962"/>
      <c r="S53" s="1962"/>
      <c r="T53" s="1962"/>
      <c r="U53" s="1962"/>
      <c r="V53" s="1962"/>
      <c r="W53" s="1962"/>
      <c r="X53" s="1962"/>
      <c r="Y53" s="2679"/>
      <c r="Z53" s="1962"/>
      <c r="AA53" s="1982"/>
      <c r="AB53" s="2679"/>
      <c r="AC53" s="1962"/>
      <c r="AD53" s="1982"/>
      <c r="AE53" s="2665"/>
      <c r="AF53" s="2666"/>
      <c r="AG53" s="2661"/>
      <c r="AH53" s="1442"/>
      <c r="AI53" s="1445"/>
    </row>
    <row r="54" spans="1:36" ht="14.25" customHeight="1">
      <c r="A54" s="2691" t="s">
        <v>151</v>
      </c>
      <c r="B54" s="1982"/>
      <c r="C54" s="1982"/>
      <c r="D54" s="1982"/>
      <c r="E54" s="1982"/>
      <c r="F54" s="1982"/>
      <c r="G54" s="1982"/>
      <c r="H54" s="1982"/>
      <c r="I54" s="1962"/>
      <c r="J54" s="1962"/>
      <c r="K54" s="1962"/>
      <c r="L54" s="1962"/>
      <c r="M54" s="1962"/>
      <c r="N54" s="1962"/>
      <c r="O54" s="1962"/>
      <c r="P54" s="1962"/>
      <c r="Q54" s="1962"/>
      <c r="R54" s="1962"/>
      <c r="S54" s="1962"/>
      <c r="T54" s="1962"/>
      <c r="U54" s="1962"/>
      <c r="V54" s="1962"/>
      <c r="W54" s="1962"/>
      <c r="X54" s="1962"/>
      <c r="Y54" s="2679"/>
      <c r="Z54" s="1962"/>
      <c r="AA54" s="1982"/>
      <c r="AB54" s="2679"/>
      <c r="AC54" s="1962"/>
      <c r="AD54" s="1982"/>
      <c r="AE54" s="2665"/>
      <c r="AF54" s="2666"/>
      <c r="AG54" s="2661"/>
      <c r="AH54" s="1442"/>
      <c r="AI54" s="1445"/>
    </row>
    <row r="55" spans="1:36" ht="14.25" customHeight="1">
      <c r="A55" s="2691" t="s">
        <v>37</v>
      </c>
      <c r="B55" s="1353">
        <v>0.2</v>
      </c>
      <c r="C55" s="1982"/>
      <c r="D55" s="1353">
        <v>2.1999999999999997</v>
      </c>
      <c r="E55" s="2692"/>
      <c r="F55" s="1353">
        <v>-25.799999999999997</v>
      </c>
      <c r="G55" s="1982"/>
      <c r="H55" s="1353">
        <v>14.7</v>
      </c>
      <c r="I55" s="1962"/>
      <c r="J55" s="1353">
        <v>7.2999999999999972</v>
      </c>
      <c r="K55" s="1962"/>
      <c r="L55" s="1353">
        <f>$AA55-$B55-$D55-$F55-$H55-$J55</f>
        <v>2.1999999999999993</v>
      </c>
      <c r="M55" s="1962"/>
      <c r="N55" s="1353"/>
      <c r="O55" s="1962"/>
      <c r="P55" s="1773"/>
      <c r="Q55" s="1962"/>
      <c r="R55" s="1773"/>
      <c r="S55" s="1962"/>
      <c r="T55" s="1773"/>
      <c r="U55" s="1962"/>
      <c r="V55" s="1773"/>
      <c r="W55" s="1962"/>
      <c r="X55" s="1773"/>
      <c r="Y55" s="2679"/>
      <c r="Z55" s="1962"/>
      <c r="AA55" s="1968">
        <v>0.8</v>
      </c>
      <c r="AB55" s="2679"/>
      <c r="AC55" s="1962"/>
      <c r="AD55" s="1968">
        <v>29.6</v>
      </c>
      <c r="AE55" s="2665"/>
      <c r="AF55" s="2666"/>
      <c r="AG55" s="2661">
        <f>ROUND(SUM(AA55-AD55),1)</f>
        <v>-28.8</v>
      </c>
      <c r="AH55" s="1442"/>
      <c r="AI55" s="1451">
        <f>ROUND(IF(AD55=0,1,AG55/ABS(AD55)),3)</f>
        <v>-0.97299999999999998</v>
      </c>
    </row>
    <row r="56" spans="1:36" ht="14.25" customHeight="1">
      <c r="A56" s="2693" t="s">
        <v>1292</v>
      </c>
      <c r="B56" s="1353" t="s">
        <v>14</v>
      </c>
      <c r="C56" s="1982"/>
      <c r="D56" s="1353"/>
      <c r="E56" s="1982"/>
      <c r="F56" s="1353"/>
      <c r="G56" s="1982"/>
      <c r="H56" s="1353"/>
      <c r="I56" s="1962"/>
      <c r="J56" s="1353"/>
      <c r="K56" s="1962"/>
      <c r="L56" s="1353"/>
      <c r="M56" s="1962"/>
      <c r="N56" s="1353"/>
      <c r="O56" s="1962"/>
      <c r="P56" s="1773"/>
      <c r="Q56" s="1962"/>
      <c r="R56" s="1773"/>
      <c r="S56" s="1962"/>
      <c r="T56" s="1773"/>
      <c r="U56" s="1962"/>
      <c r="V56" s="1773"/>
      <c r="W56" s="1962"/>
      <c r="X56" s="1773"/>
      <c r="Y56" s="2679"/>
      <c r="Z56" s="1962"/>
      <c r="AA56" s="1982"/>
      <c r="AB56" s="2679"/>
      <c r="AC56" s="1962"/>
      <c r="AD56" s="1982"/>
      <c r="AE56" s="2665"/>
      <c r="AF56" s="2666"/>
      <c r="AG56" s="2661"/>
      <c r="AH56" s="1442"/>
      <c r="AI56" s="1445"/>
    </row>
    <row r="57" spans="1:36" ht="14.25" customHeight="1">
      <c r="A57" s="2694" t="s">
        <v>1060</v>
      </c>
      <c r="B57" s="1353">
        <v>122.4</v>
      </c>
      <c r="C57" s="1982"/>
      <c r="D57" s="1353">
        <v>40.5</v>
      </c>
      <c r="E57" s="1982"/>
      <c r="F57" s="1353">
        <v>-21.800000000000011</v>
      </c>
      <c r="G57" s="1982"/>
      <c r="H57" s="1353">
        <v>7.2</v>
      </c>
      <c r="I57" s="1962"/>
      <c r="J57" s="1353">
        <v>307.70000000000005</v>
      </c>
      <c r="K57" s="1962"/>
      <c r="L57" s="1353">
        <f>$AA57-$B57-$D57-$F57-$H57-$J57</f>
        <v>742.19999999999982</v>
      </c>
      <c r="M57" s="1962"/>
      <c r="N57" s="1353"/>
      <c r="O57" s="1962"/>
      <c r="P57" s="1773"/>
      <c r="Q57" s="1962"/>
      <c r="R57" s="1773"/>
      <c r="S57" s="1962"/>
      <c r="T57" s="1773"/>
      <c r="U57" s="1962"/>
      <c r="V57" s="1773"/>
      <c r="W57" s="1962"/>
      <c r="X57" s="1773"/>
      <c r="Y57" s="2679"/>
      <c r="Z57" s="1962"/>
      <c r="AA57" s="2695">
        <v>1198.2</v>
      </c>
      <c r="AB57" s="2679"/>
      <c r="AC57" s="1962"/>
      <c r="AD57" s="2695">
        <v>1279</v>
      </c>
      <c r="AE57" s="2665"/>
      <c r="AF57" s="2666"/>
      <c r="AG57" s="2696">
        <f>ROUND(SUM(AA57-AD57),1)</f>
        <v>-80.8</v>
      </c>
      <c r="AH57" s="1442"/>
      <c r="AI57" s="1413">
        <f>ROUND(IF(AD57=0,0,AG57/ABS(AD57)),3)</f>
        <v>-6.3E-2</v>
      </c>
    </row>
    <row r="58" spans="1:36" ht="15.5">
      <c r="A58" s="1445"/>
      <c r="B58" s="2682"/>
      <c r="C58" s="1982"/>
      <c r="D58" s="2682"/>
      <c r="E58" s="1982"/>
      <c r="F58" s="2682"/>
      <c r="G58" s="1982"/>
      <c r="H58" s="2682"/>
      <c r="I58" s="1962"/>
      <c r="J58" s="2683"/>
      <c r="K58" s="1962"/>
      <c r="L58" s="2683"/>
      <c r="M58" s="1962"/>
      <c r="N58" s="2683"/>
      <c r="O58" s="1962"/>
      <c r="P58" s="2683"/>
      <c r="Q58" s="1962"/>
      <c r="R58" s="2683"/>
      <c r="S58" s="1962"/>
      <c r="T58" s="2683"/>
      <c r="U58" s="1962"/>
      <c r="V58" s="2683"/>
      <c r="W58" s="1962"/>
      <c r="X58" s="2683"/>
      <c r="Y58" s="2679"/>
      <c r="Z58" s="1962"/>
      <c r="AA58" s="1982"/>
      <c r="AB58" s="2679"/>
      <c r="AC58" s="1962"/>
      <c r="AD58" s="1982"/>
      <c r="AE58" s="2665"/>
      <c r="AF58" s="2666"/>
      <c r="AG58" s="2661"/>
      <c r="AH58" s="1442"/>
      <c r="AI58" s="1445"/>
    </row>
    <row r="59" spans="1:36" ht="14.25" customHeight="1">
      <c r="A59" s="2690" t="s">
        <v>188</v>
      </c>
      <c r="B59" s="2684">
        <f>ROUND(SUM(B55:B57),1)</f>
        <v>122.6</v>
      </c>
      <c r="C59" s="2685"/>
      <c r="D59" s="2684">
        <f>ROUND(SUM(D55:D57),1)</f>
        <v>42.7</v>
      </c>
      <c r="E59" s="2686"/>
      <c r="F59" s="2684">
        <f>ROUND(SUM(F55:F57),1)</f>
        <v>-47.6</v>
      </c>
      <c r="G59" s="2686"/>
      <c r="H59" s="2684">
        <f>ROUND(SUM(H55:H57),1)</f>
        <v>21.9</v>
      </c>
      <c r="I59" s="2687"/>
      <c r="J59" s="2688">
        <f>ROUND(SUM(J55:J57),1)</f>
        <v>315</v>
      </c>
      <c r="K59" s="2687"/>
      <c r="L59" s="2688">
        <f>ROUND(SUM(L55:L57),1)</f>
        <v>744.4</v>
      </c>
      <c r="M59" s="2687"/>
      <c r="N59" s="2688">
        <f>ROUND(SUM(N55:N57),1)</f>
        <v>0</v>
      </c>
      <c r="O59" s="2687"/>
      <c r="P59" s="2688">
        <f>ROUND(SUM(P55:P57),1)</f>
        <v>0</v>
      </c>
      <c r="Q59" s="2687"/>
      <c r="R59" s="2688">
        <f>ROUND(SUM(R55:R57),1)</f>
        <v>0</v>
      </c>
      <c r="S59" s="2687"/>
      <c r="T59" s="2688">
        <f>ROUND(SUM(T55:T57),1)</f>
        <v>0</v>
      </c>
      <c r="U59" s="2687"/>
      <c r="V59" s="2688">
        <f>ROUND(SUM(V55:V57),1)</f>
        <v>0</v>
      </c>
      <c r="W59" s="2687"/>
      <c r="X59" s="2688">
        <f>ROUND(SUM(X55:X57),1)</f>
        <v>0</v>
      </c>
      <c r="Y59" s="2670"/>
      <c r="Z59" s="2669"/>
      <c r="AA59" s="2688">
        <f>ROUND(SUM(AA55:AA57),1)</f>
        <v>1199</v>
      </c>
      <c r="AB59" s="2670"/>
      <c r="AC59" s="2669"/>
      <c r="AD59" s="2688">
        <f>ROUND(SUM(AD55:AD57),1)</f>
        <v>1308.5999999999999</v>
      </c>
      <c r="AE59" s="2671"/>
      <c r="AF59" s="2672"/>
      <c r="AG59" s="2688">
        <f>ROUND(SUM(AG55:AG57),1)</f>
        <v>-109.6</v>
      </c>
      <c r="AH59" s="2630"/>
      <c r="AI59" s="1443">
        <f>ROUND(IF(AD59=0,0,AG59/ABS(AD59)),3)</f>
        <v>-8.4000000000000005E-2</v>
      </c>
      <c r="AJ59" s="2697"/>
    </row>
    <row r="60" spans="1:36" ht="12" customHeight="1">
      <c r="A60" s="1445"/>
      <c r="B60" s="1982"/>
      <c r="C60" s="1982"/>
      <c r="D60" s="2698"/>
      <c r="E60" s="2698"/>
      <c r="F60" s="2698"/>
      <c r="G60" s="2698"/>
      <c r="H60" s="2698"/>
      <c r="I60" s="2699"/>
      <c r="J60" s="2699"/>
      <c r="K60" s="2699"/>
      <c r="L60" s="2699"/>
      <c r="M60" s="2699"/>
      <c r="N60" s="2699"/>
      <c r="O60" s="2699"/>
      <c r="P60" s="2699"/>
      <c r="Q60" s="2699"/>
      <c r="R60" s="2699"/>
      <c r="S60" s="2699"/>
      <c r="T60" s="2699"/>
      <c r="U60" s="2699"/>
      <c r="V60" s="2699"/>
      <c r="W60" s="2699"/>
      <c r="X60" s="2699"/>
      <c r="Y60" s="2679"/>
      <c r="Z60" s="1962"/>
      <c r="AA60" s="1982"/>
      <c r="AB60" s="2679"/>
      <c r="AC60" s="1962"/>
      <c r="AD60" s="1982"/>
      <c r="AE60" s="2665"/>
      <c r="AF60" s="2666"/>
      <c r="AG60" s="2661"/>
      <c r="AH60" s="1442"/>
      <c r="AI60" s="1445"/>
    </row>
    <row r="61" spans="1:36" ht="14.25" customHeight="1">
      <c r="A61" s="2690" t="s">
        <v>43</v>
      </c>
      <c r="B61" s="1982"/>
      <c r="C61" s="1982"/>
      <c r="D61" s="2698"/>
      <c r="E61" s="2698"/>
      <c r="F61" s="2698"/>
      <c r="G61" s="2698"/>
      <c r="H61" s="2698"/>
      <c r="I61" s="2699"/>
      <c r="J61" s="2699"/>
      <c r="K61" s="2699"/>
      <c r="L61" s="2699"/>
      <c r="M61" s="2699"/>
      <c r="N61" s="2699"/>
      <c r="O61" s="2699"/>
      <c r="P61" s="2699"/>
      <c r="Q61" s="2699"/>
      <c r="R61" s="2699"/>
      <c r="S61" s="2699"/>
      <c r="T61" s="2699"/>
      <c r="U61" s="2699"/>
      <c r="V61" s="2699"/>
      <c r="W61" s="2699"/>
      <c r="X61" s="2699"/>
      <c r="Y61" s="2679"/>
      <c r="Z61" s="1962"/>
      <c r="AA61" s="1982"/>
      <c r="AB61" s="2679"/>
      <c r="AC61" s="1962"/>
      <c r="AD61" s="1982"/>
      <c r="AE61" s="2665"/>
      <c r="AF61" s="2666"/>
      <c r="AG61" s="2661"/>
      <c r="AH61" s="1442"/>
      <c r="AI61" s="1445"/>
    </row>
    <row r="62" spans="1:36" ht="14.25" customHeight="1">
      <c r="A62" s="2447" t="s">
        <v>189</v>
      </c>
      <c r="B62" s="2684">
        <f>ROUND(SUM(B51-B59),1)</f>
        <v>4176.3999999999996</v>
      </c>
      <c r="C62" s="2685"/>
      <c r="D62" s="2684">
        <f>ROUND(SUM(D51-D59),1)</f>
        <v>5908.3</v>
      </c>
      <c r="E62" s="2700"/>
      <c r="F62" s="2684">
        <f>ROUND(SUM(F51-F59),1)</f>
        <v>4328</v>
      </c>
      <c r="G62" s="2686"/>
      <c r="H62" s="2684">
        <f>ROUND(SUM(H51-H59),1)</f>
        <v>2800.3</v>
      </c>
      <c r="I62" s="2687"/>
      <c r="J62" s="2688">
        <f>ROUND(SUM(J51-J59),1)</f>
        <v>2706.9</v>
      </c>
      <c r="K62" s="2687"/>
      <c r="L62" s="2688">
        <f>ROUND(SUM(L51-L59),1)</f>
        <v>3879.7</v>
      </c>
      <c r="M62" s="2687"/>
      <c r="N62" s="2688">
        <f>ROUND(SUM(N51-N59),1)</f>
        <v>0</v>
      </c>
      <c r="O62" s="2687"/>
      <c r="P62" s="2688">
        <f>ROUND(SUM(P51-P59),1)</f>
        <v>0</v>
      </c>
      <c r="Q62" s="2687"/>
      <c r="R62" s="2688">
        <f>ROUND(SUM(R51-R59),1)</f>
        <v>0</v>
      </c>
      <c r="S62" s="2687"/>
      <c r="T62" s="2688">
        <f>ROUND(SUM(T51-T59),1)</f>
        <v>0</v>
      </c>
      <c r="U62" s="2687"/>
      <c r="V62" s="2688">
        <f>ROUND(SUM(V51-V59),1)</f>
        <v>0</v>
      </c>
      <c r="W62" s="2687"/>
      <c r="X62" s="2688">
        <f>ROUND(SUM(X51-X59),1)</f>
        <v>0</v>
      </c>
      <c r="Y62" s="2670"/>
      <c r="Z62" s="2669"/>
      <c r="AA62" s="2688">
        <f>ROUND(SUM(AA51-AA59),1)</f>
        <v>23799.599999999999</v>
      </c>
      <c r="AB62" s="2670"/>
      <c r="AC62" s="2669"/>
      <c r="AD62" s="2688">
        <f>ROUND(SUM(AD51-AD59),1)</f>
        <v>15811.8</v>
      </c>
      <c r="AE62" s="2671"/>
      <c r="AF62" s="2672"/>
      <c r="AG62" s="2688">
        <f>ROUND(SUM(+AG51-AG59),1)</f>
        <v>7987.8</v>
      </c>
      <c r="AH62" s="2630"/>
      <c r="AI62" s="1443">
        <f>ROUND(IF(AD62=0,0,AG62/ABS(AD62)),3)</f>
        <v>0.505</v>
      </c>
      <c r="AJ62" s="2689"/>
    </row>
    <row r="63" spans="1:36" ht="19.5" customHeight="1">
      <c r="A63" s="1445"/>
      <c r="B63" s="2678"/>
      <c r="C63" s="1982"/>
      <c r="D63" s="1982"/>
      <c r="E63" s="1982"/>
      <c r="F63" s="1982"/>
      <c r="G63" s="1982"/>
      <c r="H63" s="1982"/>
      <c r="I63" s="1962"/>
      <c r="J63" s="1962"/>
      <c r="K63" s="1962"/>
      <c r="L63" s="1962"/>
      <c r="M63" s="1962"/>
      <c r="N63" s="1962"/>
      <c r="O63" s="1962"/>
      <c r="P63" s="1962"/>
      <c r="Q63" s="1962"/>
      <c r="R63" s="1962"/>
      <c r="S63" s="1962"/>
      <c r="T63" s="1962"/>
      <c r="U63" s="1962"/>
      <c r="V63" s="1962"/>
      <c r="W63" s="1962"/>
      <c r="X63" s="1962"/>
      <c r="Y63" s="2679"/>
      <c r="Z63" s="1962"/>
      <c r="AA63" s="2678"/>
      <c r="AB63" s="2679"/>
      <c r="AC63" s="1962"/>
      <c r="AD63" s="2678"/>
      <c r="AE63" s="2665"/>
      <c r="AF63" s="2666"/>
      <c r="AG63" s="2661"/>
      <c r="AH63" s="1442"/>
      <c r="AI63" s="1445"/>
    </row>
    <row r="64" spans="1:36" ht="19.5" customHeight="1">
      <c r="A64" s="1445"/>
      <c r="B64" s="1982"/>
      <c r="C64" s="1982"/>
      <c r="D64" s="1982"/>
      <c r="E64" s="1982"/>
      <c r="F64" s="1982"/>
      <c r="G64" s="1982"/>
      <c r="H64" s="1982"/>
      <c r="I64" s="1962"/>
      <c r="J64" s="1962"/>
      <c r="K64" s="1962"/>
      <c r="L64" s="1962"/>
      <c r="M64" s="1962"/>
      <c r="N64" s="1962"/>
      <c r="O64" s="1962"/>
      <c r="P64" s="1962"/>
      <c r="Q64" s="1962"/>
      <c r="R64" s="1962"/>
      <c r="S64" s="1962"/>
      <c r="T64" s="3818" t="s">
        <v>14</v>
      </c>
      <c r="U64" s="1962"/>
      <c r="V64" s="3818" t="s">
        <v>14</v>
      </c>
      <c r="W64" s="1962"/>
      <c r="X64" s="3818" t="s">
        <v>14</v>
      </c>
      <c r="Y64" s="2679"/>
      <c r="Z64" s="1962"/>
      <c r="AA64" s="1982"/>
      <c r="AB64" s="2679"/>
      <c r="AC64" s="1962"/>
      <c r="AD64" s="1982"/>
      <c r="AE64" s="2665"/>
      <c r="AF64" s="2666"/>
      <c r="AG64" s="2661"/>
      <c r="AH64" s="1442"/>
      <c r="AI64" s="1445"/>
    </row>
    <row r="65" spans="1:38" ht="14.25" customHeight="1">
      <c r="A65" s="2690" t="s">
        <v>45</v>
      </c>
      <c r="B65" s="1982"/>
      <c r="C65" s="1982"/>
      <c r="D65" s="1982"/>
      <c r="E65" s="1982"/>
      <c r="F65" s="1982"/>
      <c r="G65" s="1982"/>
      <c r="H65" s="1982"/>
      <c r="I65" s="1962"/>
      <c r="J65" s="1962"/>
      <c r="K65" s="1962"/>
      <c r="L65" s="1962"/>
      <c r="M65" s="1962"/>
      <c r="N65" s="1962"/>
      <c r="O65" s="1962"/>
      <c r="P65" s="1962"/>
      <c r="Q65" s="1962"/>
      <c r="R65" s="1962"/>
      <c r="S65" s="1962"/>
      <c r="T65" s="1962"/>
      <c r="U65" s="1962"/>
      <c r="V65" s="1962"/>
      <c r="W65" s="1962"/>
      <c r="X65" s="1962"/>
      <c r="Y65" s="2679"/>
      <c r="Z65" s="1962"/>
      <c r="AA65" s="1982"/>
      <c r="AB65" s="2679"/>
      <c r="AC65" s="1962"/>
      <c r="AD65" s="1982"/>
      <c r="AE65" s="2665"/>
      <c r="AF65" s="2666"/>
      <c r="AG65" s="2661"/>
      <c r="AH65" s="1442"/>
      <c r="AI65" s="1445"/>
    </row>
    <row r="66" spans="1:38" ht="14.25" customHeight="1">
      <c r="A66" s="2691" t="s">
        <v>180</v>
      </c>
      <c r="B66" s="1353">
        <v>295.89999999999998</v>
      </c>
      <c r="C66" s="1982"/>
      <c r="D66" s="1353">
        <v>6</v>
      </c>
      <c r="E66" s="1982"/>
      <c r="F66" s="1353">
        <v>133.80000000000001</v>
      </c>
      <c r="G66" s="1982"/>
      <c r="H66" s="1353">
        <v>185.5</v>
      </c>
      <c r="I66" s="1962"/>
      <c r="J66" s="1353">
        <v>51.599999999999966</v>
      </c>
      <c r="K66" s="1962"/>
      <c r="L66" s="1353">
        <f t="shared" ref="L66:L67" si="6">$AA66-$B66-$D66-$F66-$H66-$J66</f>
        <v>94.600000000000023</v>
      </c>
      <c r="M66" s="1962"/>
      <c r="N66" s="1353"/>
      <c r="O66" s="1962"/>
      <c r="P66" s="1773"/>
      <c r="Q66" s="1962"/>
      <c r="R66" s="1773"/>
      <c r="S66" s="1962"/>
      <c r="T66" s="1773"/>
      <c r="U66" s="1962"/>
      <c r="V66" s="1773"/>
      <c r="W66" s="1962"/>
      <c r="X66" s="1773"/>
      <c r="Y66" s="2679"/>
      <c r="Z66" s="1962"/>
      <c r="AA66" s="1968">
        <v>767.4</v>
      </c>
      <c r="AB66" s="2679"/>
      <c r="AC66" s="1962"/>
      <c r="AD66" s="1968">
        <v>1057.5</v>
      </c>
      <c r="AE66" s="2665"/>
      <c r="AF66" s="2666"/>
      <c r="AG66" s="2661">
        <f>ROUND(SUM(AA66-AD66),1)</f>
        <v>-290.10000000000002</v>
      </c>
      <c r="AH66" s="1442"/>
      <c r="AI66" s="1412">
        <f>ROUND(IF(AD66=0,0,AG66/ABS(AD66)),3)</f>
        <v>-0.27400000000000002</v>
      </c>
    </row>
    <row r="67" spans="1:38" ht="14.25" customHeight="1">
      <c r="A67" s="2691" t="s">
        <v>190</v>
      </c>
      <c r="B67" s="1353">
        <v>-4330.8</v>
      </c>
      <c r="C67" s="1982"/>
      <c r="D67" s="1353">
        <v>-5817.9000000000005</v>
      </c>
      <c r="E67" s="1982"/>
      <c r="F67" s="1353">
        <v>-4527.0000000000009</v>
      </c>
      <c r="G67" s="1982"/>
      <c r="H67" s="1353">
        <v>-2677.4</v>
      </c>
      <c r="I67" s="1962"/>
      <c r="J67" s="1353">
        <v>-2322.5000000000005</v>
      </c>
      <c r="K67" s="1962"/>
      <c r="L67" s="1353">
        <f t="shared" si="6"/>
        <v>-4772.1999999999989</v>
      </c>
      <c r="M67" s="1962"/>
      <c r="N67" s="1353"/>
      <c r="O67" s="1962"/>
      <c r="P67" s="1773"/>
      <c r="Q67" s="1962"/>
      <c r="R67" s="1773"/>
      <c r="S67" s="1962"/>
      <c r="T67" s="1773"/>
      <c r="U67" s="1962"/>
      <c r="V67" s="1773"/>
      <c r="W67" s="1962"/>
      <c r="X67" s="1773"/>
      <c r="Y67" s="2679"/>
      <c r="Z67" s="1962"/>
      <c r="AA67" s="2701">
        <v>-24447.8</v>
      </c>
      <c r="AB67" s="2679"/>
      <c r="AC67" s="1962"/>
      <c r="AD67" s="2701">
        <v>-14595.4</v>
      </c>
      <c r="AE67" s="2665"/>
      <c r="AF67" s="2666"/>
      <c r="AG67" s="2696">
        <f>ROUND(SUM(-(AA67-AD67)),1)</f>
        <v>9852.4</v>
      </c>
      <c r="AH67" s="1442"/>
      <c r="AI67" s="1413">
        <f>ROUND(IF(AD67=0,0,AG67/ABS(AD67)),3)</f>
        <v>0.67500000000000004</v>
      </c>
    </row>
    <row r="68" spans="1:38" ht="15.5">
      <c r="A68" s="1445"/>
      <c r="B68" s="2683"/>
      <c r="C68" s="1962"/>
      <c r="D68" s="2702"/>
      <c r="E68" s="1962"/>
      <c r="F68" s="2702"/>
      <c r="G68" s="1962"/>
      <c r="H68" s="2702"/>
      <c r="I68" s="1962"/>
      <c r="J68" s="2702"/>
      <c r="K68" s="1962"/>
      <c r="L68" s="2702"/>
      <c r="M68" s="1962"/>
      <c r="N68" s="2702"/>
      <c r="O68" s="1962"/>
      <c r="P68" s="2702"/>
      <c r="Q68" s="1962"/>
      <c r="R68" s="2702"/>
      <c r="S68" s="1962"/>
      <c r="T68" s="2702"/>
      <c r="U68" s="1962"/>
      <c r="V68" s="2702"/>
      <c r="W68" s="1962"/>
      <c r="X68" s="2702"/>
      <c r="Y68" s="2679"/>
      <c r="Z68" s="1962"/>
      <c r="AA68" s="1982"/>
      <c r="AB68" s="2679"/>
      <c r="AC68" s="1962"/>
      <c r="AD68" s="1982"/>
      <c r="AE68" s="2665"/>
      <c r="AF68" s="2666"/>
      <c r="AG68" s="2661"/>
      <c r="AH68" s="1442"/>
      <c r="AI68" s="1445"/>
    </row>
    <row r="69" spans="1:38" ht="14.25" customHeight="1">
      <c r="A69" s="2690" t="s">
        <v>867</v>
      </c>
      <c r="B69" s="1967">
        <f>ROUND(SUM(B66:B67),1)</f>
        <v>-4034.9</v>
      </c>
      <c r="C69" s="2669"/>
      <c r="D69" s="1967">
        <f>ROUND(SUM(D66:D67),1)</f>
        <v>-5811.9</v>
      </c>
      <c r="E69" s="2687"/>
      <c r="F69" s="1967">
        <f>ROUND(SUM(F66:F67),1)</f>
        <v>-4393.2</v>
      </c>
      <c r="G69" s="2687"/>
      <c r="H69" s="1967">
        <f>ROUND(SUM(H66:H67),1)</f>
        <v>-2491.9</v>
      </c>
      <c r="I69" s="2687"/>
      <c r="J69" s="1967">
        <f>ROUND(SUM(J66:J67),1)</f>
        <v>-2270.9</v>
      </c>
      <c r="K69" s="2687"/>
      <c r="L69" s="1967">
        <f>ROUND(SUM(L66:L67),1)</f>
        <v>-4677.6000000000004</v>
      </c>
      <c r="M69" s="2687"/>
      <c r="N69" s="1967">
        <f>ROUND(SUM(N66:N67),1)</f>
        <v>0</v>
      </c>
      <c r="O69" s="2687"/>
      <c r="P69" s="1967">
        <f>ROUND(SUM(P66:P67),1)</f>
        <v>0</v>
      </c>
      <c r="Q69" s="2687"/>
      <c r="R69" s="1967">
        <f>ROUND(SUM(R66:R67),1)</f>
        <v>0</v>
      </c>
      <c r="S69" s="2687"/>
      <c r="T69" s="1967">
        <f>ROUND(SUM(T66:T67),1)</f>
        <v>0</v>
      </c>
      <c r="U69" s="2687"/>
      <c r="V69" s="1967">
        <f>ROUND(SUM(V66:V67),1)</f>
        <v>0</v>
      </c>
      <c r="W69" s="2687"/>
      <c r="X69" s="1967">
        <f>ROUND(SUM(X66:X67),1)</f>
        <v>0</v>
      </c>
      <c r="Y69" s="2670"/>
      <c r="Z69" s="2669"/>
      <c r="AA69" s="1967">
        <f>ROUND(SUM(AA66:AA67),1)</f>
        <v>-23680.400000000001</v>
      </c>
      <c r="AB69" s="2670"/>
      <c r="AC69" s="2669"/>
      <c r="AD69" s="1967">
        <f>ROUND(SUM(AD66:AD67),1)</f>
        <v>-13537.9</v>
      </c>
      <c r="AE69" s="2671"/>
      <c r="AF69" s="2672"/>
      <c r="AG69" s="1967">
        <f>ROUND(SUM(AA69-AD69),1)</f>
        <v>-10142.5</v>
      </c>
      <c r="AH69" s="2630"/>
      <c r="AI69" s="1443">
        <f>ROUND(IF(AD69=0,0,AG69/ABS(AD69)),3)</f>
        <v>-0.749</v>
      </c>
      <c r="AJ69" s="2689"/>
    </row>
    <row r="70" spans="1:38" ht="19.5" customHeight="1">
      <c r="A70" s="1445"/>
      <c r="B70" s="1962"/>
      <c r="C70" s="1962"/>
      <c r="D70" s="2703"/>
      <c r="E70" s="1962"/>
      <c r="F70" s="2703"/>
      <c r="G70" s="1962"/>
      <c r="H70" s="2703"/>
      <c r="I70" s="1962"/>
      <c r="J70" s="2703"/>
      <c r="K70" s="1962"/>
      <c r="L70" s="2703"/>
      <c r="M70" s="1962"/>
      <c r="N70" s="2703"/>
      <c r="O70" s="1962"/>
      <c r="P70" s="2703"/>
      <c r="Q70" s="1962"/>
      <c r="R70" s="2703"/>
      <c r="S70" s="1962"/>
      <c r="T70" s="2703"/>
      <c r="U70" s="1962"/>
      <c r="V70" s="2703"/>
      <c r="W70" s="1962"/>
      <c r="X70" s="2703"/>
      <c r="Y70" s="2679"/>
      <c r="Z70" s="1962"/>
      <c r="AA70" s="1982"/>
      <c r="AB70" s="2679"/>
      <c r="AC70" s="1962"/>
      <c r="AD70" s="1982"/>
      <c r="AE70" s="2665"/>
      <c r="AF70" s="2666"/>
      <c r="AG70" s="2661"/>
      <c r="AH70" s="1442"/>
      <c r="AI70" s="1445"/>
    </row>
    <row r="71" spans="1:38" ht="19.5" customHeight="1">
      <c r="A71" s="1445"/>
      <c r="B71" s="1962"/>
      <c r="C71" s="1962"/>
      <c r="D71" s="2703"/>
      <c r="E71" s="1962"/>
      <c r="F71" s="2703"/>
      <c r="G71" s="1962"/>
      <c r="H71" s="2703"/>
      <c r="I71" s="1962"/>
      <c r="J71" s="2703"/>
      <c r="K71" s="1962"/>
      <c r="L71" s="2703"/>
      <c r="M71" s="1962"/>
      <c r="N71" s="2703"/>
      <c r="O71" s="1962"/>
      <c r="P71" s="2703"/>
      <c r="Q71" s="1962"/>
      <c r="R71" s="2703"/>
      <c r="S71" s="1962"/>
      <c r="T71" s="2703"/>
      <c r="U71" s="1962"/>
      <c r="V71" s="2703"/>
      <c r="W71" s="1962"/>
      <c r="X71" s="2703"/>
      <c r="Y71" s="2679"/>
      <c r="Z71" s="1962"/>
      <c r="AA71" s="1982"/>
      <c r="AB71" s="2679"/>
      <c r="AC71" s="1962"/>
      <c r="AD71" s="1982"/>
      <c r="AE71" s="2665"/>
      <c r="AF71" s="2666"/>
      <c r="AG71" s="2661"/>
      <c r="AH71" s="1442"/>
      <c r="AI71" s="1445"/>
    </row>
    <row r="72" spans="1:38" ht="14.25" customHeight="1">
      <c r="A72" s="2447" t="s">
        <v>191</v>
      </c>
      <c r="B72" s="1962"/>
      <c r="C72" s="1962"/>
      <c r="D72" s="2699"/>
      <c r="E72" s="1962"/>
      <c r="F72" s="2699"/>
      <c r="G72" s="1962"/>
      <c r="H72" s="2699"/>
      <c r="I72" s="1962"/>
      <c r="J72" s="2699"/>
      <c r="K72" s="1962"/>
      <c r="L72" s="2699"/>
      <c r="M72" s="1962"/>
      <c r="N72" s="2699"/>
      <c r="O72" s="1962"/>
      <c r="P72" s="2699"/>
      <c r="Q72" s="1962"/>
      <c r="R72" s="2699"/>
      <c r="S72" s="1962"/>
      <c r="T72" s="2699"/>
      <c r="U72" s="1962"/>
      <c r="V72" s="2699"/>
      <c r="W72" s="1962"/>
      <c r="X72" s="2699"/>
      <c r="Y72" s="2679"/>
      <c r="Z72" s="1962"/>
      <c r="AA72" s="1982"/>
      <c r="AB72" s="2679"/>
      <c r="AC72" s="1962"/>
      <c r="AD72" s="1982"/>
      <c r="AE72" s="2665"/>
      <c r="AF72" s="2666"/>
      <c r="AG72" s="2661"/>
      <c r="AH72" s="1442"/>
      <c r="AI72" s="1445"/>
    </row>
    <row r="73" spans="1:38" ht="14.25" customHeight="1">
      <c r="A73" s="2447" t="s">
        <v>192</v>
      </c>
      <c r="B73" s="1962"/>
      <c r="C73" s="1962"/>
      <c r="D73" s="2699"/>
      <c r="E73" s="1962"/>
      <c r="F73" s="2699"/>
      <c r="G73" s="1962"/>
      <c r="H73" s="2699"/>
      <c r="I73" s="1962"/>
      <c r="J73" s="2699"/>
      <c r="K73" s="1962"/>
      <c r="L73" s="2699"/>
      <c r="M73" s="1962"/>
      <c r="N73" s="2699"/>
      <c r="O73" s="1962"/>
      <c r="P73" s="2699"/>
      <c r="Q73" s="1962"/>
      <c r="R73" s="2699"/>
      <c r="S73" s="1962"/>
      <c r="T73" s="2699"/>
      <c r="U73" s="1962"/>
      <c r="V73" s="2699"/>
      <c r="W73" s="1962"/>
      <c r="X73" s="2699"/>
      <c r="Y73" s="2679"/>
      <c r="Z73" s="1962"/>
      <c r="AA73" s="1982"/>
      <c r="AB73" s="2679"/>
      <c r="AC73" s="1962"/>
      <c r="AD73" s="1982"/>
      <c r="AE73" s="2665"/>
      <c r="AF73" s="2666"/>
      <c r="AG73" s="2661"/>
      <c r="AH73" s="1442"/>
      <c r="AI73" s="1445"/>
    </row>
    <row r="74" spans="1:38" ht="14.25" customHeight="1">
      <c r="A74" s="2447" t="s">
        <v>1137</v>
      </c>
      <c r="B74" s="2688">
        <f>ROUND(SUM(+B62+B69),1)</f>
        <v>141.5</v>
      </c>
      <c r="C74" s="2669"/>
      <c r="D74" s="2688">
        <f>ROUND(SUM(+D62+D69),1)</f>
        <v>96.4</v>
      </c>
      <c r="E74" s="2669"/>
      <c r="F74" s="2688">
        <f>ROUND(SUM(+F62+F69),1)</f>
        <v>-65.2</v>
      </c>
      <c r="G74" s="2669"/>
      <c r="H74" s="2688">
        <f>ROUND(SUM(+H62+H69),1)</f>
        <v>308.39999999999998</v>
      </c>
      <c r="I74" s="2669"/>
      <c r="J74" s="2688">
        <f>ROUND(SUM(+J62+J69),1)</f>
        <v>436</v>
      </c>
      <c r="K74" s="2669"/>
      <c r="L74" s="2688">
        <f>ROUND(SUM(+L62+L69),1)</f>
        <v>-797.9</v>
      </c>
      <c r="M74" s="2669"/>
      <c r="N74" s="2688">
        <f>ROUND(SUM(+N62+N69),1)</f>
        <v>0</v>
      </c>
      <c r="O74" s="2669"/>
      <c r="P74" s="2688">
        <f>ROUND(SUM(+P62+P69),1)</f>
        <v>0</v>
      </c>
      <c r="Q74" s="2669"/>
      <c r="R74" s="2688">
        <f>ROUND(SUM(+R62+R69),1)</f>
        <v>0</v>
      </c>
      <c r="S74" s="2669"/>
      <c r="T74" s="2688">
        <f>ROUND(SUM(+T62+T69),1)</f>
        <v>0</v>
      </c>
      <c r="U74" s="2669"/>
      <c r="V74" s="2688">
        <f>ROUND(SUM(+V62+V69),1)</f>
        <v>0</v>
      </c>
      <c r="W74" s="2669"/>
      <c r="X74" s="2688">
        <f>ROUND(SUM(+X62+X69),1)</f>
        <v>0</v>
      </c>
      <c r="Y74" s="2670"/>
      <c r="Z74" s="2669"/>
      <c r="AA74" s="2688">
        <f>ROUND(SUM(+AA62+AA69),1)</f>
        <v>119.2</v>
      </c>
      <c r="AB74" s="2670"/>
      <c r="AC74" s="2669"/>
      <c r="AD74" s="2688">
        <f>ROUND(SUM(+AD62+AD69),1)</f>
        <v>2273.9</v>
      </c>
      <c r="AE74" s="2671"/>
      <c r="AF74" s="2672"/>
      <c r="AG74" s="2688">
        <f>ROUND(SUM(+AG62+AG69),1)</f>
        <v>-2154.6999999999998</v>
      </c>
      <c r="AH74" s="2630"/>
      <c r="AI74" s="1452">
        <f>ROUND(IF(AD74=0,0,AG74/ABS(AD74)),3)</f>
        <v>-0.94799999999999995</v>
      </c>
      <c r="AJ74" s="2689"/>
    </row>
    <row r="75" spans="1:38" ht="15.5">
      <c r="A75" s="1445"/>
      <c r="B75" s="1964"/>
      <c r="C75" s="1964"/>
      <c r="D75" s="2704"/>
      <c r="E75" s="1964"/>
      <c r="F75" s="2705"/>
      <c r="G75" s="1964"/>
      <c r="H75" s="2705"/>
      <c r="I75" s="1964"/>
      <c r="J75" s="2705"/>
      <c r="K75" s="1964"/>
      <c r="L75" s="2706"/>
      <c r="M75" s="1964"/>
      <c r="N75" s="2705"/>
      <c r="O75" s="1964"/>
      <c r="P75" s="2705"/>
      <c r="Q75" s="1964"/>
      <c r="R75" s="2705"/>
      <c r="S75" s="1964"/>
      <c r="T75" s="2705"/>
      <c r="U75" s="1964"/>
      <c r="V75" s="2705"/>
      <c r="W75" s="1964"/>
      <c r="X75" s="2705"/>
      <c r="Y75" s="2656"/>
      <c r="Z75" s="1964"/>
      <c r="AA75" s="1964" t="s">
        <v>14</v>
      </c>
      <c r="AB75" s="2656"/>
      <c r="AC75" s="1964"/>
      <c r="AD75" s="3433"/>
      <c r="AE75" s="2643"/>
      <c r="AF75" s="2657"/>
      <c r="AG75" s="2658"/>
      <c r="AH75" s="1442"/>
      <c r="AI75" s="1445"/>
    </row>
    <row r="76" spans="1:38" ht="15.5">
      <c r="A76" s="1445"/>
      <c r="B76" s="1445"/>
      <c r="C76" s="1445"/>
      <c r="D76" s="2642"/>
      <c r="E76" s="1445"/>
      <c r="F76" s="2658"/>
      <c r="G76" s="1445"/>
      <c r="H76" s="1442"/>
      <c r="I76" s="1445"/>
      <c r="J76" s="1442"/>
      <c r="K76" s="1445"/>
      <c r="L76" s="2707"/>
      <c r="M76" s="1445"/>
      <c r="N76" s="1442"/>
      <c r="O76" s="1445"/>
      <c r="P76" s="1442"/>
      <c r="Q76" s="1445"/>
      <c r="R76" s="1442"/>
      <c r="S76" s="1445"/>
      <c r="T76" s="2658"/>
      <c r="U76" s="1964"/>
      <c r="V76" s="2658"/>
      <c r="W76" s="1964"/>
      <c r="X76" s="2658"/>
      <c r="Y76" s="2655"/>
      <c r="Z76" s="1445"/>
      <c r="AA76" s="1964"/>
      <c r="AB76" s="2656"/>
      <c r="AC76" s="1964"/>
      <c r="AD76" s="2579"/>
      <c r="AE76" s="2646"/>
      <c r="AF76" s="2657"/>
      <c r="AG76" s="2658"/>
      <c r="AH76" s="1442"/>
      <c r="AI76" s="1445"/>
    </row>
    <row r="77" spans="1:38" ht="19.5" customHeight="1" thickBot="1">
      <c r="A77" s="2447" t="s">
        <v>140</v>
      </c>
      <c r="B77" s="2708">
        <f>ROUND(SUM(B12+B74),1)</f>
        <v>206.5</v>
      </c>
      <c r="C77" s="2427"/>
      <c r="D77" s="2708">
        <f>ROUND(SUM(D12+D74),1)</f>
        <v>302.89999999999998</v>
      </c>
      <c r="E77" s="2427"/>
      <c r="F77" s="2708">
        <f>ROUND(SUM(F12+F74),1)</f>
        <v>237.7</v>
      </c>
      <c r="G77" s="2427"/>
      <c r="H77" s="2708">
        <f>ROUND(SUM(H12+H74),1)</f>
        <v>546.1</v>
      </c>
      <c r="I77" s="2427"/>
      <c r="J77" s="2708">
        <f>ROUND(SUM(J12+J74),1)</f>
        <v>982.1</v>
      </c>
      <c r="K77" s="2427"/>
      <c r="L77" s="2708">
        <f>ROUND(SUM(L12+L74),1)</f>
        <v>184.2</v>
      </c>
      <c r="M77" s="2427"/>
      <c r="N77" s="2708">
        <f>ROUND(SUM(N12+N74),1)</f>
        <v>0</v>
      </c>
      <c r="O77" s="2427"/>
      <c r="P77" s="2708">
        <f>ROUND(SUM(P12+P74),1)</f>
        <v>0</v>
      </c>
      <c r="Q77" s="2427"/>
      <c r="R77" s="2708">
        <f>ROUND(SUM(R12+R74),1)</f>
        <v>0</v>
      </c>
      <c r="S77" s="2427"/>
      <c r="T77" s="2708">
        <f>ROUND(SUM(T12+T74),1)</f>
        <v>0</v>
      </c>
      <c r="U77" s="2427"/>
      <c r="V77" s="2708">
        <f>ROUND(SUM(V12+V74),1)</f>
        <v>0</v>
      </c>
      <c r="W77" s="2427"/>
      <c r="X77" s="2708">
        <f>ROUND(SUM(X12+X74),1)</f>
        <v>0</v>
      </c>
      <c r="Y77" s="2650"/>
      <c r="Z77" s="2427"/>
      <c r="AA77" s="2708">
        <f>ROUND(SUM(AA12+AA74),1)</f>
        <v>184.2</v>
      </c>
      <c r="AB77" s="2650"/>
      <c r="AC77" s="2427"/>
      <c r="AD77" s="2708">
        <f>ROUND(SUM(AD12+AD74),1)</f>
        <v>2337.3000000000002</v>
      </c>
      <c r="AE77" s="2709"/>
      <c r="AF77" s="2652"/>
      <c r="AG77" s="2708">
        <f>ROUND(SUM(+AG12+AG74),1)</f>
        <v>-2153.1</v>
      </c>
      <c r="AH77" s="2630"/>
      <c r="AI77" s="2299">
        <f>ROUND(IF(AD77=0,0,AG77/ABS(AD77)),3)</f>
        <v>-0.92100000000000004</v>
      </c>
      <c r="AJ77" s="2710"/>
      <c r="AK77" s="2674"/>
      <c r="AL77" s="2674"/>
    </row>
    <row r="78" spans="1:38" ht="14.25" customHeight="1" thickTop="1">
      <c r="A78" s="2674"/>
      <c r="B78" s="2711"/>
      <c r="C78" s="2712"/>
      <c r="D78" s="2711"/>
      <c r="F78" s="2711"/>
      <c r="H78" s="2713"/>
      <c r="J78" s="2713"/>
      <c r="L78" s="2713"/>
      <c r="N78" s="2713"/>
      <c r="P78" s="2713"/>
      <c r="R78" s="2713"/>
      <c r="T78" s="2713"/>
      <c r="U78" s="2620"/>
      <c r="V78" s="2713"/>
      <c r="W78" s="2620"/>
      <c r="X78" s="2713"/>
      <c r="Y78" s="2711"/>
      <c r="Z78" s="2712"/>
      <c r="AA78" s="2711"/>
      <c r="AB78" s="2711"/>
      <c r="AC78" s="2712"/>
      <c r="AD78" s="2711"/>
      <c r="AE78" s="2714"/>
      <c r="AF78" s="2711"/>
      <c r="AG78" s="2711"/>
      <c r="AH78" s="2715"/>
      <c r="AI78" s="2716"/>
    </row>
    <row r="79" spans="1:38">
      <c r="L79" s="2620"/>
      <c r="T79" s="2717"/>
      <c r="U79" s="2717"/>
      <c r="V79" s="2717"/>
      <c r="W79" s="2717"/>
      <c r="X79" s="2717"/>
      <c r="AD79" s="2718"/>
    </row>
    <row r="80" spans="1:38" ht="12" customHeight="1">
      <c r="A80" s="1445"/>
      <c r="L80" s="2620"/>
      <c r="R80" s="2719"/>
      <c r="T80" s="2712"/>
      <c r="V80" s="2712"/>
      <c r="X80" s="2712"/>
    </row>
    <row r="81" spans="1:35">
      <c r="B81" s="2718"/>
      <c r="L81" s="2620"/>
      <c r="R81" s="2719"/>
      <c r="T81" s="2712"/>
      <c r="V81" s="2712"/>
      <c r="X81" s="2712"/>
    </row>
    <row r="82" spans="1:35">
      <c r="A82" s="2720"/>
      <c r="L82" s="2620"/>
    </row>
    <row r="83" spans="1:35">
      <c r="A83" s="2721"/>
      <c r="B83" s="2718"/>
      <c r="L83" s="2620"/>
      <c r="R83" s="2722"/>
    </row>
    <row r="84" spans="1:35">
      <c r="A84" s="2723"/>
      <c r="B84" s="2718"/>
      <c r="L84" s="2620"/>
    </row>
    <row r="85" spans="1:35">
      <c r="A85" s="2724"/>
      <c r="L85" s="2620"/>
      <c r="AI85" s="2712"/>
    </row>
    <row r="86" spans="1:35">
      <c r="L86" s="2620"/>
    </row>
    <row r="87" spans="1:35">
      <c r="L87" s="2620"/>
    </row>
    <row r="88" spans="1:35">
      <c r="L88" s="2620"/>
    </row>
    <row r="89" spans="1:35">
      <c r="L89" s="2620"/>
    </row>
    <row r="90" spans="1:35">
      <c r="L90" s="2620"/>
    </row>
    <row r="91" spans="1:35">
      <c r="L91" s="2620"/>
    </row>
    <row r="92" spans="1:35">
      <c r="L92" s="2620"/>
    </row>
    <row r="93" spans="1:35">
      <c r="L93" s="2620"/>
    </row>
    <row r="94" spans="1:35">
      <c r="L94" s="2620"/>
    </row>
    <row r="95" spans="1:35">
      <c r="L95" s="2620"/>
    </row>
    <row r="96" spans="1:35">
      <c r="L96" s="2620"/>
    </row>
    <row r="97" spans="12:12">
      <c r="L97" s="2620"/>
    </row>
    <row r="98" spans="12:12">
      <c r="L98" s="2620"/>
    </row>
    <row r="99" spans="12:12">
      <c r="L99" s="2620"/>
    </row>
    <row r="100" spans="12:12">
      <c r="L100" s="2620"/>
    </row>
    <row r="101" spans="12:12">
      <c r="L101" s="2620"/>
    </row>
    <row r="102" spans="12:12">
      <c r="L102" s="2620"/>
    </row>
    <row r="103" spans="12:12">
      <c r="L103" s="2620"/>
    </row>
    <row r="104" spans="12:12">
      <c r="L104" s="2620"/>
    </row>
    <row r="105" spans="12:12">
      <c r="L105" s="2620"/>
    </row>
    <row r="106" spans="12:12">
      <c r="L106" s="2620"/>
    </row>
    <row r="107" spans="12:12">
      <c r="L107" s="2620"/>
    </row>
    <row r="108" spans="12:12">
      <c r="L108" s="2620"/>
    </row>
    <row r="109" spans="12:12">
      <c r="L109" s="2620"/>
    </row>
    <row r="110" spans="12:12">
      <c r="L110" s="2620"/>
    </row>
    <row r="111" spans="12:12">
      <c r="L111" s="2620"/>
    </row>
    <row r="112" spans="12:12">
      <c r="L112" s="2620"/>
    </row>
    <row r="113" spans="12:12">
      <c r="L113" s="2620"/>
    </row>
    <row r="114" spans="12:12">
      <c r="L114" s="2620"/>
    </row>
    <row r="115" spans="12:12">
      <c r="L115" s="2620"/>
    </row>
    <row r="116" spans="12:12">
      <c r="L116" s="2620"/>
    </row>
    <row r="117" spans="12:12">
      <c r="L117" s="2620"/>
    </row>
    <row r="118" spans="12:12">
      <c r="L118" s="2620"/>
    </row>
    <row r="119" spans="12:12">
      <c r="L119" s="2620"/>
    </row>
    <row r="120" spans="12:12">
      <c r="L120" s="2620"/>
    </row>
    <row r="121" spans="12:12">
      <c r="L121" s="2620"/>
    </row>
    <row r="122" spans="12:12">
      <c r="L122" s="2620"/>
    </row>
    <row r="123" spans="12:12">
      <c r="L123" s="2620"/>
    </row>
    <row r="124" spans="12:12">
      <c r="L124" s="2620"/>
    </row>
    <row r="125" spans="12:12">
      <c r="L125" s="2620"/>
    </row>
    <row r="126" spans="12:12">
      <c r="L126" s="2620"/>
    </row>
    <row r="127" spans="12:12">
      <c r="L127" s="2620"/>
    </row>
    <row r="128" spans="12:12">
      <c r="L128" s="2620"/>
    </row>
    <row r="129" spans="12:12">
      <c r="L129" s="2620"/>
    </row>
    <row r="130" spans="12:12">
      <c r="L130" s="2620"/>
    </row>
    <row r="131" spans="12:12">
      <c r="L131" s="2620"/>
    </row>
    <row r="132" spans="12:12">
      <c r="L132" s="2620"/>
    </row>
    <row r="133" spans="12:12">
      <c r="L133" s="2620"/>
    </row>
    <row r="134" spans="12:12">
      <c r="L134" s="2620"/>
    </row>
    <row r="135" spans="12:12">
      <c r="L135" s="2620"/>
    </row>
    <row r="136" spans="12:12">
      <c r="L136" s="2620"/>
    </row>
    <row r="137" spans="12:12">
      <c r="L137" s="2620"/>
    </row>
    <row r="138" spans="12:12">
      <c r="L138" s="2620"/>
    </row>
    <row r="139" spans="12:12">
      <c r="L139" s="2620"/>
    </row>
    <row r="140" spans="12:12">
      <c r="L140" s="2620"/>
    </row>
    <row r="141" spans="12:12">
      <c r="L141" s="2620"/>
    </row>
    <row r="142" spans="12:12">
      <c r="L142" s="2620"/>
    </row>
    <row r="143" spans="12:12">
      <c r="L143" s="2620"/>
    </row>
    <row r="144" spans="12:12">
      <c r="L144" s="2620"/>
    </row>
    <row r="145" spans="12:12">
      <c r="L145" s="2620"/>
    </row>
    <row r="146" spans="12:12">
      <c r="L146" s="2620"/>
    </row>
    <row r="147" spans="12:12">
      <c r="L147" s="2620"/>
    </row>
    <row r="148" spans="12:12">
      <c r="L148" s="2620"/>
    </row>
    <row r="149" spans="12:12">
      <c r="L149" s="2620"/>
    </row>
    <row r="150" spans="12:12">
      <c r="L150" s="2620"/>
    </row>
    <row r="151" spans="12:12">
      <c r="L151" s="2620"/>
    </row>
    <row r="152" spans="12:12">
      <c r="L152" s="2620"/>
    </row>
    <row r="153" spans="12:12">
      <c r="L153" s="2620"/>
    </row>
    <row r="154" spans="12:12">
      <c r="L154" s="2620"/>
    </row>
    <row r="155" spans="12:12">
      <c r="L155" s="2620"/>
    </row>
    <row r="156" spans="12:12">
      <c r="L156" s="2620"/>
    </row>
    <row r="157" spans="12:12">
      <c r="L157" s="2620"/>
    </row>
    <row r="158" spans="12:12">
      <c r="L158" s="2620"/>
    </row>
    <row r="159" spans="12:12">
      <c r="L159" s="2620"/>
    </row>
    <row r="160" spans="12:12">
      <c r="L160" s="2620"/>
    </row>
    <row r="161" spans="12:12">
      <c r="L161" s="2620"/>
    </row>
    <row r="162" spans="12:12">
      <c r="L162" s="2620"/>
    </row>
    <row r="163" spans="12:12">
      <c r="L163" s="2620"/>
    </row>
    <row r="164" spans="12:12">
      <c r="L164" s="2620"/>
    </row>
    <row r="165" spans="12:12">
      <c r="L165" s="2620"/>
    </row>
    <row r="166" spans="12:12">
      <c r="L166" s="2620"/>
    </row>
    <row r="167" spans="12:12">
      <c r="L167" s="2620"/>
    </row>
    <row r="168" spans="12:12">
      <c r="L168" s="2620"/>
    </row>
    <row r="169" spans="12:12">
      <c r="L169" s="2620"/>
    </row>
    <row r="170" spans="12:12">
      <c r="L170" s="2620"/>
    </row>
    <row r="171" spans="12:12">
      <c r="L171" s="2620"/>
    </row>
    <row r="172" spans="12:12">
      <c r="L172" s="2620"/>
    </row>
    <row r="173" spans="12:12">
      <c r="L173" s="2620"/>
    </row>
    <row r="174" spans="12:12">
      <c r="L174" s="2620"/>
    </row>
    <row r="175" spans="12:12">
      <c r="L175" s="2620"/>
    </row>
    <row r="176" spans="12:12">
      <c r="L176" s="2620"/>
    </row>
    <row r="177" spans="12:12">
      <c r="L177" s="2620"/>
    </row>
    <row r="178" spans="12:12">
      <c r="L178" s="2620"/>
    </row>
    <row r="179" spans="12:12">
      <c r="L179" s="2620"/>
    </row>
    <row r="180" spans="12:12">
      <c r="L180" s="2620"/>
    </row>
    <row r="181" spans="12:12">
      <c r="L181" s="2620"/>
    </row>
    <row r="182" spans="12:12">
      <c r="L182" s="2620"/>
    </row>
    <row r="183" spans="12:12">
      <c r="L183" s="2620"/>
    </row>
    <row r="184" spans="12:12">
      <c r="L184" s="2620"/>
    </row>
    <row r="185" spans="12:12">
      <c r="L185" s="2620"/>
    </row>
    <row r="186" spans="12:12">
      <c r="L186" s="2620"/>
    </row>
    <row r="187" spans="12:12">
      <c r="L187" s="2620"/>
    </row>
    <row r="188" spans="12:12">
      <c r="L188" s="2620"/>
    </row>
    <row r="189" spans="12:12">
      <c r="L189" s="2620"/>
    </row>
    <row r="190" spans="12:12">
      <c r="L190" s="2620"/>
    </row>
    <row r="191" spans="12:12">
      <c r="L191" s="2620"/>
    </row>
    <row r="192" spans="12:12">
      <c r="L192" s="2620"/>
    </row>
    <row r="193" spans="12:12">
      <c r="L193" s="2620"/>
    </row>
    <row r="194" spans="12:12">
      <c r="L194" s="2620"/>
    </row>
    <row r="195" spans="12:12">
      <c r="L195" s="2620"/>
    </row>
    <row r="196" spans="12:12">
      <c r="L196" s="2620"/>
    </row>
    <row r="197" spans="12:12">
      <c r="L197" s="2620"/>
    </row>
    <row r="198" spans="12:12">
      <c r="L198" s="2620"/>
    </row>
    <row r="199" spans="12:12">
      <c r="L199" s="2620"/>
    </row>
    <row r="200" spans="12:12">
      <c r="L200" s="2620"/>
    </row>
    <row r="201" spans="12:12">
      <c r="L201" s="2620"/>
    </row>
    <row r="202" spans="12:12">
      <c r="L202" s="2620"/>
    </row>
    <row r="203" spans="12:12">
      <c r="L203" s="2620"/>
    </row>
    <row r="204" spans="12:12">
      <c r="L204" s="2620"/>
    </row>
    <row r="205" spans="12:12">
      <c r="L205" s="2620"/>
    </row>
    <row r="206" spans="12:12">
      <c r="L206" s="2620"/>
    </row>
    <row r="207" spans="12:12">
      <c r="L207" s="2620"/>
    </row>
    <row r="208" spans="12:12">
      <c r="L208" s="2620"/>
    </row>
    <row r="209" spans="12:12">
      <c r="L209" s="2620"/>
    </row>
    <row r="210" spans="12:12">
      <c r="L210" s="2620"/>
    </row>
    <row r="211" spans="12:12">
      <c r="L211" s="2620"/>
    </row>
    <row r="212" spans="12:12">
      <c r="L212" s="2620"/>
    </row>
    <row r="213" spans="12:12">
      <c r="L213" s="2620"/>
    </row>
    <row r="214" spans="12:12">
      <c r="L214" s="2620"/>
    </row>
    <row r="215" spans="12:12">
      <c r="L215" s="2620"/>
    </row>
    <row r="216" spans="12:12">
      <c r="L216" s="2620"/>
    </row>
    <row r="217" spans="12:12">
      <c r="L217" s="2620"/>
    </row>
    <row r="218" spans="12:12">
      <c r="L218" s="2620"/>
    </row>
    <row r="219" spans="12:12">
      <c r="L219" s="2620"/>
    </row>
    <row r="220" spans="12:12">
      <c r="L220" s="2620"/>
    </row>
    <row r="221" spans="12:12">
      <c r="L221" s="2620"/>
    </row>
    <row r="222" spans="12:12">
      <c r="L222" s="2620"/>
    </row>
    <row r="223" spans="12:12">
      <c r="L223" s="2620"/>
    </row>
    <row r="224" spans="12:12">
      <c r="L224" s="2620"/>
    </row>
    <row r="225" spans="12:12">
      <c r="L225" s="2620"/>
    </row>
    <row r="226" spans="12:12">
      <c r="L226" s="2620"/>
    </row>
    <row r="227" spans="12:12">
      <c r="L227" s="2620"/>
    </row>
    <row r="228" spans="12:12">
      <c r="L228" s="2620"/>
    </row>
    <row r="229" spans="12:12">
      <c r="L229" s="2620"/>
    </row>
    <row r="230" spans="12:12">
      <c r="L230" s="2620"/>
    </row>
    <row r="231" spans="12:12">
      <c r="L231" s="2620"/>
    </row>
    <row r="232" spans="12:12">
      <c r="L232" s="2620"/>
    </row>
    <row r="233" spans="12:12">
      <c r="L233" s="2620"/>
    </row>
    <row r="234" spans="12:12">
      <c r="L234" s="2620"/>
    </row>
    <row r="235" spans="12:12">
      <c r="L235" s="2620"/>
    </row>
    <row r="236" spans="12:12">
      <c r="L236" s="2620"/>
    </row>
    <row r="237" spans="12:12">
      <c r="L237" s="2620"/>
    </row>
    <row r="238" spans="12:12">
      <c r="L238" s="2620"/>
    </row>
    <row r="239" spans="12:12">
      <c r="L239" s="2620"/>
    </row>
    <row r="240" spans="12:12">
      <c r="L240" s="2620"/>
    </row>
    <row r="241" spans="12:12">
      <c r="L241" s="2620"/>
    </row>
    <row r="242" spans="12:12">
      <c r="L242" s="2620"/>
    </row>
    <row r="243" spans="12:12">
      <c r="L243" s="2620"/>
    </row>
    <row r="244" spans="12:12">
      <c r="L244" s="2620"/>
    </row>
    <row r="245" spans="12:12">
      <c r="L245" s="2620"/>
    </row>
    <row r="246" spans="12:12">
      <c r="L246" s="2620"/>
    </row>
    <row r="247" spans="12:12">
      <c r="L247" s="2620"/>
    </row>
    <row r="248" spans="12:12">
      <c r="L248" s="2620"/>
    </row>
    <row r="249" spans="12:12">
      <c r="L249" s="2620"/>
    </row>
    <row r="250" spans="12:12">
      <c r="L250" s="2620"/>
    </row>
    <row r="251" spans="12:12">
      <c r="L251" s="2620"/>
    </row>
    <row r="252" spans="12:12">
      <c r="L252" s="2620"/>
    </row>
    <row r="253" spans="12:12">
      <c r="L253" s="2620"/>
    </row>
    <row r="254" spans="12:12">
      <c r="L254" s="2620"/>
    </row>
    <row r="255" spans="12:12">
      <c r="L255" s="2620"/>
    </row>
    <row r="256" spans="12:12">
      <c r="L256" s="2620"/>
    </row>
    <row r="257" spans="12:12">
      <c r="L257" s="2620"/>
    </row>
    <row r="258" spans="12:12">
      <c r="L258" s="2620"/>
    </row>
    <row r="259" spans="12:12">
      <c r="L259" s="2620"/>
    </row>
    <row r="260" spans="12:12">
      <c r="L260" s="2620"/>
    </row>
    <row r="261" spans="12:12">
      <c r="L261" s="2620"/>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5" max="34" man="1"/>
  </rowBreaks>
  <ignoredErrors>
    <ignoredError sqref="AJ38 AI18 AJ42:AJ43 AJ44 AI75:AI77 AI21 AI25 AI52:AI54 AI71:AI73 AI70 AI63:AI65 AI60:AI61 AI58 AI56 AI68 AI69 AI57 AI59 AI62 AI66:AI67 AI48 AI50 AI51 AI47" unlockedFormula="1"/>
    <ignoredError sqref="I47 K47" formulaRange="1"/>
    <ignoredError sqref="AI44 AI42 AI43" formula="1" unlockedFormula="1"/>
    <ignoredError sqref="AI38 AI23 AI45"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BC112"/>
  <sheetViews>
    <sheetView showGridLines="0" zoomScale="90" zoomScaleNormal="90" workbookViewId="0"/>
  </sheetViews>
  <sheetFormatPr defaultColWidth="8.84375" defaultRowHeight="15.5"/>
  <cols>
    <col min="1" max="1" width="2.53515625" style="98" customWidth="1"/>
    <col min="2" max="2" width="15.84375" style="98" customWidth="1"/>
    <col min="3" max="3" width="25.07421875" style="98" customWidth="1"/>
    <col min="4" max="4" width="2" style="98" customWidth="1"/>
    <col min="5" max="5" width="12.53515625" style="98" customWidth="1"/>
    <col min="6" max="6" width="1.84375" style="98" customWidth="1"/>
    <col min="7" max="7" width="10.84375" style="98" customWidth="1"/>
    <col min="8" max="8" width="1.84375" style="98" customWidth="1"/>
    <col min="9" max="9" width="10.84375" style="98" customWidth="1"/>
    <col min="10" max="10" width="1.84375" style="98" customWidth="1"/>
    <col min="11" max="11" width="10" style="98" customWidth="1"/>
    <col min="12" max="12" width="1.07421875" style="98" customWidth="1"/>
    <col min="13" max="13" width="10.53515625" style="98" customWidth="1"/>
    <col min="14" max="14" width="1.84375" style="98" customWidth="1"/>
    <col min="15" max="15" width="12.4609375" style="98" customWidth="1"/>
    <col min="16" max="16" width="1.84375" style="98" customWidth="1"/>
    <col min="17" max="17" width="12.07421875" style="98" customWidth="1"/>
    <col min="18" max="18" width="1.84375" style="98" customWidth="1"/>
    <col min="19" max="19" width="12.07421875" style="98" customWidth="1"/>
    <col min="20" max="20" width="1.84375" style="98" customWidth="1"/>
    <col min="21" max="21" width="10.84375" style="98" customWidth="1"/>
    <col min="22" max="22" width="1.84375" style="98" customWidth="1"/>
    <col min="23" max="23" width="13.84375" style="98" customWidth="1"/>
    <col min="24" max="24" width="1.84375" style="98" customWidth="1"/>
    <col min="25" max="25" width="12.84375" style="98" customWidth="1"/>
    <col min="26" max="26" width="1.84375" style="98" customWidth="1"/>
    <col min="27" max="27" width="11.84375" style="98" bestFit="1" customWidth="1"/>
    <col min="28" max="28" width="1.4609375" style="98" customWidth="1"/>
    <col min="29" max="29" width="11.07421875" style="98" customWidth="1"/>
    <col min="30" max="31" width="1.84375" style="98" customWidth="1"/>
    <col min="32" max="32" width="12.84375" style="98" customWidth="1"/>
    <col min="33" max="34" width="1.07421875" style="98" customWidth="1"/>
    <col min="35" max="35" width="12.84375" style="1079" customWidth="1"/>
    <col min="36" max="37" width="1" style="98" customWidth="1"/>
    <col min="38" max="38" width="13.07421875" style="98" bestFit="1" customWidth="1"/>
    <col min="39" max="39" width="1.07421875" style="98" customWidth="1"/>
    <col min="40" max="40" width="12.07421875" style="98" customWidth="1"/>
    <col min="41" max="16384" width="8.84375" style="98"/>
  </cols>
  <sheetData>
    <row r="1" spans="1:42">
      <c r="B1" s="635" t="s">
        <v>882</v>
      </c>
    </row>
    <row r="2" spans="1:42">
      <c r="B2" s="815"/>
    </row>
    <row r="3" spans="1:42" ht="19.5" customHeight="1">
      <c r="A3" s="311"/>
      <c r="B3" s="317" t="s">
        <v>0</v>
      </c>
      <c r="C3" s="312"/>
      <c r="D3" s="312"/>
      <c r="E3" s="312"/>
      <c r="F3" s="313"/>
      <c r="G3" s="313"/>
      <c r="H3" s="313"/>
      <c r="I3" s="313"/>
      <c r="J3" s="313"/>
      <c r="K3" s="313"/>
      <c r="L3" s="313"/>
      <c r="M3" s="313"/>
      <c r="N3" s="313"/>
      <c r="O3" s="313"/>
      <c r="P3" s="313"/>
      <c r="Q3" s="313"/>
      <c r="R3" s="313"/>
      <c r="S3" s="313"/>
      <c r="T3" s="313"/>
      <c r="U3" s="313"/>
      <c r="V3" s="313"/>
      <c r="W3" s="313"/>
      <c r="X3" s="313"/>
      <c r="Y3" s="313"/>
      <c r="Z3" s="313"/>
      <c r="AA3" s="313"/>
      <c r="AB3" s="313"/>
      <c r="AC3" s="313"/>
      <c r="AD3" s="313"/>
      <c r="AE3" s="313"/>
      <c r="AF3" s="313"/>
      <c r="AG3" s="313"/>
      <c r="AH3" s="313"/>
      <c r="AI3" s="1081"/>
      <c r="AJ3" s="313"/>
      <c r="AK3" s="313"/>
      <c r="AN3" s="387" t="s">
        <v>193</v>
      </c>
    </row>
    <row r="4" spans="1:42" ht="19.5" customHeight="1">
      <c r="A4" s="311"/>
      <c r="B4" s="317" t="s">
        <v>909</v>
      </c>
      <c r="C4" s="312"/>
      <c r="D4" s="312"/>
      <c r="E4" s="312"/>
      <c r="F4" s="313"/>
      <c r="G4" s="313"/>
      <c r="H4" s="313"/>
      <c r="I4" s="313"/>
      <c r="J4" s="313"/>
      <c r="K4" s="313"/>
      <c r="L4" s="313"/>
      <c r="M4" s="313"/>
      <c r="N4" s="313"/>
      <c r="O4" s="313"/>
      <c r="P4" s="313"/>
      <c r="Q4" s="313"/>
      <c r="R4" s="313"/>
      <c r="S4" s="313"/>
      <c r="T4" s="313"/>
      <c r="U4" s="313"/>
      <c r="V4" s="313"/>
      <c r="W4" s="313"/>
      <c r="X4" s="313"/>
      <c r="Y4" s="313"/>
      <c r="Z4" s="313"/>
      <c r="AA4" s="313"/>
      <c r="AB4" s="313"/>
      <c r="AC4" s="313"/>
      <c r="AD4" s="313"/>
      <c r="AE4" s="313"/>
      <c r="AG4" s="314"/>
      <c r="AH4" s="314"/>
    </row>
    <row r="5" spans="1:42" ht="19.5" customHeight="1">
      <c r="A5" s="311"/>
      <c r="B5" s="298" t="s">
        <v>147</v>
      </c>
      <c r="C5" s="312"/>
      <c r="D5" s="312"/>
      <c r="E5" s="312"/>
      <c r="F5" s="313"/>
      <c r="G5" s="313"/>
      <c r="H5" s="313"/>
      <c r="I5" s="313"/>
      <c r="J5" s="313"/>
      <c r="K5" s="313"/>
      <c r="L5" s="313"/>
      <c r="M5" s="313"/>
      <c r="N5" s="313"/>
      <c r="O5" s="313"/>
      <c r="P5" s="313"/>
      <c r="Q5" s="313"/>
      <c r="R5" s="313"/>
      <c r="S5" s="313" t="s">
        <v>14</v>
      </c>
      <c r="T5" s="313"/>
      <c r="U5" s="313" t="s">
        <v>14</v>
      </c>
      <c r="V5" s="313"/>
      <c r="W5" s="313"/>
      <c r="X5" s="313"/>
      <c r="Y5" s="313"/>
      <c r="Z5" s="313"/>
      <c r="AA5" s="313"/>
      <c r="AB5" s="313"/>
      <c r="AC5" s="313"/>
      <c r="AD5" s="313"/>
      <c r="AE5" s="313"/>
      <c r="AF5" s="313"/>
      <c r="AG5" s="313"/>
      <c r="AH5" s="313"/>
      <c r="AI5" s="1081"/>
      <c r="AJ5" s="313"/>
      <c r="AK5" s="313"/>
      <c r="AN5" s="266"/>
    </row>
    <row r="6" spans="1:42" ht="19.5" customHeight="1">
      <c r="A6" s="311"/>
      <c r="B6" s="1518" t="str">
        <f>'Cashflow Governmental'!A6</f>
        <v xml:space="preserve">FISCAL YEAR 2021-2022   </v>
      </c>
      <c r="C6" s="312"/>
      <c r="D6" s="312"/>
      <c r="E6" s="312"/>
      <c r="F6" s="313"/>
      <c r="G6" s="313"/>
      <c r="H6" s="315"/>
      <c r="I6" s="313"/>
      <c r="J6" s="313"/>
      <c r="K6" s="313"/>
      <c r="L6" s="313"/>
      <c r="M6" s="313"/>
      <c r="N6" s="313"/>
      <c r="O6" s="313"/>
      <c r="P6" s="313"/>
      <c r="Q6" s="313"/>
      <c r="R6" s="313"/>
      <c r="S6" s="313" t="s">
        <v>14</v>
      </c>
      <c r="T6" s="313"/>
      <c r="U6" s="313"/>
      <c r="V6" s="313"/>
      <c r="W6" s="313"/>
      <c r="X6" s="313"/>
      <c r="Y6" s="313"/>
      <c r="Z6" s="313"/>
      <c r="AA6" s="313"/>
      <c r="AB6" s="313"/>
      <c r="AC6" s="313"/>
      <c r="AD6" s="313"/>
      <c r="AE6" s="313"/>
      <c r="AF6" s="313"/>
      <c r="AG6" s="316"/>
      <c r="AH6" s="316"/>
      <c r="AI6" s="1086"/>
      <c r="AJ6" s="316"/>
      <c r="AK6" s="316"/>
    </row>
    <row r="7" spans="1:42" ht="19.5" customHeight="1">
      <c r="A7" s="311"/>
      <c r="B7" s="317" t="s">
        <v>1281</v>
      </c>
      <c r="C7" s="312"/>
      <c r="D7" s="312"/>
      <c r="E7" s="312"/>
      <c r="F7" s="313"/>
      <c r="G7" s="313"/>
      <c r="H7" s="315"/>
      <c r="I7" s="313"/>
      <c r="J7" s="313"/>
      <c r="K7" s="313"/>
      <c r="L7" s="313"/>
      <c r="M7" s="313"/>
      <c r="N7" s="313"/>
      <c r="O7" s="313"/>
      <c r="P7" s="313"/>
      <c r="Q7" s="313"/>
      <c r="R7" s="313"/>
      <c r="S7" s="313" t="s">
        <v>14</v>
      </c>
      <c r="T7" s="313"/>
      <c r="U7" s="313"/>
      <c r="V7" s="313"/>
      <c r="W7" s="313"/>
      <c r="X7" s="313"/>
      <c r="Y7" s="313"/>
      <c r="Z7" s="313"/>
      <c r="AA7" s="313"/>
      <c r="AB7" s="313"/>
      <c r="AC7" s="313"/>
      <c r="AD7" s="313"/>
      <c r="AE7" s="313"/>
      <c r="AF7" s="313"/>
      <c r="AG7" s="316"/>
      <c r="AH7" s="316"/>
      <c r="AI7" s="1086"/>
      <c r="AJ7" s="316"/>
      <c r="AK7" s="316"/>
    </row>
    <row r="8" spans="1:42" ht="19.5" customHeight="1">
      <c r="A8" s="311"/>
      <c r="C8" s="312"/>
      <c r="D8" s="312"/>
      <c r="E8" s="312"/>
      <c r="F8" s="313"/>
      <c r="G8" s="313"/>
      <c r="H8" s="313"/>
      <c r="I8" s="313"/>
      <c r="J8" s="313"/>
      <c r="K8" s="313"/>
      <c r="L8" s="313"/>
      <c r="M8" s="313"/>
      <c r="N8" s="313"/>
      <c r="O8" s="313"/>
      <c r="P8" s="313"/>
      <c r="Q8" s="313"/>
      <c r="R8" s="313"/>
      <c r="S8" s="313" t="s">
        <v>14</v>
      </c>
      <c r="T8" s="313"/>
      <c r="U8" s="313"/>
      <c r="V8" s="313"/>
      <c r="W8" s="313"/>
      <c r="X8" s="313"/>
      <c r="Y8" s="313"/>
      <c r="Z8" s="313"/>
      <c r="AA8" s="313"/>
      <c r="AB8" s="313"/>
      <c r="AC8" s="313"/>
      <c r="AD8" s="313"/>
      <c r="AE8" s="318"/>
    </row>
    <row r="9" spans="1:42" ht="15.75" customHeight="1">
      <c r="A9" s="311"/>
      <c r="B9" s="317"/>
      <c r="C9" s="312"/>
      <c r="D9" s="312"/>
      <c r="E9" s="312"/>
      <c r="F9" s="313"/>
      <c r="G9" s="313"/>
      <c r="H9" s="313"/>
      <c r="I9" s="313"/>
      <c r="J9" s="313"/>
      <c r="K9" s="313"/>
      <c r="L9" s="313"/>
      <c r="M9" s="313"/>
      <c r="N9" s="313"/>
      <c r="O9" s="313"/>
      <c r="P9" s="313"/>
      <c r="Q9" s="313"/>
      <c r="R9" s="313"/>
      <c r="S9" s="313"/>
      <c r="T9" s="313"/>
      <c r="U9" s="313"/>
      <c r="V9" s="313"/>
      <c r="W9" s="313"/>
      <c r="X9" s="313"/>
      <c r="Y9" s="313"/>
      <c r="Z9" s="313"/>
      <c r="AA9" s="313"/>
      <c r="AB9" s="313"/>
      <c r="AC9" s="313"/>
      <c r="AD9" s="313"/>
      <c r="AE9" s="318"/>
    </row>
    <row r="10" spans="1:42" ht="15.75" customHeight="1">
      <c r="A10" s="311"/>
      <c r="B10" s="319"/>
      <c r="C10" s="312"/>
      <c r="D10" s="312"/>
      <c r="E10" s="312"/>
      <c r="F10" s="313"/>
      <c r="G10" s="313"/>
      <c r="H10" s="313"/>
      <c r="I10" s="313"/>
      <c r="J10" s="313"/>
      <c r="K10" s="313"/>
      <c r="L10" s="313"/>
      <c r="M10" s="313"/>
      <c r="N10" s="313"/>
      <c r="O10" s="313"/>
      <c r="P10" s="313"/>
      <c r="Q10" s="313"/>
      <c r="R10" s="313"/>
      <c r="S10" s="313"/>
      <c r="T10" s="313"/>
      <c r="U10" s="313"/>
      <c r="V10" s="313"/>
      <c r="W10" s="313"/>
      <c r="X10" s="313"/>
      <c r="Y10" s="313"/>
      <c r="Z10" s="313"/>
      <c r="AA10" s="313"/>
      <c r="AB10" s="313"/>
      <c r="AC10" s="313"/>
      <c r="AD10" s="313"/>
      <c r="AE10" s="318"/>
    </row>
    <row r="11" spans="1:42" ht="15.75" customHeight="1">
      <c r="A11" s="311"/>
      <c r="B11" s="319"/>
      <c r="C11" s="312"/>
      <c r="D11" s="312"/>
      <c r="E11" s="745"/>
      <c r="F11" s="746"/>
      <c r="G11" s="746"/>
      <c r="H11" s="746"/>
      <c r="I11" s="746"/>
      <c r="J11" s="746"/>
      <c r="K11" s="746"/>
      <c r="L11" s="746"/>
      <c r="M11" s="746"/>
      <c r="N11" s="746"/>
      <c r="O11" s="746"/>
      <c r="P11" s="746"/>
      <c r="Q11" s="746"/>
      <c r="R11" s="746"/>
      <c r="S11" s="746"/>
      <c r="T11" s="746"/>
      <c r="U11" s="746"/>
      <c r="V11" s="746"/>
      <c r="W11" s="746"/>
      <c r="X11" s="746"/>
      <c r="Y11" s="746"/>
      <c r="Z11" s="746"/>
      <c r="AA11" s="746"/>
      <c r="AB11" s="746"/>
      <c r="AC11" s="743" t="s">
        <v>1175</v>
      </c>
      <c r="AD11" s="746"/>
      <c r="AE11" s="747"/>
      <c r="AF11" s="3971" t="s">
        <v>1563</v>
      </c>
      <c r="AG11" s="3972"/>
      <c r="AH11" s="3972"/>
      <c r="AI11" s="3972"/>
      <c r="AJ11" s="3972"/>
      <c r="AK11" s="3972"/>
      <c r="AL11" s="3972"/>
      <c r="AM11" s="3972"/>
      <c r="AN11" s="3972"/>
    </row>
    <row r="12" spans="1:42" ht="15.75" customHeight="1">
      <c r="A12" s="320"/>
      <c r="B12" s="320"/>
      <c r="C12" s="320"/>
      <c r="D12" s="320"/>
      <c r="E12" s="735" t="str">
        <f>'Cashflow Governmental'!C13</f>
        <v>2021</v>
      </c>
      <c r="F12" s="748"/>
      <c r="G12" s="748"/>
      <c r="H12" s="748"/>
      <c r="I12" s="748"/>
      <c r="J12" s="748"/>
      <c r="K12" s="748"/>
      <c r="L12" s="748"/>
      <c r="M12" s="748"/>
      <c r="N12" s="748"/>
      <c r="O12" s="748"/>
      <c r="P12" s="748"/>
      <c r="Q12" s="748"/>
      <c r="R12" s="748"/>
      <c r="S12" s="748"/>
      <c r="T12" s="748"/>
      <c r="U12" s="748"/>
      <c r="V12" s="748"/>
      <c r="W12" s="735">
        <f>'Cashflow Governmental'!U13</f>
        <v>2022</v>
      </c>
      <c r="X12" s="748"/>
      <c r="Y12" s="748"/>
      <c r="Z12" s="748"/>
      <c r="AA12" s="748"/>
      <c r="AB12" s="748"/>
      <c r="AC12" s="743" t="s">
        <v>1176</v>
      </c>
      <c r="AD12" s="748"/>
      <c r="AE12" s="748"/>
      <c r="AF12" s="749"/>
      <c r="AG12" s="749"/>
      <c r="AH12" s="749"/>
      <c r="AI12" s="1088"/>
      <c r="AJ12" s="749"/>
      <c r="AK12" s="749"/>
      <c r="AL12" s="739" t="s">
        <v>7</v>
      </c>
      <c r="AM12" s="739"/>
      <c r="AN12" s="736" t="s">
        <v>8</v>
      </c>
      <c r="AO12" s="752"/>
    </row>
    <row r="13" spans="1:42" ht="15.75" customHeight="1">
      <c r="A13" s="28"/>
      <c r="B13" s="28"/>
      <c r="C13" s="28"/>
      <c r="D13" s="28"/>
      <c r="E13" s="1107" t="s">
        <v>123</v>
      </c>
      <c r="F13" s="251"/>
      <c r="G13" s="1107" t="s">
        <v>124</v>
      </c>
      <c r="H13" s="251"/>
      <c r="I13" s="1107" t="s">
        <v>125</v>
      </c>
      <c r="J13" s="251"/>
      <c r="K13" s="1107" t="s">
        <v>126</v>
      </c>
      <c r="L13" s="251"/>
      <c r="M13" s="1918" t="s">
        <v>127</v>
      </c>
      <c r="N13" s="251"/>
      <c r="O13" s="1107" t="s">
        <v>142</v>
      </c>
      <c r="P13" s="251"/>
      <c r="Q13" s="1107" t="s">
        <v>143</v>
      </c>
      <c r="R13" s="251"/>
      <c r="S13" s="1107" t="s">
        <v>130</v>
      </c>
      <c r="T13" s="251"/>
      <c r="U13" s="1107" t="s">
        <v>131</v>
      </c>
      <c r="V13" s="251"/>
      <c r="W13" s="1107" t="s">
        <v>132</v>
      </c>
      <c r="X13" s="251"/>
      <c r="Y13" s="1107" t="s">
        <v>133</v>
      </c>
      <c r="Z13" s="251"/>
      <c r="AA13" s="1107" t="s">
        <v>184</v>
      </c>
      <c r="AB13" s="743"/>
      <c r="AC13" s="1934" t="s">
        <v>1177</v>
      </c>
      <c r="AD13" s="251"/>
      <c r="AE13" s="251"/>
      <c r="AF13" s="1107">
        <f>'Cashflow Governmental'!AB14</f>
        <v>2021</v>
      </c>
      <c r="AG13" s="251"/>
      <c r="AH13" s="251"/>
      <c r="AI13" s="750">
        <f>'Cashflow Governmental'!AE14</f>
        <v>2020</v>
      </c>
      <c r="AJ13" s="751"/>
      <c r="AK13" s="751"/>
      <c r="AL13" s="744" t="s">
        <v>11</v>
      </c>
      <c r="AM13" s="738"/>
      <c r="AN13" s="744" t="s">
        <v>12</v>
      </c>
      <c r="AO13" s="1109"/>
      <c r="AP13" s="322"/>
    </row>
    <row r="14" spans="1:42" ht="6" customHeight="1">
      <c r="A14" s="28"/>
      <c r="B14" s="26"/>
      <c r="C14" s="26"/>
      <c r="D14" s="28"/>
      <c r="E14" s="56"/>
      <c r="F14" s="56"/>
      <c r="G14" s="56"/>
      <c r="H14" s="56"/>
      <c r="I14" s="56"/>
      <c r="J14" s="56"/>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114"/>
      <c r="AJ14" s="56"/>
      <c r="AK14" s="163"/>
      <c r="AL14" s="322"/>
      <c r="AM14" s="322"/>
      <c r="AN14" s="322"/>
      <c r="AO14" s="322"/>
    </row>
    <row r="15" spans="1:42" ht="15.75" customHeight="1">
      <c r="A15" s="28"/>
      <c r="B15" s="170" t="s">
        <v>1138</v>
      </c>
      <c r="C15" s="26"/>
      <c r="D15" s="28"/>
      <c r="E15" s="303">
        <f>'Exhibit I State'!E14+'Exhibit I Federal'!E14</f>
        <v>-1144</v>
      </c>
      <c r="F15" s="91"/>
      <c r="G15" s="91">
        <f>E103</f>
        <v>-1121.8</v>
      </c>
      <c r="H15" s="91"/>
      <c r="I15" s="91">
        <f>G103</f>
        <v>-1346.9</v>
      </c>
      <c r="J15" s="91"/>
      <c r="K15" s="91">
        <f>I103</f>
        <v>-1561.7</v>
      </c>
      <c r="L15" s="91"/>
      <c r="M15" s="91">
        <f>K103</f>
        <v>-1706.2</v>
      </c>
      <c r="N15" s="91"/>
      <c r="O15" s="91">
        <f>M103</f>
        <v>-1798.6</v>
      </c>
      <c r="P15" s="91"/>
      <c r="Q15" s="91"/>
      <c r="R15" s="91"/>
      <c r="S15" s="91"/>
      <c r="T15" s="91"/>
      <c r="U15" s="91"/>
      <c r="V15" s="91"/>
      <c r="W15" s="91"/>
      <c r="X15" s="91"/>
      <c r="Y15" s="91"/>
      <c r="Z15" s="91"/>
      <c r="AA15" s="91"/>
      <c r="AB15" s="91"/>
      <c r="AC15" s="91"/>
      <c r="AD15" s="91"/>
      <c r="AE15" s="92"/>
      <c r="AF15" s="132">
        <f>E15</f>
        <v>-1144</v>
      </c>
      <c r="AG15" s="215"/>
      <c r="AH15" s="216"/>
      <c r="AI15" s="3423">
        <f>'Exhibit I State'!AG14+'Exhibit I Federal'!AG14</f>
        <v>-1034.9000000000001</v>
      </c>
      <c r="AJ15" s="91"/>
      <c r="AK15" s="324"/>
      <c r="AL15" s="323">
        <f>+AF15-AI15</f>
        <v>-109.09999999999991</v>
      </c>
      <c r="AM15" s="325"/>
      <c r="AN15" s="1417">
        <f>ROUND(IF(AI15=0,0,-AL15/(AI15)),3)</f>
        <v>-0.105</v>
      </c>
      <c r="AO15" s="327"/>
    </row>
    <row r="16" spans="1:42" ht="15.75" customHeight="1">
      <c r="A16" s="28"/>
      <c r="B16" s="26"/>
      <c r="C16" s="26"/>
      <c r="D16" s="28"/>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249"/>
      <c r="AF16" s="162"/>
      <c r="AG16" s="257"/>
      <c r="AH16" s="56"/>
      <c r="AI16" s="137"/>
      <c r="AJ16" s="162"/>
      <c r="AK16" s="321"/>
      <c r="AL16" s="322"/>
      <c r="AM16" s="322"/>
      <c r="AN16" s="322"/>
    </row>
    <row r="17" spans="1:46">
      <c r="A17" s="28"/>
      <c r="B17" s="26" t="s">
        <v>194</v>
      </c>
      <c r="C17" s="28"/>
      <c r="D17" s="28"/>
      <c r="E17" s="162"/>
      <c r="F17" s="162"/>
      <c r="G17" s="162"/>
      <c r="H17" s="162"/>
      <c r="I17" s="162"/>
      <c r="J17" s="162"/>
      <c r="K17" s="162"/>
      <c r="L17" s="162"/>
      <c r="M17" s="162"/>
      <c r="N17" s="162"/>
      <c r="O17" s="162"/>
      <c r="P17" s="162"/>
      <c r="Q17" s="162"/>
      <c r="R17" s="162"/>
      <c r="S17" s="162"/>
      <c r="T17" s="162"/>
      <c r="U17" s="162"/>
      <c r="V17" s="162"/>
      <c r="W17" s="162"/>
      <c r="X17" s="162"/>
      <c r="Y17" s="162"/>
      <c r="Z17" s="162"/>
      <c r="AA17" s="162"/>
      <c r="AB17" s="162"/>
      <c r="AC17" s="162"/>
      <c r="AD17" s="162"/>
      <c r="AE17" s="249"/>
      <c r="AF17" s="137"/>
      <c r="AG17" s="257"/>
      <c r="AH17" s="56"/>
      <c r="AI17" s="137"/>
      <c r="AJ17" s="162"/>
      <c r="AK17" s="321"/>
      <c r="AL17" s="322"/>
      <c r="AM17" s="322"/>
      <c r="AN17" s="322"/>
    </row>
    <row r="18" spans="1:46">
      <c r="A18" s="28"/>
      <c r="B18" s="258" t="s">
        <v>994</v>
      </c>
      <c r="C18" s="28"/>
      <c r="D18" s="28"/>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249"/>
      <c r="AF18" s="137"/>
      <c r="AG18" s="1053"/>
      <c r="AH18" s="56"/>
      <c r="AI18" s="137"/>
      <c r="AJ18" s="162"/>
      <c r="AK18" s="321"/>
      <c r="AL18" s="322"/>
      <c r="AM18" s="322"/>
      <c r="AN18" s="322"/>
    </row>
    <row r="19" spans="1:46">
      <c r="A19" s="28"/>
      <c r="B19" s="1040" t="s">
        <v>1056</v>
      </c>
      <c r="C19" s="28"/>
      <c r="D19" s="28"/>
      <c r="E19" s="162"/>
      <c r="F19" s="162"/>
      <c r="G19" s="162"/>
      <c r="H19" s="162"/>
      <c r="I19" s="162"/>
      <c r="J19" s="162"/>
      <c r="K19" s="162"/>
      <c r="L19" s="162"/>
      <c r="M19" s="162"/>
      <c r="N19" s="162"/>
      <c r="O19" s="162"/>
      <c r="P19" s="162"/>
      <c r="Q19" s="162"/>
      <c r="R19" s="162"/>
      <c r="S19" s="162"/>
      <c r="T19" s="162"/>
      <c r="U19" s="162"/>
      <c r="V19" s="162"/>
      <c r="W19" s="162"/>
      <c r="X19" s="162"/>
      <c r="Y19" s="162"/>
      <c r="Z19" s="162"/>
      <c r="AA19" s="162"/>
      <c r="AB19" s="162"/>
      <c r="AC19" s="162"/>
      <c r="AD19" s="162"/>
      <c r="AE19" s="249"/>
      <c r="AF19" s="137"/>
      <c r="AG19" s="1053"/>
      <c r="AH19" s="56"/>
      <c r="AI19" s="137"/>
      <c r="AJ19" s="162"/>
      <c r="AK19" s="321"/>
      <c r="AL19" s="322"/>
      <c r="AM19" s="322"/>
      <c r="AN19" s="322"/>
    </row>
    <row r="20" spans="1:46">
      <c r="A20" s="28"/>
      <c r="B20" s="661" t="s">
        <v>1010</v>
      </c>
      <c r="C20" s="28"/>
      <c r="D20" s="28"/>
      <c r="E20" s="1353">
        <f>+'Exhibit I State'!E19</f>
        <v>2.1</v>
      </c>
      <c r="F20" s="1408"/>
      <c r="G20" s="1353">
        <f>+'Exhibit I State'!G19</f>
        <v>0</v>
      </c>
      <c r="H20" s="1408"/>
      <c r="I20" s="1353">
        <f>+'Exhibit I State'!I19</f>
        <v>17.5</v>
      </c>
      <c r="J20" s="1429"/>
      <c r="K20" s="1353">
        <f>+'Exhibit I State'!K19</f>
        <v>0.10000000000000142</v>
      </c>
      <c r="L20" s="1445"/>
      <c r="M20" s="1353">
        <f>+'Exhibit I State'!M19</f>
        <v>-0.10000000000000142</v>
      </c>
      <c r="N20" s="1445"/>
      <c r="O20" s="1353">
        <f>+'Exhibit I State'!O19</f>
        <v>26.299999999999997</v>
      </c>
      <c r="P20" s="299"/>
      <c r="Q20" s="1353"/>
      <c r="R20" s="299"/>
      <c r="S20" s="1353"/>
      <c r="T20" s="299"/>
      <c r="U20" s="1353"/>
      <c r="V20" s="299"/>
      <c r="W20" s="1353"/>
      <c r="X20" s="299"/>
      <c r="Y20" s="1353"/>
      <c r="Z20" s="299"/>
      <c r="AA20" s="1353"/>
      <c r="AB20" s="1353"/>
      <c r="AC20" s="1353">
        <v>0</v>
      </c>
      <c r="AD20" s="1041"/>
      <c r="AE20" s="299"/>
      <c r="AF20" s="115">
        <f>ROUND(SUM(E20:AC20),1)</f>
        <v>45.9</v>
      </c>
      <c r="AG20" s="1042"/>
      <c r="AH20" s="300"/>
      <c r="AI20" s="3424">
        <f>+'Exhibit I State'!AG19</f>
        <v>26.4</v>
      </c>
      <c r="AJ20" s="301"/>
      <c r="AK20" s="305"/>
      <c r="AL20" s="308">
        <f>ROUND(SUM(AF20-AI20),1)</f>
        <v>19.5</v>
      </c>
      <c r="AM20" s="302"/>
      <c r="AN20" s="1465">
        <f>ROUND(IF(AI20=0,0,AL20/ABS(AI20)),3)</f>
        <v>0.73899999999999999</v>
      </c>
      <c r="AO20" s="542"/>
    </row>
    <row r="21" spans="1:46">
      <c r="A21" s="28"/>
      <c r="B21" s="661" t="s">
        <v>1012</v>
      </c>
      <c r="C21" s="28"/>
      <c r="D21" s="28"/>
      <c r="E21" s="1353">
        <f>+'Exhibit I State'!E20</f>
        <v>26.9</v>
      </c>
      <c r="F21" s="1408"/>
      <c r="G21" s="1353">
        <f>+'Exhibit I State'!G20</f>
        <v>31.700000000000003</v>
      </c>
      <c r="H21" s="1408"/>
      <c r="I21" s="1353">
        <f>+'Exhibit I State'!I20</f>
        <v>36.700000000000003</v>
      </c>
      <c r="J21" s="1429"/>
      <c r="K21" s="1353">
        <f>+'Exhibit I State'!K20</f>
        <v>35</v>
      </c>
      <c r="L21" s="1445"/>
      <c r="M21" s="1353">
        <f>+'Exhibit I State'!M20</f>
        <v>36.399999999999977</v>
      </c>
      <c r="N21" s="1445"/>
      <c r="O21" s="1353">
        <f>+'Exhibit I State'!O20</f>
        <v>37.600000000000009</v>
      </c>
      <c r="P21" s="299"/>
      <c r="Q21" s="1353"/>
      <c r="R21" s="299"/>
      <c r="S21" s="1353"/>
      <c r="T21" s="299"/>
      <c r="U21" s="1353"/>
      <c r="V21" s="299"/>
      <c r="W21" s="1353"/>
      <c r="X21" s="299"/>
      <c r="Y21" s="1353"/>
      <c r="Z21" s="299"/>
      <c r="AA21" s="1353"/>
      <c r="AB21" s="1353"/>
      <c r="AC21" s="1353">
        <v>0</v>
      </c>
      <c r="AD21" s="1041"/>
      <c r="AE21" s="299"/>
      <c r="AF21" s="115">
        <f>ROUND(SUM(E21:AC21),1)</f>
        <v>204.3</v>
      </c>
      <c r="AG21" s="1042"/>
      <c r="AH21" s="300"/>
      <c r="AI21" s="3424">
        <f>+'Exhibit I State'!AG20</f>
        <v>162.70000000000002</v>
      </c>
      <c r="AJ21" s="301"/>
      <c r="AK21" s="305"/>
      <c r="AL21" s="308">
        <f>ROUND(SUM(AF21-AI21),1)</f>
        <v>41.6</v>
      </c>
      <c r="AM21" s="302"/>
      <c r="AN21" s="8">
        <f>ROUND(IF(AI21=0,0,AL21/ABS(AI21)),3)</f>
        <v>0.25600000000000001</v>
      </c>
      <c r="AO21" s="542"/>
    </row>
    <row r="22" spans="1:46">
      <c r="A22" s="28"/>
      <c r="B22" s="661" t="s">
        <v>1014</v>
      </c>
      <c r="C22" s="28"/>
      <c r="D22" s="28"/>
      <c r="E22" s="1353">
        <f>+'Exhibit I State'!E21</f>
        <v>14.5</v>
      </c>
      <c r="F22" s="1408"/>
      <c r="G22" s="1353">
        <f>+'Exhibit I State'!G21</f>
        <v>10.5</v>
      </c>
      <c r="H22" s="1408"/>
      <c r="I22" s="1353">
        <f>+'Exhibit I State'!I21</f>
        <v>11.600000000000001</v>
      </c>
      <c r="J22" s="1429"/>
      <c r="K22" s="1353">
        <f>+'Exhibit I State'!K21</f>
        <v>12.100000000000001</v>
      </c>
      <c r="L22" s="1445"/>
      <c r="M22" s="1353">
        <f>+'Exhibit I State'!M21</f>
        <v>13.299999999999997</v>
      </c>
      <c r="N22" s="1445"/>
      <c r="O22" s="1353">
        <f>+'Exhibit I State'!O21</f>
        <v>10.599999999999994</v>
      </c>
      <c r="P22" s="299"/>
      <c r="Q22" s="1353"/>
      <c r="R22" s="299"/>
      <c r="S22" s="1353"/>
      <c r="T22" s="299"/>
      <c r="U22" s="1353"/>
      <c r="V22" s="299"/>
      <c r="W22" s="1353"/>
      <c r="X22" s="299"/>
      <c r="Y22" s="1353"/>
      <c r="Z22" s="299"/>
      <c r="AA22" s="1353"/>
      <c r="AB22" s="1353"/>
      <c r="AC22" s="1353">
        <v>0</v>
      </c>
      <c r="AD22" s="1041"/>
      <c r="AE22" s="299"/>
      <c r="AF22" s="115">
        <f>ROUND(SUM(E22:AC22),1)</f>
        <v>72.599999999999994</v>
      </c>
      <c r="AG22" s="1042"/>
      <c r="AH22" s="300"/>
      <c r="AI22" s="3424">
        <f>+'Exhibit I State'!AG21</f>
        <v>68.099999999999994</v>
      </c>
      <c r="AJ22" s="301"/>
      <c r="AK22" s="305"/>
      <c r="AL22" s="308">
        <f>ROUND(SUM(AF22-AI22),1)</f>
        <v>4.5</v>
      </c>
      <c r="AM22" s="302"/>
      <c r="AN22" s="1451">
        <f>ROUND(IF(AI22=0,0,AL22/ABS(AI22)),3)</f>
        <v>6.6000000000000003E-2</v>
      </c>
      <c r="AO22" s="542"/>
    </row>
    <row r="23" spans="1:46">
      <c r="A23" s="28"/>
      <c r="B23" s="307" t="s">
        <v>1097</v>
      </c>
      <c r="C23" s="28"/>
      <c r="D23" s="28"/>
      <c r="E23" s="1446">
        <f>ROUND(SUM(E20:E22),1)</f>
        <v>43.5</v>
      </c>
      <c r="F23" s="1447"/>
      <c r="G23" s="1446">
        <f>ROUND(SUM(G20:G22),1)</f>
        <v>42.2</v>
      </c>
      <c r="H23" s="1447"/>
      <c r="I23" s="1446">
        <f>ROUND(SUM(I20:I22),1)</f>
        <v>65.8</v>
      </c>
      <c r="J23" s="1447"/>
      <c r="K23" s="1446">
        <f>ROUND(SUM(K20:K22),1)</f>
        <v>47.2</v>
      </c>
      <c r="L23" s="1445"/>
      <c r="M23" s="1446">
        <f>ROUND(SUM(M20:M22),1)</f>
        <v>49.6</v>
      </c>
      <c r="N23" s="1445"/>
      <c r="O23" s="1446">
        <f>ROUND(SUM(O20:O22),1)</f>
        <v>74.5</v>
      </c>
      <c r="P23" s="299"/>
      <c r="Q23" s="1446">
        <f>ROUND(SUM(Q20:Q22),1)</f>
        <v>0</v>
      </c>
      <c r="R23" s="299"/>
      <c r="S23" s="1446">
        <f>ROUND(SUM(S20:S22),1)</f>
        <v>0</v>
      </c>
      <c r="T23" s="299"/>
      <c r="U23" s="1446">
        <f>ROUND(SUM(U20:U22),1)</f>
        <v>0</v>
      </c>
      <c r="V23" s="299"/>
      <c r="W23" s="1446">
        <f>ROUND(SUM(W20:W22),1)</f>
        <v>0</v>
      </c>
      <c r="X23" s="299"/>
      <c r="Y23" s="1446">
        <f>ROUND(SUM(Y20:Y22),1)</f>
        <v>0</v>
      </c>
      <c r="Z23" s="299"/>
      <c r="AA23" s="1446">
        <f>ROUND(SUM(AA20:AA22),1)</f>
        <v>0</v>
      </c>
      <c r="AB23" s="1448"/>
      <c r="AC23" s="1446">
        <f>ROUND(SUM(AC20:AC22),1)</f>
        <v>0</v>
      </c>
      <c r="AD23" s="1041"/>
      <c r="AE23" s="299"/>
      <c r="AF23" s="1523">
        <f>ROUND(SUM(AF20:AF22),1)</f>
        <v>322.8</v>
      </c>
      <c r="AG23" s="1042"/>
      <c r="AH23" s="300"/>
      <c r="AI23" s="1523">
        <f>ROUND(SUM(AI20:AI22),1)</f>
        <v>257.2</v>
      </c>
      <c r="AJ23" s="301"/>
      <c r="AK23" s="305"/>
      <c r="AL23" s="1108">
        <f>ROUND(SUM(AF23-AI23),1)</f>
        <v>65.599999999999994</v>
      </c>
      <c r="AM23" s="304"/>
      <c r="AN23" s="13">
        <f>ROUND(IF(AI23=0,0,AL23/ABS(AI23)),3)</f>
        <v>0.255</v>
      </c>
      <c r="AO23" s="542"/>
    </row>
    <row r="24" spans="1:46">
      <c r="A24" s="28"/>
      <c r="B24" s="1040" t="s">
        <v>1057</v>
      </c>
      <c r="C24" s="28"/>
      <c r="D24" s="28"/>
      <c r="E24" s="1448"/>
      <c r="F24" s="1447"/>
      <c r="G24" s="1448"/>
      <c r="H24" s="1447"/>
      <c r="I24" s="1448"/>
      <c r="J24" s="1447"/>
      <c r="K24" s="1448"/>
      <c r="L24" s="1445"/>
      <c r="M24" s="1448"/>
      <c r="N24" s="1445"/>
      <c r="O24" s="1448"/>
      <c r="P24" s="299"/>
      <c r="Q24" s="1448"/>
      <c r="R24" s="299"/>
      <c r="S24" s="1448"/>
      <c r="T24" s="299"/>
      <c r="U24" s="1448"/>
      <c r="V24" s="299"/>
      <c r="W24" s="1448"/>
      <c r="X24" s="299"/>
      <c r="Y24" s="1448"/>
      <c r="Z24" s="299"/>
      <c r="AA24" s="1448"/>
      <c r="AB24" s="1448"/>
      <c r="AC24" s="1448"/>
      <c r="AD24" s="1041"/>
      <c r="AE24" s="299"/>
      <c r="AF24" s="112"/>
      <c r="AG24" s="1042"/>
      <c r="AH24" s="300"/>
      <c r="AI24" s="112"/>
      <c r="AJ24" s="301"/>
      <c r="AK24" s="305"/>
      <c r="AL24" s="1044"/>
      <c r="AM24" s="304"/>
      <c r="AN24" s="21"/>
      <c r="AO24" s="542"/>
    </row>
    <row r="25" spans="1:46">
      <c r="A25" s="28"/>
      <c r="B25" s="661" t="s">
        <v>1016</v>
      </c>
      <c r="C25" s="28"/>
      <c r="D25" s="28"/>
      <c r="E25" s="1353">
        <f>+'Exhibit I State'!E24</f>
        <v>0</v>
      </c>
      <c r="F25" s="1447"/>
      <c r="G25" s="1353">
        <f>+'Exhibit I State'!G24</f>
        <v>0</v>
      </c>
      <c r="H25" s="1447"/>
      <c r="I25" s="1353">
        <f>+'Exhibit I State'!I24</f>
        <v>0</v>
      </c>
      <c r="J25" s="1447"/>
      <c r="K25" s="1353">
        <f>+'Exhibit I State'!K24</f>
        <v>0</v>
      </c>
      <c r="L25" s="1445"/>
      <c r="M25" s="1353">
        <f>+'Exhibit I State'!M24</f>
        <v>0</v>
      </c>
      <c r="N25" s="1445"/>
      <c r="O25" s="1353">
        <f>+'Exhibit I State'!O24</f>
        <v>0</v>
      </c>
      <c r="P25" s="299"/>
      <c r="Q25" s="1353"/>
      <c r="R25" s="299"/>
      <c r="S25" s="1353"/>
      <c r="T25" s="299"/>
      <c r="U25" s="1353"/>
      <c r="V25" s="299"/>
      <c r="W25" s="1353"/>
      <c r="X25" s="299"/>
      <c r="Y25" s="1353"/>
      <c r="Z25" s="299"/>
      <c r="AA25" s="1353"/>
      <c r="AB25" s="1353"/>
      <c r="AC25" s="1353">
        <v>0</v>
      </c>
      <c r="AD25" s="1041"/>
      <c r="AE25" s="299"/>
      <c r="AF25" s="1013">
        <v>0</v>
      </c>
      <c r="AG25" s="1042"/>
      <c r="AH25" s="300"/>
      <c r="AI25" s="3424">
        <f>+'Exhibit I State'!AG24</f>
        <v>0</v>
      </c>
      <c r="AJ25" s="301"/>
      <c r="AK25" s="305"/>
      <c r="AL25" s="308">
        <f>ROUND(SUM(AF25-AI25),1)</f>
        <v>0</v>
      </c>
      <c r="AM25" s="302"/>
      <c r="AN25" s="1444">
        <f>ROUND(IF(AI25=0,0,AL25/ABS(AI25)),3)</f>
        <v>0</v>
      </c>
      <c r="AO25" s="542"/>
      <c r="AP25" s="297"/>
      <c r="AQ25" s="297"/>
      <c r="AR25" s="297"/>
      <c r="AS25" s="297"/>
      <c r="AT25" s="297"/>
    </row>
    <row r="26" spans="1:46">
      <c r="A26" s="28"/>
      <c r="B26" s="661" t="s">
        <v>1017</v>
      </c>
      <c r="C26" s="28"/>
      <c r="D26" s="28"/>
      <c r="E26" s="1353">
        <f>+'Exhibit I State'!E25</f>
        <v>3.1</v>
      </c>
      <c r="F26" s="1408"/>
      <c r="G26" s="1353">
        <f>+'Exhibit I State'!G25</f>
        <v>0</v>
      </c>
      <c r="H26" s="1408"/>
      <c r="I26" s="1353">
        <f>+'Exhibit I State'!I25</f>
        <v>1.4</v>
      </c>
      <c r="J26" s="1447"/>
      <c r="K26" s="1353">
        <f>+'Exhibit I State'!K25</f>
        <v>-1.5</v>
      </c>
      <c r="L26" s="1445"/>
      <c r="M26" s="1353">
        <f>+'Exhibit I State'!M25</f>
        <v>-0.10000000000000009</v>
      </c>
      <c r="N26" s="1445"/>
      <c r="O26" s="1353">
        <f>+'Exhibit I State'!O25</f>
        <v>1.1999999999999997</v>
      </c>
      <c r="P26" s="299"/>
      <c r="Q26" s="1353"/>
      <c r="R26" s="299"/>
      <c r="S26" s="1353"/>
      <c r="T26" s="299"/>
      <c r="U26" s="1353"/>
      <c r="V26" s="299"/>
      <c r="W26" s="1353"/>
      <c r="X26" s="299"/>
      <c r="Y26" s="1353"/>
      <c r="Z26" s="299"/>
      <c r="AA26" s="1353"/>
      <c r="AB26" s="1353"/>
      <c r="AC26" s="1353">
        <v>0</v>
      </c>
      <c r="AD26" s="1041"/>
      <c r="AE26" s="299"/>
      <c r="AF26" s="115">
        <f>ROUND(SUM(E26:AC26),1)</f>
        <v>4.0999999999999996</v>
      </c>
      <c r="AG26" s="1042"/>
      <c r="AH26" s="300"/>
      <c r="AI26" s="3424">
        <f>+'Exhibit I State'!AG25</f>
        <v>5.0999999999999996</v>
      </c>
      <c r="AJ26" s="301"/>
      <c r="AK26" s="305"/>
      <c r="AL26" s="308">
        <f>ROUND(SUM(AF26-AI26),1)</f>
        <v>-1</v>
      </c>
      <c r="AM26" s="302"/>
      <c r="AN26" s="1465">
        <f>ROUND(IF(AI26=0,1,AL26/ABS(AI26)),3)</f>
        <v>-0.19600000000000001</v>
      </c>
      <c r="AO26" s="542"/>
      <c r="AP26" s="297"/>
      <c r="AQ26" s="297"/>
      <c r="AR26" s="297"/>
      <c r="AS26" s="297"/>
      <c r="AT26" s="297"/>
    </row>
    <row r="27" spans="1:46">
      <c r="A27" s="28"/>
      <c r="B27" s="661" t="s">
        <v>1020</v>
      </c>
      <c r="C27" s="28"/>
      <c r="D27" s="28"/>
      <c r="E27" s="1353">
        <f>+'Exhibit I State'!E26</f>
        <v>38.200000000000003</v>
      </c>
      <c r="F27" s="1408"/>
      <c r="G27" s="1353">
        <f>+'Exhibit I State'!G26</f>
        <v>50.399999999999991</v>
      </c>
      <c r="H27" s="1408"/>
      <c r="I27" s="1353">
        <f>+'Exhibit I State'!I26</f>
        <v>52</v>
      </c>
      <c r="J27" s="1447"/>
      <c r="K27" s="1353">
        <f>+'Exhibit I State'!K26</f>
        <v>55.3</v>
      </c>
      <c r="L27" s="1445"/>
      <c r="M27" s="1353">
        <f>+'Exhibit I State'!M26</f>
        <v>53.600000000000037</v>
      </c>
      <c r="N27" s="1445"/>
      <c r="O27" s="1353">
        <f>+'Exhibit I State'!O26</f>
        <v>43.699999999999989</v>
      </c>
      <c r="P27" s="299"/>
      <c r="Q27" s="1353"/>
      <c r="R27" s="299"/>
      <c r="S27" s="1353"/>
      <c r="T27" s="299"/>
      <c r="U27" s="1353"/>
      <c r="V27" s="299"/>
      <c r="W27" s="1353"/>
      <c r="X27" s="299"/>
      <c r="Y27" s="1353"/>
      <c r="Z27" s="299"/>
      <c r="AA27" s="1353"/>
      <c r="AB27" s="1353"/>
      <c r="AC27" s="1353">
        <v>0</v>
      </c>
      <c r="AD27" s="1041"/>
      <c r="AE27" s="299"/>
      <c r="AF27" s="115">
        <f>ROUND(SUM(E27:AC27),1)</f>
        <v>293.2</v>
      </c>
      <c r="AG27" s="1042"/>
      <c r="AH27" s="300"/>
      <c r="AI27" s="3424">
        <f>+'Exhibit I State'!AG26</f>
        <v>260.8</v>
      </c>
      <c r="AJ27" s="301"/>
      <c r="AK27" s="305"/>
      <c r="AL27" s="308">
        <f>ROUND(SUM(AF27-AI27),1)</f>
        <v>32.4</v>
      </c>
      <c r="AM27" s="302"/>
      <c r="AN27" s="1412">
        <f>ROUND(IF(AI27=0,0,AL27/ABS(AI27)),3)</f>
        <v>0.124</v>
      </c>
      <c r="AO27" s="542"/>
      <c r="AP27" s="297"/>
      <c r="AQ27" s="297"/>
      <c r="AR27" s="297"/>
      <c r="AS27" s="297"/>
      <c r="AT27" s="297"/>
    </row>
    <row r="28" spans="1:46">
      <c r="A28" s="28"/>
      <c r="B28" s="307" t="s">
        <v>1098</v>
      </c>
      <c r="C28" s="28"/>
      <c r="D28" s="28"/>
      <c r="E28" s="1446">
        <f>ROUND(SUM(E25:E27),1)</f>
        <v>41.3</v>
      </c>
      <c r="F28" s="1408"/>
      <c r="G28" s="1446">
        <f>ROUND(SUM(G25:G27),1)</f>
        <v>50.4</v>
      </c>
      <c r="H28" s="1408"/>
      <c r="I28" s="1446">
        <f>ROUND(SUM(I25:I27),1)</f>
        <v>53.4</v>
      </c>
      <c r="J28" s="1447"/>
      <c r="K28" s="1446">
        <f>ROUND(SUM(K25:K27),1)</f>
        <v>53.8</v>
      </c>
      <c r="L28" s="1445"/>
      <c r="M28" s="1446">
        <f>ROUND(SUM(M25:M27),1)</f>
        <v>53.5</v>
      </c>
      <c r="N28" s="1445"/>
      <c r="O28" s="1446">
        <f>ROUND(SUM(O25:O27),1)</f>
        <v>44.9</v>
      </c>
      <c r="P28" s="299"/>
      <c r="Q28" s="1446">
        <f>ROUND(SUM(Q25:Q27),1)</f>
        <v>0</v>
      </c>
      <c r="R28" s="299"/>
      <c r="S28" s="1446">
        <f>ROUND(SUM(S25:S27),1)</f>
        <v>0</v>
      </c>
      <c r="T28" s="299"/>
      <c r="U28" s="1446">
        <f>ROUND(SUM(U25:U27),1)</f>
        <v>0</v>
      </c>
      <c r="V28" s="299"/>
      <c r="W28" s="1446">
        <f>ROUND(SUM(W25:W27),1)</f>
        <v>0</v>
      </c>
      <c r="X28" s="299"/>
      <c r="Y28" s="1446">
        <f>ROUND(SUM(Y25:Y27),1)</f>
        <v>0</v>
      </c>
      <c r="Z28" s="299"/>
      <c r="AA28" s="1446">
        <f>ROUND(SUM(AA25:AA27),1)</f>
        <v>0</v>
      </c>
      <c r="AB28" s="1448"/>
      <c r="AC28" s="1446">
        <f>ROUND(SUM(AC25:AC27),1)</f>
        <v>0</v>
      </c>
      <c r="AD28" s="1041"/>
      <c r="AE28" s="299"/>
      <c r="AF28" s="1523">
        <f>ROUND(SUM(AF25:AF27),1)</f>
        <v>297.3</v>
      </c>
      <c r="AG28" s="1042"/>
      <c r="AH28" s="300"/>
      <c r="AI28" s="1523">
        <f>ROUND(SUM(AI25:AI27),1)</f>
        <v>265.89999999999998</v>
      </c>
      <c r="AJ28" s="301"/>
      <c r="AK28" s="305"/>
      <c r="AL28" s="667">
        <f>ROUND(SUM(AL25:AL27),1)</f>
        <v>31.4</v>
      </c>
      <c r="AM28" s="302"/>
      <c r="AN28" s="1441">
        <f>ROUND(IF(AI28=0,0,AL28/ABS(AI28)),3)</f>
        <v>0.11799999999999999</v>
      </c>
      <c r="AO28" s="542"/>
      <c r="AP28" s="297"/>
      <c r="AQ28" s="297"/>
      <c r="AR28" s="297"/>
      <c r="AS28" s="297"/>
      <c r="AT28" s="297"/>
    </row>
    <row r="29" spans="1:46">
      <c r="A29" s="28"/>
      <c r="B29" s="1040" t="s">
        <v>1058</v>
      </c>
      <c r="C29" s="28"/>
      <c r="D29" s="28"/>
      <c r="E29" s="1826"/>
      <c r="F29" s="1826"/>
      <c r="G29" s="1826"/>
      <c r="H29" s="1826"/>
      <c r="I29" s="1826"/>
      <c r="J29" s="1826"/>
      <c r="K29" s="1826"/>
      <c r="L29" s="1449"/>
      <c r="M29" s="1826"/>
      <c r="N29" s="1449"/>
      <c r="O29" s="1826"/>
      <c r="P29" s="162"/>
      <c r="Q29" s="1449"/>
      <c r="R29" s="162"/>
      <c r="S29" s="1449"/>
      <c r="T29" s="162"/>
      <c r="U29" s="1449"/>
      <c r="V29" s="162"/>
      <c r="W29" s="1449"/>
      <c r="X29" s="162"/>
      <c r="Y29" s="1449"/>
      <c r="Z29" s="162"/>
      <c r="AA29" s="1449"/>
      <c r="AB29" s="1449"/>
      <c r="AC29" s="1449"/>
      <c r="AD29" s="162"/>
      <c r="AE29" s="249"/>
      <c r="AF29" s="137"/>
      <c r="AG29" s="1053"/>
      <c r="AH29" s="56"/>
      <c r="AI29" s="137"/>
      <c r="AJ29" s="162"/>
      <c r="AK29" s="321"/>
      <c r="AL29" s="322"/>
      <c r="AM29" s="322"/>
      <c r="AN29" s="1450"/>
    </row>
    <row r="30" spans="1:46">
      <c r="A30" s="28"/>
      <c r="B30" s="661" t="s">
        <v>1026</v>
      </c>
      <c r="C30" s="28"/>
      <c r="D30" s="28"/>
      <c r="E30" s="1353">
        <f>+'Exhibit I State'!E29</f>
        <v>0</v>
      </c>
      <c r="F30" s="1408"/>
      <c r="G30" s="1353">
        <f>+'Exhibit I State'!G29</f>
        <v>0</v>
      </c>
      <c r="H30" s="1408"/>
      <c r="I30" s="1353">
        <f>+'Exhibit I State'!I29</f>
        <v>11.9</v>
      </c>
      <c r="J30" s="1447"/>
      <c r="K30" s="1353">
        <f>+'Exhibit I State'!K29</f>
        <v>11.9</v>
      </c>
      <c r="L30" s="1445"/>
      <c r="M30" s="1353">
        <f>+'Exhibit I State'!M29</f>
        <v>11.900000000000004</v>
      </c>
      <c r="N30" s="1445"/>
      <c r="O30" s="1353">
        <f>+'Exhibit I State'!O29</f>
        <v>12.000000000000002</v>
      </c>
      <c r="P30" s="299"/>
      <c r="Q30" s="1353"/>
      <c r="R30" s="299"/>
      <c r="S30" s="1353"/>
      <c r="T30" s="299"/>
      <c r="U30" s="1353"/>
      <c r="V30" s="299"/>
      <c r="W30" s="1353"/>
      <c r="X30" s="299"/>
      <c r="Y30" s="1353"/>
      <c r="Z30" s="299"/>
      <c r="AA30" s="1353"/>
      <c r="AB30" s="1353"/>
      <c r="AC30" s="1353">
        <v>0</v>
      </c>
      <c r="AD30" s="1041"/>
      <c r="AE30" s="299"/>
      <c r="AF30" s="115">
        <f>ROUND(SUM(E30:AC30),1)</f>
        <v>47.7</v>
      </c>
      <c r="AG30" s="1042"/>
      <c r="AH30" s="300"/>
      <c r="AI30" s="3424">
        <f>+'Exhibit I State'!AG29</f>
        <v>47.6</v>
      </c>
      <c r="AJ30" s="301"/>
      <c r="AK30" s="305"/>
      <c r="AL30" s="308">
        <f>ROUND(SUM(AF30-AI30),1)</f>
        <v>0.1</v>
      </c>
      <c r="AM30" s="302"/>
      <c r="AN30" s="1412">
        <f>ROUND(IF(AI30=0,0,AL30/ABS(AI30)),3)</f>
        <v>2E-3</v>
      </c>
      <c r="AO30" s="542"/>
      <c r="AP30" s="297"/>
      <c r="AQ30" s="297"/>
      <c r="AR30" s="297"/>
    </row>
    <row r="31" spans="1:46">
      <c r="A31" s="28"/>
      <c r="B31" s="307" t="s">
        <v>1099</v>
      </c>
      <c r="C31" s="28"/>
      <c r="D31" s="28"/>
      <c r="E31" s="255">
        <f>ROUND(SUM(E30:E30),1)</f>
        <v>0</v>
      </c>
      <c r="F31" s="911"/>
      <c r="G31" s="255">
        <f>ROUND(SUM(G30:G30),1)</f>
        <v>0</v>
      </c>
      <c r="H31" s="911"/>
      <c r="I31" s="255">
        <f>ROUND(SUM(I30:I30),1)</f>
        <v>11.9</v>
      </c>
      <c r="J31" s="911"/>
      <c r="K31" s="255">
        <f>ROUND(SUM(K30:K30),1)</f>
        <v>11.9</v>
      </c>
      <c r="L31" s="299"/>
      <c r="M31" s="255">
        <f>ROUND(SUM(M30:M30),1)</f>
        <v>11.9</v>
      </c>
      <c r="N31" s="299"/>
      <c r="O31" s="255">
        <f>ROUND(SUM(O30:O30),1)</f>
        <v>12</v>
      </c>
      <c r="P31" s="299"/>
      <c r="Q31" s="58">
        <f>ROUND(SUM(Q30:Q30),1)</f>
        <v>0</v>
      </c>
      <c r="R31" s="299"/>
      <c r="S31" s="58">
        <f>ROUND(SUM(S30:S30),1)</f>
        <v>0</v>
      </c>
      <c r="T31" s="299"/>
      <c r="U31" s="58">
        <f>ROUND(SUM(U30:U30),1)</f>
        <v>0</v>
      </c>
      <c r="V31" s="299"/>
      <c r="W31" s="58">
        <f>ROUND(SUM(W30:W30),1)</f>
        <v>0</v>
      </c>
      <c r="X31" s="299"/>
      <c r="Y31" s="58">
        <f>ROUND(SUM(Y30:Y30),1)</f>
        <v>0</v>
      </c>
      <c r="Z31" s="299"/>
      <c r="AA31" s="58">
        <f>ROUND(SUM(AA30:AA30),1)</f>
        <v>0</v>
      </c>
      <c r="AB31" s="1516"/>
      <c r="AC31" s="58">
        <f>ROUND(SUM(AC30:AC30),1)</f>
        <v>0</v>
      </c>
      <c r="AD31" s="1041"/>
      <c r="AE31" s="299"/>
      <c r="AF31" s="3386">
        <f>ROUND(SUM(AF30:AF30),1)</f>
        <v>47.7</v>
      </c>
      <c r="AG31" s="1042"/>
      <c r="AH31" s="300"/>
      <c r="AI31" s="3386">
        <f>ROUND(SUM(AI30:AI30),1)</f>
        <v>47.6</v>
      </c>
      <c r="AJ31" s="301"/>
      <c r="AK31" s="305"/>
      <c r="AL31" s="1108">
        <f>ROUND(SUM(AF31-AI31),1)</f>
        <v>0.1</v>
      </c>
      <c r="AM31" s="304"/>
      <c r="AN31" s="1428">
        <f>ROUND(IF(AI31=0,0,AL31/ABS(AI31)),3)</f>
        <v>2E-3</v>
      </c>
      <c r="AO31" s="542"/>
      <c r="AP31" s="297"/>
      <c r="AQ31" s="297"/>
      <c r="AR31" s="297"/>
    </row>
    <row r="32" spans="1:46">
      <c r="A32" s="28"/>
      <c r="B32" s="307"/>
      <c r="C32" s="28"/>
      <c r="D32" s="28"/>
      <c r="E32" s="255"/>
      <c r="F32" s="911"/>
      <c r="G32" s="255"/>
      <c r="H32" s="911"/>
      <c r="I32" s="255"/>
      <c r="J32" s="911"/>
      <c r="K32" s="255"/>
      <c r="L32" s="299"/>
      <c r="M32" s="255"/>
      <c r="N32" s="299"/>
      <c r="O32" s="255"/>
      <c r="P32" s="299"/>
      <c r="Q32" s="255"/>
      <c r="R32" s="299"/>
      <c r="S32" s="255"/>
      <c r="T32" s="299"/>
      <c r="U32" s="255"/>
      <c r="V32" s="299"/>
      <c r="W32" s="255"/>
      <c r="X32" s="299"/>
      <c r="Y32" s="255"/>
      <c r="Z32" s="299"/>
      <c r="AA32" s="255"/>
      <c r="AB32" s="1516"/>
      <c r="AC32" s="255"/>
      <c r="AD32" s="1041"/>
      <c r="AE32" s="299"/>
      <c r="AF32" s="1523"/>
      <c r="AG32" s="1042"/>
      <c r="AH32" s="300"/>
      <c r="AI32" s="300"/>
      <c r="AJ32" s="301"/>
      <c r="AK32" s="305"/>
      <c r="AL32" s="306"/>
      <c r="AM32" s="302"/>
      <c r="AN32" s="1440"/>
      <c r="AO32" s="542"/>
      <c r="AP32" s="297"/>
      <c r="AQ32" s="297"/>
      <c r="AR32" s="297"/>
    </row>
    <row r="33" spans="1:44">
      <c r="A33" s="28"/>
      <c r="B33" s="307" t="s">
        <v>1022</v>
      </c>
      <c r="C33" s="28"/>
      <c r="D33" s="28"/>
      <c r="E33" s="1827">
        <f>ROUND(SUM(E11+E28+E23+E31),1)</f>
        <v>84.8</v>
      </c>
      <c r="F33" s="1515"/>
      <c r="G33" s="1827">
        <f>ROUND(SUM(G11+G28+G23+G31),1)</f>
        <v>92.6</v>
      </c>
      <c r="H33" s="1515"/>
      <c r="I33" s="1827">
        <f>ROUND(SUM(I11+I28+I23+I31),1)</f>
        <v>131.1</v>
      </c>
      <c r="J33" s="1515"/>
      <c r="K33" s="1827">
        <f>ROUND(SUM(K11+K28+K23+K31),1)</f>
        <v>112.9</v>
      </c>
      <c r="L33" s="299"/>
      <c r="M33" s="1827">
        <f>ROUND(SUM(M11+M28+M23+M31),1)</f>
        <v>115</v>
      </c>
      <c r="N33" s="299"/>
      <c r="O33" s="1827">
        <f>ROUND(SUM(O11+O28+O23+O31),1)</f>
        <v>131.4</v>
      </c>
      <c r="P33" s="299"/>
      <c r="Q33" s="1043">
        <f>ROUND(SUM(Q11+Q28+Q23+Q31),1)</f>
        <v>0</v>
      </c>
      <c r="R33" s="299"/>
      <c r="S33" s="1043">
        <f>ROUND(SUM(S11+S28+S23+S31),1)</f>
        <v>0</v>
      </c>
      <c r="T33" s="299"/>
      <c r="U33" s="1043">
        <f>ROUND(SUM(U11+U28+U23+U31),1)</f>
        <v>0</v>
      </c>
      <c r="V33" s="299"/>
      <c r="W33" s="1043">
        <f>ROUND(SUM(W11+W28+W23+W31),1)</f>
        <v>0</v>
      </c>
      <c r="X33" s="299"/>
      <c r="Y33" s="1043">
        <f>ROUND(SUM(Y11+Y28+Y23+Y31),1)</f>
        <v>0</v>
      </c>
      <c r="Z33" s="299"/>
      <c r="AA33" s="1043">
        <f>ROUND(SUM(AA11+AA28+AA23+AA31),1)</f>
        <v>0</v>
      </c>
      <c r="AB33" s="1045"/>
      <c r="AC33" s="1043">
        <f>ROUND(SUM(AC15+AC28+AC23+AC31),1)</f>
        <v>0</v>
      </c>
      <c r="AD33" s="1041"/>
      <c r="AE33" s="299"/>
      <c r="AF33" s="1043">
        <f>ROUND(SUM(AF28+AF23+AF31),1)</f>
        <v>667.8</v>
      </c>
      <c r="AG33" s="1042"/>
      <c r="AH33" s="300"/>
      <c r="AI33" s="1043">
        <f>ROUND(SUM(AI28+AI23+AI31),1)</f>
        <v>570.70000000000005</v>
      </c>
      <c r="AJ33" s="301"/>
      <c r="AK33" s="305"/>
      <c r="AL33" s="1108">
        <f>ROUND(SUM(AF33-AI33),1)</f>
        <v>97.1</v>
      </c>
      <c r="AM33" s="304"/>
      <c r="AN33" s="1428">
        <f>ROUND(IF(AI33=0,0,AL33/ABS(AI33)),3)</f>
        <v>0.17</v>
      </c>
      <c r="AO33" s="542"/>
      <c r="AP33" s="297"/>
      <c r="AQ33" s="297"/>
      <c r="AR33" s="297"/>
    </row>
    <row r="34" spans="1:44">
      <c r="A34" s="28"/>
      <c r="B34" s="307"/>
      <c r="C34" s="28"/>
      <c r="D34" s="28"/>
      <c r="E34" s="1828"/>
      <c r="F34" s="1515"/>
      <c r="G34" s="1828"/>
      <c r="H34" s="1515"/>
      <c r="I34" s="1828"/>
      <c r="J34" s="1515"/>
      <c r="K34" s="1828"/>
      <c r="L34" s="299"/>
      <c r="M34" s="1828"/>
      <c r="N34" s="299"/>
      <c r="O34" s="1828"/>
      <c r="P34" s="299"/>
      <c r="Q34" s="1045"/>
      <c r="R34" s="299"/>
      <c r="S34" s="1045"/>
      <c r="T34" s="299"/>
      <c r="U34" s="1045"/>
      <c r="V34" s="299"/>
      <c r="W34" s="1045"/>
      <c r="X34" s="299"/>
      <c r="Y34" s="1045"/>
      <c r="Z34" s="299"/>
      <c r="AA34" s="1045"/>
      <c r="AB34" s="1045"/>
      <c r="AC34" s="1045"/>
      <c r="AD34" s="1366"/>
      <c r="AE34" s="299"/>
      <c r="AF34" s="1045"/>
      <c r="AG34" s="1042"/>
      <c r="AH34" s="300"/>
      <c r="AI34" s="1045"/>
      <c r="AJ34" s="301"/>
      <c r="AK34" s="305"/>
      <c r="AL34" s="1044"/>
      <c r="AM34" s="304"/>
      <c r="AN34" s="1417"/>
      <c r="AO34" s="542"/>
      <c r="AP34" s="297"/>
      <c r="AQ34" s="297"/>
      <c r="AR34" s="297"/>
    </row>
    <row r="35" spans="1:44">
      <c r="A35" s="28"/>
      <c r="B35" s="258" t="s">
        <v>930</v>
      </c>
      <c r="C35" s="28"/>
      <c r="D35" s="28"/>
      <c r="E35" s="650"/>
      <c r="F35" s="1515"/>
      <c r="G35" s="650"/>
      <c r="H35" s="1515"/>
      <c r="I35" s="650"/>
      <c r="J35" s="1515"/>
      <c r="K35" s="650"/>
      <c r="L35" s="63"/>
      <c r="M35" s="650"/>
      <c r="N35" s="63"/>
      <c r="O35" s="650"/>
      <c r="P35" s="63"/>
      <c r="Q35" s="167"/>
      <c r="R35" s="63"/>
      <c r="S35" s="167"/>
      <c r="T35" s="63"/>
      <c r="U35" s="167"/>
      <c r="V35" s="63"/>
      <c r="W35" s="167"/>
      <c r="X35" s="63"/>
      <c r="Y35" s="167"/>
      <c r="Z35" s="63"/>
      <c r="AA35" s="167"/>
      <c r="AB35" s="167"/>
      <c r="AC35" s="167"/>
      <c r="AD35" s="63"/>
      <c r="AE35" s="54"/>
      <c r="AF35" s="1069"/>
      <c r="AG35" s="966"/>
      <c r="AH35" s="57"/>
      <c r="AI35" s="3425"/>
      <c r="AJ35" s="74"/>
      <c r="AK35" s="330"/>
      <c r="AL35" s="55"/>
      <c r="AM35" s="328"/>
      <c r="AN35" s="1412"/>
      <c r="AO35" s="322"/>
    </row>
    <row r="36" spans="1:44">
      <c r="A36" s="28"/>
      <c r="B36" s="881" t="s">
        <v>1049</v>
      </c>
      <c r="C36" s="28"/>
      <c r="D36" s="28"/>
      <c r="E36" s="650"/>
      <c r="F36" s="1515"/>
      <c r="G36" s="650"/>
      <c r="H36" s="1515"/>
      <c r="I36" s="650"/>
      <c r="J36" s="1515"/>
      <c r="K36" s="650"/>
      <c r="L36" s="63"/>
      <c r="M36" s="650"/>
      <c r="N36" s="63"/>
      <c r="O36" s="650"/>
      <c r="P36" s="63"/>
      <c r="Q36" s="167"/>
      <c r="R36" s="63"/>
      <c r="S36" s="167"/>
      <c r="T36" s="63"/>
      <c r="U36" s="167"/>
      <c r="V36" s="63"/>
      <c r="W36" s="167"/>
      <c r="X36" s="63"/>
      <c r="Y36" s="167"/>
      <c r="Z36" s="63"/>
      <c r="AA36" s="167"/>
      <c r="AB36" s="167"/>
      <c r="AC36" s="167"/>
      <c r="AD36" s="63"/>
      <c r="AE36" s="54"/>
      <c r="AF36" s="1069"/>
      <c r="AG36" s="966"/>
      <c r="AH36" s="57"/>
      <c r="AI36" s="3425"/>
      <c r="AJ36" s="74"/>
      <c r="AK36" s="330"/>
      <c r="AL36" s="55"/>
      <c r="AM36" s="328"/>
      <c r="AN36" s="1412"/>
      <c r="AO36" s="322"/>
    </row>
    <row r="37" spans="1:44">
      <c r="A37" s="28"/>
      <c r="B37" s="881" t="s">
        <v>964</v>
      </c>
      <c r="C37" s="28"/>
      <c r="D37" s="28"/>
      <c r="E37" s="650">
        <f>+'Exhibit I State'!E36+'Exhibit I Federal'!E19</f>
        <v>0</v>
      </c>
      <c r="F37" s="1515"/>
      <c r="G37" s="650">
        <f>+'Exhibit I State'!G36+'Exhibit I Federal'!G19</f>
        <v>0</v>
      </c>
      <c r="H37" s="1515"/>
      <c r="I37" s="650">
        <f>+'Exhibit I State'!I36+'Exhibit I Federal'!I19</f>
        <v>23</v>
      </c>
      <c r="J37" s="1515"/>
      <c r="K37" s="650">
        <f>+'Exhibit I State'!K36+'Exhibit I Federal'!K19</f>
        <v>0</v>
      </c>
      <c r="L37" s="63"/>
      <c r="M37" s="650">
        <f>+'Exhibit I State'!M36+'Exhibit I Federal'!M19</f>
        <v>0</v>
      </c>
      <c r="N37" s="63"/>
      <c r="O37" s="650">
        <f>+'Exhibit I State'!O36+'Exhibit I Federal'!O19</f>
        <v>0</v>
      </c>
      <c r="P37" s="63"/>
      <c r="Q37" s="650"/>
      <c r="R37" s="63"/>
      <c r="S37" s="650"/>
      <c r="T37" s="63"/>
      <c r="U37" s="650"/>
      <c r="V37" s="63"/>
      <c r="W37" s="650"/>
      <c r="X37" s="63"/>
      <c r="Y37" s="650"/>
      <c r="Z37" s="63"/>
      <c r="AA37" s="650"/>
      <c r="AB37" s="167"/>
      <c r="AC37" s="167">
        <v>0</v>
      </c>
      <c r="AD37" s="63"/>
      <c r="AE37" s="54"/>
      <c r="AF37" s="1069">
        <f>ROUND(SUM(E37:AC37),1)</f>
        <v>23</v>
      </c>
      <c r="AG37" s="966"/>
      <c r="AH37" s="57"/>
      <c r="AI37" s="3425">
        <f>+'Exhibit I State'!AG36+'Exhibit I Federal'!AG19</f>
        <v>23</v>
      </c>
      <c r="AJ37" s="74"/>
      <c r="AK37" s="330"/>
      <c r="AL37" s="55">
        <f t="shared" ref="AL37:AL60" si="0">ROUND(SUM(+AF37-AI37),1)</f>
        <v>0</v>
      </c>
      <c r="AM37" s="328"/>
      <c r="AN37" s="1412">
        <f>ROUND(IF(AI37=0,1,AL37/ABS(AI37)),3)</f>
        <v>0</v>
      </c>
      <c r="AO37" s="322"/>
    </row>
    <row r="38" spans="1:44">
      <c r="A38" s="28"/>
      <c r="B38" s="881" t="s">
        <v>1050</v>
      </c>
      <c r="C38" s="28"/>
      <c r="D38" s="28"/>
      <c r="E38" s="650"/>
      <c r="F38" s="1515"/>
      <c r="G38" s="650"/>
      <c r="H38" s="1515"/>
      <c r="I38" s="650"/>
      <c r="J38" s="1515"/>
      <c r="K38" s="650"/>
      <c r="L38" s="63"/>
      <c r="M38" s="650"/>
      <c r="N38" s="63"/>
      <c r="O38" s="650"/>
      <c r="P38" s="63"/>
      <c r="Q38" s="650"/>
      <c r="R38" s="63"/>
      <c r="S38" s="650"/>
      <c r="T38" s="63"/>
      <c r="U38" s="650"/>
      <c r="V38" s="63"/>
      <c r="W38" s="650"/>
      <c r="X38" s="63"/>
      <c r="Y38" s="650"/>
      <c r="Z38" s="63"/>
      <c r="AA38" s="650"/>
      <c r="AB38" s="167"/>
      <c r="AC38" s="167"/>
      <c r="AD38" s="63"/>
      <c r="AE38" s="54"/>
      <c r="AF38" s="1069"/>
      <c r="AG38" s="966"/>
      <c r="AH38" s="57"/>
      <c r="AI38" s="3425"/>
      <c r="AJ38" s="74"/>
      <c r="AK38" s="330"/>
      <c r="AL38" s="55"/>
      <c r="AM38" s="328"/>
      <c r="AN38" s="1412"/>
      <c r="AO38" s="322"/>
    </row>
    <row r="39" spans="1:44">
      <c r="A39" s="28"/>
      <c r="B39" s="881" t="s">
        <v>965</v>
      </c>
      <c r="C39" s="28"/>
      <c r="D39" s="28"/>
      <c r="E39" s="650">
        <f>+'Exhibit I State'!E38+'Exhibit I Federal'!E21</f>
        <v>10</v>
      </c>
      <c r="F39" s="1515"/>
      <c r="G39" s="650">
        <f>+'Exhibit I State'!G38+'Exhibit I Federal'!G21</f>
        <v>7.6000000000000014</v>
      </c>
      <c r="H39" s="1515"/>
      <c r="I39" s="650">
        <f>+'Exhibit I State'!I38+'Exhibit I Federal'!I21</f>
        <v>6</v>
      </c>
      <c r="J39" s="1515"/>
      <c r="K39" s="650">
        <f>+'Exhibit I State'!K38+'Exhibit I Federal'!K21</f>
        <v>6.3999999999999986</v>
      </c>
      <c r="L39" s="63"/>
      <c r="M39" s="650">
        <f>+'Exhibit I State'!M38+'Exhibit I Federal'!M21</f>
        <v>6.1000000000000014</v>
      </c>
      <c r="N39" s="63"/>
      <c r="O39" s="650">
        <f>+'Exhibit I State'!O38+'Exhibit I Federal'!O21</f>
        <v>6</v>
      </c>
      <c r="P39" s="63"/>
      <c r="Q39" s="650"/>
      <c r="R39" s="63"/>
      <c r="S39" s="650"/>
      <c r="T39" s="63"/>
      <c r="U39" s="650"/>
      <c r="V39" s="63"/>
      <c r="W39" s="650"/>
      <c r="X39" s="63"/>
      <c r="Y39" s="650"/>
      <c r="Z39" s="63"/>
      <c r="AA39" s="650"/>
      <c r="AB39" s="167"/>
      <c r="AC39" s="167">
        <v>0</v>
      </c>
      <c r="AD39" s="63"/>
      <c r="AE39" s="54"/>
      <c r="AF39" s="1069">
        <f>ROUND(SUM(E39:AC39),1)</f>
        <v>42.1</v>
      </c>
      <c r="AG39" s="966"/>
      <c r="AH39" s="57"/>
      <c r="AI39" s="3425">
        <f>+'Exhibit I State'!AG38+'Exhibit I Federal'!AG21</f>
        <v>38.6</v>
      </c>
      <c r="AJ39" s="74"/>
      <c r="AK39" s="330"/>
      <c r="AL39" s="55">
        <f t="shared" si="0"/>
        <v>3.5</v>
      </c>
      <c r="AM39" s="328"/>
      <c r="AN39" s="1412">
        <f>ROUND(IF(AI39=0,0,AL39/ABS(AI39)),3)</f>
        <v>9.0999999999999998E-2</v>
      </c>
      <c r="AO39" s="322"/>
    </row>
    <row r="40" spans="1:44">
      <c r="A40" s="28"/>
      <c r="B40" s="881" t="s">
        <v>1055</v>
      </c>
      <c r="C40" s="28"/>
      <c r="D40" s="28"/>
      <c r="E40" s="650"/>
      <c r="F40" s="1515"/>
      <c r="G40" s="650"/>
      <c r="H40" s="1515"/>
      <c r="I40" s="650"/>
      <c r="J40" s="1515"/>
      <c r="K40" s="650"/>
      <c r="L40" s="63"/>
      <c r="M40" s="650"/>
      <c r="N40" s="63"/>
      <c r="O40" s="650"/>
      <c r="P40" s="63"/>
      <c r="Q40" s="650"/>
      <c r="R40" s="63"/>
      <c r="S40" s="650"/>
      <c r="T40" s="63"/>
      <c r="U40" s="650"/>
      <c r="V40" s="63"/>
      <c r="W40" s="650"/>
      <c r="X40" s="63"/>
      <c r="Y40" s="650"/>
      <c r="Z40" s="63"/>
      <c r="AA40" s="650"/>
      <c r="AB40" s="167"/>
      <c r="AC40" s="167"/>
      <c r="AD40" s="63"/>
      <c r="AE40" s="54"/>
      <c r="AF40" s="1069"/>
      <c r="AG40" s="966"/>
      <c r="AH40" s="57"/>
      <c r="AI40" s="3425"/>
      <c r="AJ40" s="74"/>
      <c r="AK40" s="330"/>
      <c r="AL40" s="55"/>
      <c r="AM40" s="328"/>
      <c r="AN40" s="1412"/>
      <c r="AO40" s="322"/>
    </row>
    <row r="41" spans="1:44">
      <c r="A41" s="28"/>
      <c r="B41" s="881" t="s">
        <v>969</v>
      </c>
      <c r="C41" s="28"/>
      <c r="D41" s="28"/>
      <c r="E41" s="650">
        <f>+'Exhibit I State'!E40+'Exhibit I Federal'!E23</f>
        <v>1.3</v>
      </c>
      <c r="F41" s="1515"/>
      <c r="G41" s="650">
        <f>+'Exhibit I State'!G40+'Exhibit I Federal'!G23</f>
        <v>1.7</v>
      </c>
      <c r="H41" s="1515"/>
      <c r="I41" s="650">
        <f>+'Exhibit I State'!I40+'Exhibit I Federal'!I23</f>
        <v>2.0999999999999996</v>
      </c>
      <c r="J41" s="1515"/>
      <c r="K41" s="650">
        <f>+'Exhibit I State'!K40+'Exhibit I Federal'!K23</f>
        <v>1.4000000000000004</v>
      </c>
      <c r="L41" s="63"/>
      <c r="M41" s="650">
        <f>+'Exhibit I State'!M40+'Exhibit I Federal'!M23</f>
        <v>8.5</v>
      </c>
      <c r="N41" s="63"/>
      <c r="O41" s="650">
        <f>+'Exhibit I State'!O40+'Exhibit I Federal'!O23</f>
        <v>7.4999999999999982</v>
      </c>
      <c r="P41" s="63"/>
      <c r="Q41" s="650"/>
      <c r="R41" s="63"/>
      <c r="S41" s="650"/>
      <c r="T41" s="63"/>
      <c r="U41" s="650"/>
      <c r="V41" s="63"/>
      <c r="W41" s="650"/>
      <c r="X41" s="63"/>
      <c r="Y41" s="650"/>
      <c r="Z41" s="63"/>
      <c r="AA41" s="650"/>
      <c r="AB41" s="167"/>
      <c r="AC41" s="167">
        <v>0</v>
      </c>
      <c r="AD41" s="63"/>
      <c r="AE41" s="54"/>
      <c r="AF41" s="1069">
        <f t="shared" ref="AF41:AF44" si="1">ROUND(SUM(E41:AC41),1)</f>
        <v>22.5</v>
      </c>
      <c r="AG41" s="966"/>
      <c r="AH41" s="57"/>
      <c r="AI41" s="3425">
        <f>+'Exhibit I State'!AG40+'Exhibit I Federal'!AG23</f>
        <v>19.2</v>
      </c>
      <c r="AJ41" s="74"/>
      <c r="AK41" s="330"/>
      <c r="AL41" s="55">
        <f t="shared" si="0"/>
        <v>3.3</v>
      </c>
      <c r="AM41" s="328"/>
      <c r="AN41" s="1412">
        <f>ROUND(IF(AI41=0,0,AL41/ABS(AI41)),3)</f>
        <v>0.17199999999999999</v>
      </c>
      <c r="AO41" s="322"/>
    </row>
    <row r="42" spans="1:44">
      <c r="A42" s="28"/>
      <c r="B42" s="881" t="s">
        <v>1112</v>
      </c>
      <c r="C42" s="28"/>
      <c r="D42" s="28"/>
      <c r="E42" s="650">
        <f>+'Exhibit I State'!E41+'Exhibit I Federal'!E24</f>
        <v>0</v>
      </c>
      <c r="F42" s="1515"/>
      <c r="G42" s="650">
        <f>+'Exhibit I State'!G41+'Exhibit I Federal'!G24</f>
        <v>0</v>
      </c>
      <c r="H42" s="1515"/>
      <c r="I42" s="650">
        <f>+'Exhibit I State'!I41+'Exhibit I Federal'!I24</f>
        <v>0</v>
      </c>
      <c r="J42" s="1515"/>
      <c r="K42" s="650">
        <f>+'Exhibit I State'!K41+'Exhibit I Federal'!K24</f>
        <v>0</v>
      </c>
      <c r="L42" s="63"/>
      <c r="M42" s="650">
        <f>+'Exhibit I State'!M41+'Exhibit I Federal'!M24</f>
        <v>0</v>
      </c>
      <c r="N42" s="63"/>
      <c r="O42" s="650">
        <f>+'Exhibit I State'!O41+'Exhibit I Federal'!O24</f>
        <v>0</v>
      </c>
      <c r="P42" s="63"/>
      <c r="Q42" s="650"/>
      <c r="R42" s="63"/>
      <c r="S42" s="650"/>
      <c r="T42" s="63"/>
      <c r="U42" s="650"/>
      <c r="V42" s="63"/>
      <c r="W42" s="650"/>
      <c r="X42" s="63"/>
      <c r="Y42" s="650"/>
      <c r="Z42" s="63"/>
      <c r="AA42" s="650"/>
      <c r="AB42" s="167"/>
      <c r="AC42" s="167">
        <v>0</v>
      </c>
      <c r="AD42" s="63"/>
      <c r="AE42" s="54"/>
      <c r="AF42" s="1069">
        <f t="shared" si="1"/>
        <v>0</v>
      </c>
      <c r="AG42" s="1466"/>
      <c r="AH42" s="57"/>
      <c r="AI42" s="3425">
        <f>+'Exhibit I State'!AG41+'Exhibit I Federal'!AG24</f>
        <v>0</v>
      </c>
      <c r="AJ42" s="74"/>
      <c r="AK42" s="330"/>
      <c r="AL42" s="55">
        <f>ROUND(SUM(+AF42-AI42),1)</f>
        <v>0</v>
      </c>
      <c r="AM42" s="328"/>
      <c r="AN42" s="1412">
        <f>ROUND(IF(AI42=0,0,AL42/ABS(AI42)),3)</f>
        <v>0</v>
      </c>
      <c r="AO42" s="322"/>
    </row>
    <row r="43" spans="1:44">
      <c r="A43" s="28"/>
      <c r="B43" s="881" t="s">
        <v>972</v>
      </c>
      <c r="C43" s="28"/>
      <c r="D43" s="28"/>
      <c r="E43" s="650">
        <f>+'Exhibit I State'!E42+'Exhibit I Federal'!E25</f>
        <v>79.2</v>
      </c>
      <c r="F43" s="1515"/>
      <c r="G43" s="650">
        <f>+'Exhibit I State'!G42+'Exhibit I Federal'!G25</f>
        <v>69.100000000000009</v>
      </c>
      <c r="H43" s="1515"/>
      <c r="I43" s="650">
        <f>+'Exhibit I State'!I42+'Exhibit I Federal'!I25</f>
        <v>60.59999999999998</v>
      </c>
      <c r="J43" s="1515"/>
      <c r="K43" s="650">
        <f>+'Exhibit I State'!K42+'Exhibit I Federal'!K25</f>
        <v>66</v>
      </c>
      <c r="L43" s="63"/>
      <c r="M43" s="650">
        <f>+'Exhibit I State'!M42+'Exhibit I Federal'!M25</f>
        <v>58.999999999999986</v>
      </c>
      <c r="N43" s="63"/>
      <c r="O43" s="650">
        <f>+'Exhibit I State'!O42+'Exhibit I Federal'!O25</f>
        <v>59.500000000000014</v>
      </c>
      <c r="P43" s="63"/>
      <c r="Q43" s="650"/>
      <c r="R43" s="63"/>
      <c r="S43" s="650"/>
      <c r="T43" s="63"/>
      <c r="U43" s="650"/>
      <c r="V43" s="63"/>
      <c r="W43" s="650"/>
      <c r="X43" s="63"/>
      <c r="Y43" s="650"/>
      <c r="Z43" s="63"/>
      <c r="AA43" s="650"/>
      <c r="AB43" s="167"/>
      <c r="AC43" s="167">
        <v>0</v>
      </c>
      <c r="AD43" s="63"/>
      <c r="AE43" s="54"/>
      <c r="AF43" s="1069">
        <f>ROUND(SUM(E43:AC43),1)</f>
        <v>393.4</v>
      </c>
      <c r="AG43" s="966"/>
      <c r="AH43" s="57"/>
      <c r="AI43" s="3425">
        <f>+'Exhibit I State'!AG42+'Exhibit I Federal'!AG25</f>
        <v>309.89999999999998</v>
      </c>
      <c r="AJ43" s="74"/>
      <c r="AK43" s="330"/>
      <c r="AL43" s="55">
        <f t="shared" si="0"/>
        <v>83.5</v>
      </c>
      <c r="AM43" s="328"/>
      <c r="AN43" s="1412">
        <f>ROUND(IF(AI43=0,0,AL43/ABS(AI43)),3)</f>
        <v>0.26900000000000002</v>
      </c>
      <c r="AO43" s="322"/>
    </row>
    <row r="44" spans="1:44">
      <c r="A44" s="28"/>
      <c r="B44" s="881" t="s">
        <v>973</v>
      </c>
      <c r="C44" s="28"/>
      <c r="D44" s="28"/>
      <c r="E44" s="650">
        <f>+'Exhibit I State'!E43+'Exhibit I Federal'!E26</f>
        <v>1.5</v>
      </c>
      <c r="F44" s="1515"/>
      <c r="G44" s="650">
        <f>+'Exhibit I State'!G43+'Exhibit I Federal'!G26</f>
        <v>2.9000000000000004</v>
      </c>
      <c r="H44" s="1515"/>
      <c r="I44" s="650">
        <f>+'Exhibit I State'!I43+'Exhibit I Federal'!I26</f>
        <v>1.4999999999999991</v>
      </c>
      <c r="J44" s="1515"/>
      <c r="K44" s="650">
        <f>+'Exhibit I State'!K43+'Exhibit I Federal'!K26</f>
        <v>0.40000000000000036</v>
      </c>
      <c r="L44" s="63"/>
      <c r="M44" s="650">
        <f>+'Exhibit I State'!M43+'Exhibit I Federal'!M26</f>
        <v>0.40000000000000036</v>
      </c>
      <c r="N44" s="63"/>
      <c r="O44" s="650">
        <f>+'Exhibit I State'!O43+'Exhibit I Federal'!O26</f>
        <v>10.199999999999999</v>
      </c>
      <c r="P44" s="63"/>
      <c r="Q44" s="650"/>
      <c r="R44" s="63"/>
      <c r="S44" s="650"/>
      <c r="T44" s="63"/>
      <c r="U44" s="650"/>
      <c r="V44" s="63"/>
      <c r="W44" s="650"/>
      <c r="X44" s="63"/>
      <c r="Y44" s="650"/>
      <c r="Z44" s="63"/>
      <c r="AA44" s="650"/>
      <c r="AB44" s="167"/>
      <c r="AC44" s="167">
        <v>0</v>
      </c>
      <c r="AD44" s="63"/>
      <c r="AE44" s="54"/>
      <c r="AF44" s="1069">
        <f t="shared" si="1"/>
        <v>16.899999999999999</v>
      </c>
      <c r="AG44" s="966"/>
      <c r="AH44" s="57"/>
      <c r="AI44" s="3426">
        <f>+'Exhibit I State'!AG43+'Exhibit I Federal'!AG26</f>
        <v>19.2</v>
      </c>
      <c r="AJ44" s="74"/>
      <c r="AK44" s="330"/>
      <c r="AL44" s="660">
        <f>ROUND(SUM(+AF44-AI44),1)</f>
        <v>-2.2999999999999998</v>
      </c>
      <c r="AM44" s="932"/>
      <c r="AN44" s="1451">
        <f>ROUND(IF(AI44=0,1,AL44/ABS(AI44)),3)</f>
        <v>-0.12</v>
      </c>
      <c r="AO44" s="322"/>
    </row>
    <row r="45" spans="1:44">
      <c r="A45" s="28"/>
      <c r="B45" s="881" t="s">
        <v>931</v>
      </c>
      <c r="C45" s="28"/>
      <c r="D45" s="28"/>
      <c r="E45" s="650">
        <f>+'Exhibit I State'!E44+'Exhibit I Federal'!E27</f>
        <v>2.5</v>
      </c>
      <c r="F45" s="1515"/>
      <c r="G45" s="650">
        <f>+'Exhibit I State'!G44+'Exhibit I Federal'!G27</f>
        <v>0.80000000000000027</v>
      </c>
      <c r="H45" s="1515"/>
      <c r="I45" s="650">
        <f>+'Exhibit I State'!I44+'Exhibit I Federal'!I27</f>
        <v>2.8000000000000003</v>
      </c>
      <c r="J45" s="1515"/>
      <c r="K45" s="650">
        <f>+'Exhibit I State'!K44+'Exhibit I Federal'!K27</f>
        <v>1.9999999999999987</v>
      </c>
      <c r="L45" s="63"/>
      <c r="M45" s="650">
        <f>+'Exhibit I State'!M44+'Exhibit I Federal'!M27</f>
        <v>3.0999999999999992</v>
      </c>
      <c r="N45" s="63"/>
      <c r="O45" s="650">
        <f>+'Exhibit I State'!O44+'Exhibit I Federal'!O27</f>
        <v>1.4000000000000008</v>
      </c>
      <c r="P45" s="63"/>
      <c r="Q45" s="650"/>
      <c r="R45" s="63"/>
      <c r="S45" s="650"/>
      <c r="T45" s="63"/>
      <c r="U45" s="650"/>
      <c r="V45" s="63"/>
      <c r="W45" s="650"/>
      <c r="X45" s="63"/>
      <c r="Y45" s="650"/>
      <c r="Z45" s="63"/>
      <c r="AA45" s="650"/>
      <c r="AB45" s="167"/>
      <c r="AC45" s="167">
        <v>0</v>
      </c>
      <c r="AD45" s="63"/>
      <c r="AE45" s="54"/>
      <c r="AF45" s="1069">
        <f>ROUND(SUM(E45:AC45),1)</f>
        <v>12.6</v>
      </c>
      <c r="AG45" s="966"/>
      <c r="AH45" s="57"/>
      <c r="AI45" s="3425">
        <f>+'Exhibit I State'!AG44+'Exhibit I Federal'!AG27</f>
        <v>12.5</v>
      </c>
      <c r="AJ45" s="74"/>
      <c r="AK45" s="330"/>
      <c r="AL45" s="55">
        <f t="shared" si="0"/>
        <v>0.1</v>
      </c>
      <c r="AM45" s="328"/>
      <c r="AN45" s="1465">
        <f>ROUND(IF(AI45=0,1,AL45/ABS(AI45)),3)</f>
        <v>8.0000000000000002E-3</v>
      </c>
      <c r="AO45" s="322"/>
    </row>
    <row r="46" spans="1:44">
      <c r="A46" s="28"/>
      <c r="B46" s="881" t="s">
        <v>932</v>
      </c>
      <c r="C46" s="28"/>
      <c r="D46" s="28"/>
      <c r="E46" s="650">
        <f>+'Exhibit I State'!E45+'Exhibit I Federal'!E28</f>
        <v>0</v>
      </c>
      <c r="F46" s="1515"/>
      <c r="G46" s="650">
        <f>+'Exhibit I State'!G45+'Exhibit I Federal'!G28</f>
        <v>0.1</v>
      </c>
      <c r="H46" s="1515"/>
      <c r="I46" s="650">
        <f>+'Exhibit I State'!I45+'Exhibit I Federal'!I28</f>
        <v>0</v>
      </c>
      <c r="J46" s="1515"/>
      <c r="K46" s="650">
        <f>+'Exhibit I State'!K45+'Exhibit I Federal'!K28</f>
        <v>0</v>
      </c>
      <c r="L46" s="63"/>
      <c r="M46" s="650">
        <f>+'Exhibit I State'!M45+'Exhibit I Federal'!M28</f>
        <v>0.1</v>
      </c>
      <c r="N46" s="63"/>
      <c r="O46" s="650">
        <f>+'Exhibit I State'!O45+'Exhibit I Federal'!O28</f>
        <v>0</v>
      </c>
      <c r="P46" s="63"/>
      <c r="Q46" s="650"/>
      <c r="R46" s="63"/>
      <c r="S46" s="650"/>
      <c r="T46" s="63"/>
      <c r="U46" s="650"/>
      <c r="V46" s="63"/>
      <c r="W46" s="650"/>
      <c r="X46" s="63"/>
      <c r="Y46" s="650"/>
      <c r="Z46" s="63"/>
      <c r="AA46" s="650"/>
      <c r="AB46" s="167"/>
      <c r="AC46" s="167">
        <v>0</v>
      </c>
      <c r="AD46" s="63"/>
      <c r="AE46" s="54"/>
      <c r="AF46" s="1069">
        <f>ROUND(SUM(E46:AC46),1)</f>
        <v>0.2</v>
      </c>
      <c r="AG46" s="966"/>
      <c r="AH46" s="57"/>
      <c r="AI46" s="3425">
        <f>+'Exhibit I State'!AG45+'Exhibit I Federal'!AG28</f>
        <v>1.5</v>
      </c>
      <c r="AJ46" s="74"/>
      <c r="AK46" s="330"/>
      <c r="AL46" s="55">
        <f>ROUND(SUM(+AF46-AI46),1)</f>
        <v>-1.3</v>
      </c>
      <c r="AM46" s="328"/>
      <c r="AN46" s="1412">
        <f>ROUND(IF(AI46=0,1,AL46/ABS(AI46)),3)</f>
        <v>-0.86699999999999999</v>
      </c>
      <c r="AO46" s="322"/>
    </row>
    <row r="47" spans="1:44">
      <c r="A47" s="28"/>
      <c r="B47" s="881" t="s">
        <v>950</v>
      </c>
      <c r="C47" s="28"/>
      <c r="D47" s="28"/>
      <c r="E47" s="650">
        <f>+'Exhibit I State'!E46+'Exhibit I Federal'!E29</f>
        <v>0</v>
      </c>
      <c r="F47" s="1515"/>
      <c r="G47" s="650">
        <f>+'Exhibit I State'!G46+'Exhibit I Federal'!G29</f>
        <v>0</v>
      </c>
      <c r="H47" s="1515"/>
      <c r="I47" s="650">
        <f>+'Exhibit I State'!I46+'Exhibit I Federal'!I29</f>
        <v>0</v>
      </c>
      <c r="J47" s="1515"/>
      <c r="K47" s="650">
        <f>+'Exhibit I State'!K46+'Exhibit I Federal'!K29</f>
        <v>0</v>
      </c>
      <c r="L47" s="63"/>
      <c r="M47" s="650">
        <f>+'Exhibit I State'!M46+'Exhibit I Federal'!M29</f>
        <v>0.1</v>
      </c>
      <c r="N47" s="63"/>
      <c r="O47" s="650">
        <f>+'Exhibit I State'!O46+'Exhibit I Federal'!O29</f>
        <v>0</v>
      </c>
      <c r="P47" s="63"/>
      <c r="Q47" s="650"/>
      <c r="R47" s="63"/>
      <c r="S47" s="650"/>
      <c r="T47" s="63"/>
      <c r="U47" s="650"/>
      <c r="V47" s="63"/>
      <c r="W47" s="650"/>
      <c r="X47" s="63"/>
      <c r="Y47" s="650"/>
      <c r="Z47" s="63"/>
      <c r="AA47" s="650"/>
      <c r="AB47" s="167"/>
      <c r="AC47" s="167">
        <v>0</v>
      </c>
      <c r="AD47" s="63"/>
      <c r="AE47" s="54"/>
      <c r="AF47" s="1069">
        <f>ROUND(SUM(E47:AC47),1)</f>
        <v>0.1</v>
      </c>
      <c r="AG47" s="966"/>
      <c r="AH47" s="57"/>
      <c r="AI47" s="3425">
        <f>+'Exhibit I State'!AG46+'Exhibit I Federal'!AG29</f>
        <v>0.4</v>
      </c>
      <c r="AJ47" s="74"/>
      <c r="AK47" s="330"/>
      <c r="AL47" s="55">
        <f>ROUND(SUM(+AF47-AI47),1)</f>
        <v>-0.3</v>
      </c>
      <c r="AM47" s="328"/>
      <c r="AN47" s="1412">
        <f>ROUND(IF(AI47=0,0,AL47/ABS(AI47)),3)</f>
        <v>-0.75</v>
      </c>
      <c r="AO47" s="322"/>
    </row>
    <row r="48" spans="1:44">
      <c r="A48" s="28"/>
      <c r="B48" s="881" t="s">
        <v>1053</v>
      </c>
      <c r="C48" s="28"/>
      <c r="D48" s="28"/>
      <c r="E48" s="650"/>
      <c r="F48" s="1515"/>
      <c r="G48" s="650"/>
      <c r="H48" s="1515"/>
      <c r="I48" s="650"/>
      <c r="J48" s="1515"/>
      <c r="K48" s="650"/>
      <c r="L48" s="63"/>
      <c r="M48" s="650"/>
      <c r="N48" s="63"/>
      <c r="O48" s="650"/>
      <c r="P48" s="63"/>
      <c r="Q48" s="650"/>
      <c r="R48" s="63"/>
      <c r="S48" s="650"/>
      <c r="T48" s="63"/>
      <c r="U48" s="650"/>
      <c r="V48" s="63"/>
      <c r="W48" s="650"/>
      <c r="X48" s="63"/>
      <c r="Y48" s="650"/>
      <c r="Z48" s="63"/>
      <c r="AA48" s="650"/>
      <c r="AB48" s="167"/>
      <c r="AC48" s="167"/>
      <c r="AD48" s="63"/>
      <c r="AE48" s="54"/>
      <c r="AF48" s="1069"/>
      <c r="AG48" s="966"/>
      <c r="AH48" s="57"/>
      <c r="AI48" s="3425"/>
      <c r="AJ48" s="74"/>
      <c r="AK48" s="330"/>
      <c r="AL48" s="55"/>
      <c r="AM48" s="328"/>
      <c r="AN48" s="8"/>
      <c r="AO48" s="322"/>
    </row>
    <row r="49" spans="1:41">
      <c r="A49" s="28"/>
      <c r="B49" s="881" t="s">
        <v>977</v>
      </c>
      <c r="C49" s="28"/>
      <c r="D49" s="28"/>
      <c r="E49" s="650">
        <f>+'Exhibit I State'!E48+'Exhibit I Federal'!E31</f>
        <v>78.399999999999991</v>
      </c>
      <c r="F49" s="1515"/>
      <c r="G49" s="650">
        <f>+'Exhibit I State'!G48+'Exhibit I Federal'!G31</f>
        <v>0.50000000000001421</v>
      </c>
      <c r="H49" s="1515"/>
      <c r="I49" s="650">
        <f>+'Exhibit I State'!I48+'Exhibit I Federal'!I31</f>
        <v>3</v>
      </c>
      <c r="J49" s="1515"/>
      <c r="K49" s="650">
        <f>+'Exhibit I State'!K48+'Exhibit I Federal'!K31</f>
        <v>237</v>
      </c>
      <c r="L49" s="63"/>
      <c r="M49" s="650">
        <f>+'Exhibit I State'!M48+'Exhibit I Federal'!M31</f>
        <v>27.600000000000023</v>
      </c>
      <c r="N49" s="63"/>
      <c r="O49" s="650">
        <f>+'Exhibit I State'!O48+'Exhibit I Federal'!O31</f>
        <v>328.1</v>
      </c>
      <c r="P49" s="63"/>
      <c r="Q49" s="650"/>
      <c r="R49" s="63"/>
      <c r="S49" s="650"/>
      <c r="T49" s="63"/>
      <c r="U49" s="650"/>
      <c r="V49" s="63"/>
      <c r="W49" s="650"/>
      <c r="X49" s="63"/>
      <c r="Y49" s="650"/>
      <c r="Z49" s="63"/>
      <c r="AA49" s="650"/>
      <c r="AB49" s="167"/>
      <c r="AC49" s="167">
        <v>0</v>
      </c>
      <c r="AD49" s="63"/>
      <c r="AE49" s="54"/>
      <c r="AF49" s="1069">
        <f>ROUND(SUM(E49:AC49),1)</f>
        <v>674.6</v>
      </c>
      <c r="AG49" s="966"/>
      <c r="AH49" s="57"/>
      <c r="AI49" s="3425">
        <f>+'Exhibit I State'!AG48+'Exhibit I Federal'!AG31</f>
        <v>2170.6</v>
      </c>
      <c r="AJ49" s="74"/>
      <c r="AK49" s="330"/>
      <c r="AL49" s="55">
        <f t="shared" si="0"/>
        <v>-1496</v>
      </c>
      <c r="AM49" s="328"/>
      <c r="AN49" s="1861">
        <f>ROUND(IF(AI49=0,1,AL49/ABS(AI49)),3)</f>
        <v>-0.68899999999999995</v>
      </c>
      <c r="AO49" s="322"/>
    </row>
    <row r="50" spans="1:41">
      <c r="A50" s="28"/>
      <c r="B50" s="881" t="s">
        <v>979</v>
      </c>
      <c r="C50" s="28"/>
      <c r="D50" s="28"/>
      <c r="E50" s="650">
        <f>+'Exhibit I State'!E49+'Exhibit I Federal'!E32</f>
        <v>0</v>
      </c>
      <c r="F50" s="650">
        <v>0</v>
      </c>
      <c r="G50" s="1111">
        <f>+'Exhibit I State'!G49+'Exhibit I Federal'!G32</f>
        <v>0</v>
      </c>
      <c r="H50" s="650"/>
      <c r="I50" s="1111">
        <f>+'Exhibit I State'!I49+'Exhibit I Federal'!I32</f>
        <v>0</v>
      </c>
      <c r="J50" s="650"/>
      <c r="K50" s="1111">
        <f>+'Exhibit I State'!K49+'Exhibit I Federal'!K32</f>
        <v>0</v>
      </c>
      <c r="L50" s="167"/>
      <c r="M50" s="1111">
        <f>+'Exhibit I State'!M49+'Exhibit I Federal'!M32</f>
        <v>0</v>
      </c>
      <c r="N50" s="167"/>
      <c r="O50" s="1111">
        <f>+'Exhibit I State'!O49+'Exhibit I Federal'!O32</f>
        <v>0</v>
      </c>
      <c r="P50" s="167"/>
      <c r="Q50" s="650"/>
      <c r="R50" s="63"/>
      <c r="S50" s="650"/>
      <c r="T50" s="63"/>
      <c r="U50" s="650"/>
      <c r="V50" s="63"/>
      <c r="W50" s="650"/>
      <c r="X50" s="63"/>
      <c r="Y50" s="650"/>
      <c r="Z50" s="63"/>
      <c r="AA50" s="650"/>
      <c r="AB50" s="167"/>
      <c r="AC50" s="167">
        <v>0</v>
      </c>
      <c r="AD50" s="63"/>
      <c r="AE50" s="54"/>
      <c r="AF50" s="1069">
        <f>ROUND(SUM(E50:AC50),1)</f>
        <v>0</v>
      </c>
      <c r="AG50" s="1466"/>
      <c r="AH50" s="57"/>
      <c r="AI50" s="3425">
        <f>+'Exhibit I State'!AG49+'Exhibit I Federal'!AG32</f>
        <v>0</v>
      </c>
      <c r="AJ50" s="74"/>
      <c r="AK50" s="330"/>
      <c r="AL50" s="55">
        <f t="shared" si="0"/>
        <v>0</v>
      </c>
      <c r="AM50" s="328"/>
      <c r="AN50" s="1412">
        <f>ROUND(IF(AI50=0,0,AL50/ABS(AI50)),3)</f>
        <v>0</v>
      </c>
      <c r="AO50" s="322"/>
    </row>
    <row r="51" spans="1:41">
      <c r="A51" s="28"/>
      <c r="B51" s="881" t="s">
        <v>980</v>
      </c>
      <c r="C51" s="28"/>
      <c r="D51" s="28"/>
      <c r="E51" s="650">
        <f>+'Exhibit I State'!E50+'Exhibit I Federal'!E33</f>
        <v>0.5</v>
      </c>
      <c r="F51" s="1515"/>
      <c r="G51" s="650">
        <f>+'Exhibit I State'!G50+'Exhibit I Federal'!G33</f>
        <v>2.5</v>
      </c>
      <c r="H51" s="1515"/>
      <c r="I51" s="650">
        <f>+'Exhibit I State'!I50+'Exhibit I Federal'!I33</f>
        <v>0.79999999999999982</v>
      </c>
      <c r="J51" s="1515"/>
      <c r="K51" s="650">
        <f>+'Exhibit I State'!K50+'Exhibit I Federal'!K33</f>
        <v>0</v>
      </c>
      <c r="L51" s="63"/>
      <c r="M51" s="650">
        <f>+'Exhibit I State'!M50+'Exhibit I Federal'!M33</f>
        <v>0</v>
      </c>
      <c r="N51" s="63"/>
      <c r="O51" s="650">
        <f>+'Exhibit I State'!O50+'Exhibit I Federal'!O33</f>
        <v>0</v>
      </c>
      <c r="P51" s="63"/>
      <c r="Q51" s="650"/>
      <c r="R51" s="63"/>
      <c r="S51" s="650"/>
      <c r="T51" s="63"/>
      <c r="U51" s="650"/>
      <c r="V51" s="63"/>
      <c r="W51" s="650"/>
      <c r="X51" s="63"/>
      <c r="Y51" s="650"/>
      <c r="Z51" s="63"/>
      <c r="AA51" s="650"/>
      <c r="AB51" s="167"/>
      <c r="AC51" s="167">
        <v>0</v>
      </c>
      <c r="AD51" s="63"/>
      <c r="AE51" s="54"/>
      <c r="AF51" s="1069">
        <f>ROUND(SUM(E51:AC51),1)</f>
        <v>3.8</v>
      </c>
      <c r="AG51" s="966"/>
      <c r="AH51" s="57"/>
      <c r="AI51" s="3425">
        <f>+'Exhibit I State'!AG50+'Exhibit I Federal'!AG33</f>
        <v>1.3</v>
      </c>
      <c r="AJ51" s="74"/>
      <c r="AK51" s="330"/>
      <c r="AL51" s="55">
        <f t="shared" si="0"/>
        <v>2.5</v>
      </c>
      <c r="AM51" s="328"/>
      <c r="AN51" s="1542">
        <f>ROUND(IF(AI51=0,1,AL51/ABS(AI51)),3)</f>
        <v>1.923</v>
      </c>
      <c r="AO51" s="322"/>
    </row>
    <row r="52" spans="1:41">
      <c r="A52" s="28"/>
      <c r="B52" s="881" t="s">
        <v>951</v>
      </c>
      <c r="C52" s="28"/>
      <c r="D52" s="28"/>
      <c r="E52" s="650">
        <f>+'Exhibit I State'!E51+'Exhibit I Federal'!E34</f>
        <v>3.3</v>
      </c>
      <c r="F52" s="1515"/>
      <c r="G52" s="650">
        <f>+'Exhibit I State'!G51+'Exhibit I Federal'!G34</f>
        <v>0.79999999999999982</v>
      </c>
      <c r="H52" s="1515"/>
      <c r="I52" s="650">
        <f>+'Exhibit I State'!I51+'Exhibit I Federal'!I34</f>
        <v>1.4000000000000004</v>
      </c>
      <c r="J52" s="1515"/>
      <c r="K52" s="650">
        <f>+'Exhibit I State'!K51+'Exhibit I Federal'!K34</f>
        <v>1.5999999999999996</v>
      </c>
      <c r="L52" s="63"/>
      <c r="M52" s="650">
        <f>+'Exhibit I State'!M51+'Exhibit I Federal'!M34</f>
        <v>1.2000000000000011</v>
      </c>
      <c r="N52" s="63"/>
      <c r="O52" s="650">
        <f>+'Exhibit I State'!O51+'Exhibit I Federal'!O34</f>
        <v>1.5</v>
      </c>
      <c r="P52" s="63"/>
      <c r="Q52" s="650"/>
      <c r="R52" s="63"/>
      <c r="S52" s="650"/>
      <c r="T52" s="63"/>
      <c r="U52" s="650"/>
      <c r="V52" s="63"/>
      <c r="W52" s="650"/>
      <c r="X52" s="63"/>
      <c r="Y52" s="650"/>
      <c r="Z52" s="63"/>
      <c r="AA52" s="650"/>
      <c r="AB52" s="167"/>
      <c r="AC52" s="167">
        <v>0</v>
      </c>
      <c r="AD52" s="63"/>
      <c r="AE52" s="54"/>
      <c r="AF52" s="1069">
        <f>ROUND(SUM(E52:AC52),1)</f>
        <v>9.8000000000000007</v>
      </c>
      <c r="AG52" s="966"/>
      <c r="AH52" s="57"/>
      <c r="AI52" s="3427">
        <f>+'Exhibit I State'!AG51+'Exhibit I Federal'!AG34</f>
        <v>10.9</v>
      </c>
      <c r="AJ52" s="74"/>
      <c r="AK52" s="330"/>
      <c r="AL52" s="55">
        <f t="shared" si="0"/>
        <v>-1.1000000000000001</v>
      </c>
      <c r="AM52" s="328"/>
      <c r="AN52" s="8">
        <f>ROUND(IF(AI52=0,0,AL52/ABS(AI52)),3)</f>
        <v>-0.10100000000000001</v>
      </c>
      <c r="AO52" s="322"/>
    </row>
    <row r="53" spans="1:41">
      <c r="A53" s="28"/>
      <c r="B53" s="881" t="s">
        <v>1054</v>
      </c>
      <c r="C53" s="28"/>
      <c r="D53" s="28"/>
      <c r="E53" s="650"/>
      <c r="F53" s="1515"/>
      <c r="G53" s="650"/>
      <c r="H53" s="1515"/>
      <c r="I53" s="650"/>
      <c r="J53" s="1515"/>
      <c r="K53" s="650"/>
      <c r="L53" s="63"/>
      <c r="M53" s="650"/>
      <c r="N53" s="63"/>
      <c r="O53" s="650"/>
      <c r="P53" s="63"/>
      <c r="Q53" s="650"/>
      <c r="R53" s="63"/>
      <c r="S53" s="650"/>
      <c r="T53" s="63"/>
      <c r="U53" s="650"/>
      <c r="V53" s="63"/>
      <c r="W53" s="650"/>
      <c r="X53" s="63"/>
      <c r="Y53" s="650"/>
      <c r="Z53" s="63"/>
      <c r="AA53" s="650"/>
      <c r="AB53" s="167"/>
      <c r="AC53" s="650" t="s">
        <v>14</v>
      </c>
      <c r="AD53" s="63"/>
      <c r="AE53" s="54"/>
      <c r="AF53" s="1069"/>
      <c r="AG53" s="966"/>
      <c r="AH53" s="57"/>
      <c r="AI53" s="3425"/>
      <c r="AJ53" s="74"/>
      <c r="AK53" s="330"/>
      <c r="AL53" s="55"/>
      <c r="AM53" s="328"/>
      <c r="AN53" s="8"/>
      <c r="AO53" s="322"/>
    </row>
    <row r="54" spans="1:41">
      <c r="A54" s="28"/>
      <c r="B54" s="881" t="s">
        <v>981</v>
      </c>
      <c r="C54" s="28"/>
      <c r="D54" s="28"/>
      <c r="E54" s="650">
        <f>+'Exhibit I State'!E53+'Exhibit I Federal'!E36</f>
        <v>0</v>
      </c>
      <c r="F54" s="1515"/>
      <c r="G54" s="650">
        <f>+'Exhibit I State'!G53+'Exhibit I Federal'!G36</f>
        <v>0</v>
      </c>
      <c r="H54" s="1515"/>
      <c r="I54" s="650">
        <f>+'Exhibit I State'!I53+'Exhibit I Federal'!I36</f>
        <v>0</v>
      </c>
      <c r="J54" s="1515"/>
      <c r="K54" s="650">
        <f>+'Exhibit I State'!K53+'Exhibit I Federal'!K36</f>
        <v>0</v>
      </c>
      <c r="L54" s="63"/>
      <c r="M54" s="650">
        <f>+'Exhibit I State'!M53+'Exhibit I Federal'!M36</f>
        <v>0</v>
      </c>
      <c r="N54" s="63"/>
      <c r="O54" s="650">
        <f>+'Exhibit I State'!O53+'Exhibit I Federal'!O36</f>
        <v>0</v>
      </c>
      <c r="P54" s="63"/>
      <c r="Q54" s="650"/>
      <c r="R54" s="63"/>
      <c r="S54" s="650"/>
      <c r="T54" s="63"/>
      <c r="U54" s="650"/>
      <c r="V54" s="63"/>
      <c r="W54" s="650"/>
      <c r="X54" s="63"/>
      <c r="Y54" s="650"/>
      <c r="Z54" s="63"/>
      <c r="AA54" s="650"/>
      <c r="AB54" s="167"/>
      <c r="AC54" s="354">
        <v>0</v>
      </c>
      <c r="AD54" s="115"/>
      <c r="AE54" s="668"/>
      <c r="AF54" s="1069">
        <f t="shared" ref="AF54:AF58" si="2">ROUND(SUM(E54:AC54),1)</f>
        <v>0</v>
      </c>
      <c r="AG54" s="1095"/>
      <c r="AH54" s="65"/>
      <c r="AI54" s="3425">
        <f>+'Exhibit I State'!AG53+'Exhibit I Federal'!AG36</f>
        <v>0</v>
      </c>
      <c r="AJ54" s="74"/>
      <c r="AK54" s="330"/>
      <c r="AL54" s="660">
        <f>ROUND(SUM(+AF54-AI54),1)</f>
        <v>0</v>
      </c>
      <c r="AM54" s="932"/>
      <c r="AN54" s="1412">
        <f>ROUND(IF(AI54=0,0,AL54/ABS(AI54)),3)</f>
        <v>0</v>
      </c>
      <c r="AO54" s="322"/>
    </row>
    <row r="55" spans="1:41">
      <c r="A55" s="28"/>
      <c r="B55" s="881" t="s">
        <v>983</v>
      </c>
      <c r="C55" s="28"/>
      <c r="D55" s="28"/>
      <c r="E55" s="650">
        <f>+'Exhibit I State'!E54+'Exhibit I Federal'!E37</f>
        <v>1.8</v>
      </c>
      <c r="F55" s="1515"/>
      <c r="G55" s="650">
        <f>+'Exhibit I State'!G54+'Exhibit I Federal'!G37</f>
        <v>1.3</v>
      </c>
      <c r="H55" s="1515"/>
      <c r="I55" s="650">
        <f>+'Exhibit I State'!I54+'Exhibit I Federal'!I37</f>
        <v>2.9000000000000004</v>
      </c>
      <c r="J55" s="1515"/>
      <c r="K55" s="650">
        <f>+'Exhibit I State'!K54+'Exhibit I Federal'!K37</f>
        <v>0.40000000000000036</v>
      </c>
      <c r="L55" s="63"/>
      <c r="M55" s="650">
        <f>+'Exhibit I State'!M54+'Exhibit I Federal'!M37</f>
        <v>0</v>
      </c>
      <c r="N55" s="63"/>
      <c r="O55" s="650">
        <f>+'Exhibit I State'!O54+'Exhibit I Federal'!O37</f>
        <v>1.1999999999999993</v>
      </c>
      <c r="P55" s="63"/>
      <c r="Q55" s="650"/>
      <c r="R55" s="63"/>
      <c r="S55" s="650"/>
      <c r="T55" s="63"/>
      <c r="U55" s="650"/>
      <c r="V55" s="63"/>
      <c r="W55" s="650"/>
      <c r="X55" s="63"/>
      <c r="Y55" s="650"/>
      <c r="Z55" s="63"/>
      <c r="AA55" s="650"/>
      <c r="AB55" s="167"/>
      <c r="AC55" s="354">
        <v>0</v>
      </c>
      <c r="AD55" s="115"/>
      <c r="AE55" s="668"/>
      <c r="AF55" s="1069">
        <f t="shared" si="2"/>
        <v>7.6</v>
      </c>
      <c r="AG55" s="1095"/>
      <c r="AH55" s="65"/>
      <c r="AI55" s="3425">
        <f>+'Exhibit I State'!AG54+'Exhibit I Federal'!AG37</f>
        <v>9.4</v>
      </c>
      <c r="AJ55" s="74"/>
      <c r="AK55" s="330"/>
      <c r="AL55" s="660">
        <f>ROUND(SUM(+AF55-AI55),1)</f>
        <v>-1.8</v>
      </c>
      <c r="AM55" s="932"/>
      <c r="AN55" s="1451">
        <f>ROUND(IF(AI55=0,1,AL55/ABS(AI55)),3)</f>
        <v>-0.191</v>
      </c>
      <c r="AO55" s="322"/>
    </row>
    <row r="56" spans="1:41">
      <c r="A56" s="28"/>
      <c r="B56" s="881" t="s">
        <v>984</v>
      </c>
      <c r="C56" s="28"/>
      <c r="D56" s="28"/>
      <c r="E56" s="650">
        <f>+'Exhibit I State'!E55+'Exhibit I Federal'!E38</f>
        <v>0</v>
      </c>
      <c r="F56" s="1515"/>
      <c r="G56" s="650">
        <f>+'Exhibit I State'!G55+'Exhibit I Federal'!G38</f>
        <v>0</v>
      </c>
      <c r="H56" s="1515"/>
      <c r="I56" s="650">
        <f>+'Exhibit I State'!I55+'Exhibit I Federal'!I38</f>
        <v>0</v>
      </c>
      <c r="J56" s="1515"/>
      <c r="K56" s="650">
        <f>+'Exhibit I State'!K55+'Exhibit I Federal'!K38</f>
        <v>0</v>
      </c>
      <c r="L56" s="63"/>
      <c r="M56" s="650">
        <f>+'Exhibit I State'!M55+'Exhibit I Federal'!M38</f>
        <v>0</v>
      </c>
      <c r="N56" s="63"/>
      <c r="O56" s="650">
        <f>+'Exhibit I State'!O55+'Exhibit I Federal'!O38</f>
        <v>12.700000000000001</v>
      </c>
      <c r="P56" s="63"/>
      <c r="Q56" s="650"/>
      <c r="R56" s="63"/>
      <c r="S56" s="650"/>
      <c r="T56" s="63"/>
      <c r="U56" s="650"/>
      <c r="V56" s="63"/>
      <c r="W56" s="650"/>
      <c r="X56" s="63"/>
      <c r="Y56" s="650"/>
      <c r="Z56" s="63"/>
      <c r="AA56" s="650"/>
      <c r="AB56" s="167"/>
      <c r="AC56" s="354">
        <v>0</v>
      </c>
      <c r="AD56" s="115"/>
      <c r="AE56" s="668"/>
      <c r="AF56" s="1069">
        <f t="shared" si="2"/>
        <v>12.7</v>
      </c>
      <c r="AG56" s="2177"/>
      <c r="AH56" s="65"/>
      <c r="AI56" s="3425">
        <f>+'Exhibit I State'!AG55+'Exhibit I Federal'!AG38</f>
        <v>0</v>
      </c>
      <c r="AJ56" s="74"/>
      <c r="AK56" s="330"/>
      <c r="AL56" s="660">
        <f>ROUND(SUM(+AF56-AI56),1)</f>
        <v>12.7</v>
      </c>
      <c r="AM56" s="932"/>
      <c r="AN56" s="1412">
        <f>ROUND(IF(AI56=0,1,AL56/ABS(AI56)),3)</f>
        <v>1</v>
      </c>
      <c r="AO56" s="322"/>
    </row>
    <row r="57" spans="1:41">
      <c r="A57" s="28"/>
      <c r="B57" s="881" t="s">
        <v>986</v>
      </c>
      <c r="C57" s="28"/>
      <c r="D57" s="28"/>
      <c r="E57" s="650">
        <f>+'Exhibit I State'!E56</f>
        <v>0</v>
      </c>
      <c r="F57" s="1515"/>
      <c r="G57" s="650">
        <f>+'Exhibit I State'!G56</f>
        <v>0</v>
      </c>
      <c r="H57" s="1515"/>
      <c r="I57" s="650">
        <f>+'Exhibit I State'!I56</f>
        <v>0</v>
      </c>
      <c r="J57" s="1515"/>
      <c r="K57" s="650">
        <f>+'Exhibit I State'!K56</f>
        <v>0.1</v>
      </c>
      <c r="L57" s="63"/>
      <c r="M57" s="650">
        <f>+'Exhibit I State'!M56</f>
        <v>-0.1</v>
      </c>
      <c r="N57" s="63"/>
      <c r="O57" s="650">
        <f>+'Exhibit I State'!O56</f>
        <v>0</v>
      </c>
      <c r="P57" s="63"/>
      <c r="Q57" s="650"/>
      <c r="R57" s="63"/>
      <c r="S57" s="650"/>
      <c r="T57" s="63"/>
      <c r="U57" s="650"/>
      <c r="V57" s="63"/>
      <c r="W57" s="650"/>
      <c r="X57" s="63"/>
      <c r="Y57" s="650"/>
      <c r="Z57" s="63"/>
      <c r="AA57" s="650"/>
      <c r="AB57" s="167"/>
      <c r="AC57" s="354">
        <v>0</v>
      </c>
      <c r="AD57" s="115"/>
      <c r="AE57" s="668"/>
      <c r="AF57" s="1069">
        <f t="shared" si="2"/>
        <v>0</v>
      </c>
      <c r="AG57" s="2178"/>
      <c r="AH57" s="65"/>
      <c r="AI57" s="3425">
        <f>+'Exhibit I State'!AG56</f>
        <v>0</v>
      </c>
      <c r="AJ57" s="74"/>
      <c r="AK57" s="330"/>
      <c r="AL57" s="660">
        <f>ROUND(SUM(+AF57-AI57),1)</f>
        <v>0</v>
      </c>
      <c r="AM57" s="932"/>
      <c r="AN57" s="1412">
        <f>ROUND(IF(AI57=0,0,AL57/ABS(AI57)),3)</f>
        <v>0</v>
      </c>
      <c r="AO57" s="322"/>
    </row>
    <row r="58" spans="1:41">
      <c r="A58" s="28"/>
      <c r="B58" s="881" t="s">
        <v>987</v>
      </c>
      <c r="C58" s="28"/>
      <c r="D58" s="28"/>
      <c r="E58" s="650">
        <f>+'Exhibit I State'!E57+'Exhibit I Federal'!E39</f>
        <v>0.3</v>
      </c>
      <c r="F58" s="1515"/>
      <c r="G58" s="650">
        <f>+'Exhibit I State'!G57+'Exhibit I Federal'!G39</f>
        <v>1.3</v>
      </c>
      <c r="H58" s="1515"/>
      <c r="I58" s="650">
        <f>+'Exhibit I State'!I57+'Exhibit I Federal'!I39</f>
        <v>1.6000000000000003</v>
      </c>
      <c r="J58" s="1515"/>
      <c r="K58" s="650">
        <f>+'Exhibit I State'!K57+'Exhibit I Federal'!K39</f>
        <v>5.8999999999999986</v>
      </c>
      <c r="L58" s="63"/>
      <c r="M58" s="650">
        <f>+'Exhibit I State'!M57+'Exhibit I Federal'!M39</f>
        <v>1.8999999999999995</v>
      </c>
      <c r="N58" s="63"/>
      <c r="O58" s="650">
        <f>+'Exhibit I State'!O57+'Exhibit I Federal'!O39</f>
        <v>4.1000000000000005</v>
      </c>
      <c r="P58" s="63"/>
      <c r="Q58" s="650"/>
      <c r="R58" s="63"/>
      <c r="S58" s="650"/>
      <c r="T58" s="63"/>
      <c r="U58" s="650"/>
      <c r="V58" s="63"/>
      <c r="W58" s="650"/>
      <c r="X58" s="63"/>
      <c r="Y58" s="650"/>
      <c r="Z58" s="63"/>
      <c r="AA58" s="650"/>
      <c r="AB58" s="167"/>
      <c r="AC58" s="354">
        <v>0</v>
      </c>
      <c r="AD58" s="115"/>
      <c r="AE58" s="668"/>
      <c r="AF58" s="1069">
        <f t="shared" si="2"/>
        <v>15.1</v>
      </c>
      <c r="AG58" s="1095"/>
      <c r="AH58" s="65"/>
      <c r="AI58" s="3425">
        <f>+'Exhibit I State'!AG57+'Exhibit I Federal'!AG39</f>
        <v>5.7</v>
      </c>
      <c r="AJ58" s="74"/>
      <c r="AK58" s="330"/>
      <c r="AL58" s="55">
        <f t="shared" si="0"/>
        <v>9.4</v>
      </c>
      <c r="AM58" s="328"/>
      <c r="AN58" s="1861">
        <f>ROUND(IF(AI58=0,1,AL58/ABS(AI58)),3)</f>
        <v>1.649</v>
      </c>
      <c r="AO58" s="322"/>
    </row>
    <row r="59" spans="1:41">
      <c r="A59" s="28"/>
      <c r="B59" s="881" t="s">
        <v>989</v>
      </c>
      <c r="C59" s="28"/>
      <c r="D59" s="28"/>
      <c r="E59" s="650">
        <f>+'Exhibit I State'!E58+'Exhibit I Federal'!E40</f>
        <v>2.4</v>
      </c>
      <c r="F59" s="1515"/>
      <c r="G59" s="650">
        <f>+'Exhibit I State'!G58+'Exhibit I Federal'!G40</f>
        <v>1.9</v>
      </c>
      <c r="H59" s="1515"/>
      <c r="I59" s="650">
        <f>+'Exhibit I State'!I58+'Exhibit I Federal'!I40</f>
        <v>11.7</v>
      </c>
      <c r="J59" s="1515"/>
      <c r="K59" s="650">
        <f>+'Exhibit I State'!K58+'Exhibit I Federal'!K40</f>
        <v>1</v>
      </c>
      <c r="L59" s="63"/>
      <c r="M59" s="650">
        <f>+'Exhibit I State'!M58+'Exhibit I Federal'!M40</f>
        <v>6.5000000000000036</v>
      </c>
      <c r="N59" s="63"/>
      <c r="O59" s="650">
        <f>+'Exhibit I State'!O58+'Exhibit I Federal'!O40</f>
        <v>4.3999999999999986</v>
      </c>
      <c r="P59" s="63"/>
      <c r="Q59" s="650"/>
      <c r="R59" s="63"/>
      <c r="S59" s="650"/>
      <c r="T59" s="63"/>
      <c r="U59" s="650"/>
      <c r="V59" s="63"/>
      <c r="W59" s="650"/>
      <c r="X59" s="63"/>
      <c r="Y59" s="650"/>
      <c r="Z59" s="63"/>
      <c r="AA59" s="650"/>
      <c r="AB59" s="167"/>
      <c r="AC59" s="354">
        <v>0</v>
      </c>
      <c r="AD59" s="115"/>
      <c r="AE59" s="668"/>
      <c r="AF59" s="1069">
        <f>ROUND(SUM(E59:AC59),1)</f>
        <v>27.9</v>
      </c>
      <c r="AG59" s="1095"/>
      <c r="AH59" s="65"/>
      <c r="AI59" s="3427">
        <f>+'Exhibit I State'!AG58+'Exhibit I Federal'!AG40</f>
        <v>28.7</v>
      </c>
      <c r="AJ59" s="74"/>
      <c r="AK59" s="330"/>
      <c r="AL59" s="55">
        <f t="shared" si="0"/>
        <v>-0.8</v>
      </c>
      <c r="AM59" s="328"/>
      <c r="AN59" s="1356">
        <f>ROUND(IF(AI59=0,0,AL59/ABS(AI59)),3)</f>
        <v>-2.8000000000000001E-2</v>
      </c>
      <c r="AO59" s="322"/>
    </row>
    <row r="60" spans="1:41">
      <c r="A60" s="28"/>
      <c r="B60" s="881" t="s">
        <v>961</v>
      </c>
      <c r="C60" s="28"/>
      <c r="D60" s="28"/>
      <c r="E60" s="650">
        <f>+'Exhibit I State'!E59+'Exhibit I Federal'!E41</f>
        <v>0.1</v>
      </c>
      <c r="F60" s="1515"/>
      <c r="G60" s="650">
        <f>+'Exhibit I State'!G59+'Exhibit I Federal'!G41</f>
        <v>0</v>
      </c>
      <c r="H60" s="1515"/>
      <c r="I60" s="650">
        <f>+'Exhibit I State'!I59+'Exhibit I Federal'!I41</f>
        <v>0</v>
      </c>
      <c r="J60" s="1515"/>
      <c r="K60" s="650">
        <f>+'Exhibit I State'!K59+'Exhibit I Federal'!K41</f>
        <v>0</v>
      </c>
      <c r="L60" s="63"/>
      <c r="M60" s="650">
        <f>+'Exhibit I State'!M59+'Exhibit I Federal'!M41</f>
        <v>0.1</v>
      </c>
      <c r="N60" s="63"/>
      <c r="O60" s="650">
        <f>+'Exhibit I State'!O59+'Exhibit I Federal'!O41</f>
        <v>9.9999999999999978E-2</v>
      </c>
      <c r="P60" s="63"/>
      <c r="Q60" s="650"/>
      <c r="R60" s="63"/>
      <c r="S60" s="650"/>
      <c r="T60" s="63"/>
      <c r="U60" s="650"/>
      <c r="V60" s="63"/>
      <c r="W60" s="650"/>
      <c r="X60" s="63"/>
      <c r="Y60" s="650"/>
      <c r="Z60" s="63"/>
      <c r="AA60" s="650"/>
      <c r="AB60" s="167"/>
      <c r="AC60" s="354">
        <v>0</v>
      </c>
      <c r="AD60" s="115"/>
      <c r="AE60" s="668"/>
      <c r="AF60" s="1069">
        <f>ROUND(SUM(E60:AC60),1)</f>
        <v>0.3</v>
      </c>
      <c r="AG60" s="1095"/>
      <c r="AH60" s="65"/>
      <c r="AI60" s="3425">
        <f>+'Exhibit I State'!AG59+'Exhibit I Federal'!AG41</f>
        <v>0.2</v>
      </c>
      <c r="AJ60" s="74"/>
      <c r="AK60" s="330"/>
      <c r="AL60" s="55">
        <f t="shared" si="0"/>
        <v>0.1</v>
      </c>
      <c r="AM60" s="328"/>
      <c r="AN60" s="1465">
        <f>ROUND(IF(AI60=0,1,AL60/ABS(AI60)),3)</f>
        <v>0.5</v>
      </c>
      <c r="AO60" s="322"/>
    </row>
    <row r="61" spans="1:41" s="327" customFormat="1">
      <c r="A61" s="26"/>
      <c r="B61" s="307" t="s">
        <v>1093</v>
      </c>
      <c r="C61" s="26"/>
      <c r="D61" s="26"/>
      <c r="E61" s="255">
        <f>ROUND(SUM(E37:E60),1)</f>
        <v>181.3</v>
      </c>
      <c r="F61" s="911"/>
      <c r="G61" s="255">
        <f>ROUND(SUM(G37:G60),1)</f>
        <v>90.5</v>
      </c>
      <c r="H61" s="1054"/>
      <c r="I61" s="255">
        <f>ROUND(SUM(I37:I60),1)</f>
        <v>117.4</v>
      </c>
      <c r="J61" s="911"/>
      <c r="K61" s="255">
        <f>ROUND(SUM(K37:K60),1)</f>
        <v>322.2</v>
      </c>
      <c r="L61" s="911"/>
      <c r="M61" s="255">
        <f>ROUND(SUM(M37:M60),1)</f>
        <v>114.5</v>
      </c>
      <c r="N61" s="911"/>
      <c r="O61" s="255">
        <f>ROUND(SUM(O37:O60),1)</f>
        <v>436.7</v>
      </c>
      <c r="P61" s="911"/>
      <c r="Q61" s="255">
        <f>ROUND(SUM(Q37:Q60),1)</f>
        <v>0</v>
      </c>
      <c r="R61" s="911"/>
      <c r="S61" s="1523">
        <f>ROUND(SUM(S37:S60),1)</f>
        <v>0</v>
      </c>
      <c r="T61" s="911"/>
      <c r="U61" s="255">
        <f>ROUND(SUM(U37:U60),1)</f>
        <v>0</v>
      </c>
      <c r="V61" s="911"/>
      <c r="W61" s="255">
        <f>ROUND(SUM(W37:W60),1)</f>
        <v>0</v>
      </c>
      <c r="X61" s="911"/>
      <c r="Y61" s="255">
        <f>ROUND(SUM(Y37:Y60),1)</f>
        <v>0</v>
      </c>
      <c r="Z61" s="911"/>
      <c r="AA61" s="255">
        <f>ROUND(SUM(AA37:AA60),1)</f>
        <v>0</v>
      </c>
      <c r="AB61" s="1516"/>
      <c r="AC61" s="1523">
        <f>ROUND(SUM(AC37:AC60),1)</f>
        <v>0</v>
      </c>
      <c r="AD61" s="109"/>
      <c r="AE61" s="669"/>
      <c r="AF61" s="1523">
        <f>ROUND(SUM(AF37:AF60),1)</f>
        <v>1262.5999999999999</v>
      </c>
      <c r="AG61" s="1075"/>
      <c r="AH61" s="112"/>
      <c r="AI61" s="1523">
        <f>ROUND(SUM(AI37:AI60),1)</f>
        <v>2651.1</v>
      </c>
      <c r="AJ61" s="81"/>
      <c r="AK61" s="330"/>
      <c r="AL61" s="255">
        <f>ROUND(SUM(AL37:AL60),1)</f>
        <v>-1388.5</v>
      </c>
      <c r="AM61" s="1055"/>
      <c r="AN61" s="1056">
        <f>ROUND(SUM(AL61/AI61),3)</f>
        <v>-0.52400000000000002</v>
      </c>
    </row>
    <row r="62" spans="1:41">
      <c r="A62" s="28"/>
      <c r="B62" s="307"/>
      <c r="C62" s="28"/>
      <c r="D62" s="28"/>
      <c r="E62" s="1515"/>
      <c r="F62" s="1515"/>
      <c r="G62" s="1515"/>
      <c r="H62" s="676"/>
      <c r="I62" s="1515"/>
      <c r="J62" s="1515"/>
      <c r="K62" s="1515"/>
      <c r="L62" s="63"/>
      <c r="M62" s="1515"/>
      <c r="N62" s="63"/>
      <c r="O62" s="1515"/>
      <c r="P62" s="63"/>
      <c r="Q62" s="650"/>
      <c r="R62" s="63"/>
      <c r="S62" s="884"/>
      <c r="T62" s="63"/>
      <c r="U62" s="1515"/>
      <c r="V62" s="63"/>
      <c r="W62" s="1515"/>
      <c r="X62" s="63"/>
      <c r="Y62" s="1515"/>
      <c r="Z62" s="63"/>
      <c r="AA62" s="1515"/>
      <c r="AB62" s="1515"/>
      <c r="AC62" s="884"/>
      <c r="AD62" s="115"/>
      <c r="AE62" s="668"/>
      <c r="AF62" s="1069"/>
      <c r="AG62" s="1074"/>
      <c r="AH62" s="64"/>
      <c r="AI62" s="115"/>
      <c r="AJ62" s="74"/>
      <c r="AK62" s="330"/>
      <c r="AL62" s="55"/>
      <c r="AM62" s="331"/>
      <c r="AN62" s="329"/>
    </row>
    <row r="63" spans="1:41">
      <c r="A63" s="28"/>
      <c r="B63" s="28" t="s">
        <v>148</v>
      </c>
      <c r="C63" s="28"/>
      <c r="D63" s="28"/>
      <c r="E63" s="676">
        <f>+'Exhibit I State'!E62+'Exhibit I Federal'!E44</f>
        <v>5.6</v>
      </c>
      <c r="F63" s="1515"/>
      <c r="G63" s="676">
        <f>+'Exhibit I State'!G62+'Exhibit I Federal'!G44</f>
        <v>23.299999999999997</v>
      </c>
      <c r="H63" s="1515"/>
      <c r="I63" s="676">
        <f>+'Exhibit I State'!I62+'Exhibit I Federal'!I44</f>
        <v>110.10000000000001</v>
      </c>
      <c r="J63" s="1515"/>
      <c r="K63" s="676">
        <f>+'Exhibit I State'!K62+'Exhibit I Federal'!K44</f>
        <v>143.19999999999993</v>
      </c>
      <c r="L63" s="63"/>
      <c r="M63" s="676">
        <f>+'Exhibit I State'!M62+'Exhibit I Federal'!M44</f>
        <v>169.40000000000003</v>
      </c>
      <c r="N63" s="63"/>
      <c r="O63" s="676">
        <f>+'Exhibit I State'!O62+'Exhibit I Federal'!O44</f>
        <v>139.89999999999998</v>
      </c>
      <c r="P63" s="63"/>
      <c r="Q63" s="3540"/>
      <c r="R63" s="63"/>
      <c r="S63" s="3540"/>
      <c r="T63" s="63"/>
      <c r="U63" s="3540"/>
      <c r="V63" s="63"/>
      <c r="W63" s="3540"/>
      <c r="X63" s="63"/>
      <c r="Y63" s="3540"/>
      <c r="Z63" s="63"/>
      <c r="AA63" s="3540"/>
      <c r="AB63" s="274"/>
      <c r="AC63" s="1069">
        <v>0</v>
      </c>
      <c r="AD63" s="115"/>
      <c r="AE63" s="668"/>
      <c r="AF63" s="115">
        <f>ROUND(SUM(E63:AC63),1)</f>
        <v>591.5</v>
      </c>
      <c r="AG63" s="1070"/>
      <c r="AH63" s="64"/>
      <c r="AI63" s="115">
        <f>+'Exhibit I State'!AG62+'Exhibit I Federal'!AG44</f>
        <v>929.30000000000007</v>
      </c>
      <c r="AJ63" s="74"/>
      <c r="AK63" s="332"/>
      <c r="AL63" s="333">
        <f>ROUND(SUM(+AF63-AI63),1)</f>
        <v>-337.8</v>
      </c>
      <c r="AM63" s="331"/>
      <c r="AN63" s="334">
        <f>ROUND(SUM(AL63/AI63),3)</f>
        <v>-0.36299999999999999</v>
      </c>
    </row>
    <row r="64" spans="1:41">
      <c r="A64" s="28"/>
      <c r="B64" s="28"/>
      <c r="C64" s="28"/>
      <c r="D64" s="28"/>
      <c r="E64" s="677"/>
      <c r="F64" s="1515"/>
      <c r="G64" s="677"/>
      <c r="H64" s="1515"/>
      <c r="I64" s="677"/>
      <c r="J64" s="1515"/>
      <c r="K64" s="677"/>
      <c r="L64" s="63"/>
      <c r="M64" s="677"/>
      <c r="N64" s="63"/>
      <c r="O64" s="677"/>
      <c r="P64" s="63"/>
      <c r="Q64" s="650"/>
      <c r="R64" s="63"/>
      <c r="S64" s="123"/>
      <c r="T64" s="63"/>
      <c r="U64" s="85"/>
      <c r="V64" s="63"/>
      <c r="W64" s="85"/>
      <c r="X64" s="63"/>
      <c r="Y64" s="85"/>
      <c r="Z64" s="63"/>
      <c r="AA64" s="85"/>
      <c r="AB64" s="53"/>
      <c r="AC64" s="123"/>
      <c r="AD64" s="115"/>
      <c r="AE64" s="668"/>
      <c r="AF64" s="123"/>
      <c r="AG64" s="1070"/>
      <c r="AH64" s="64"/>
      <c r="AI64" s="123"/>
      <c r="AJ64" s="53"/>
      <c r="AK64" s="332"/>
      <c r="AL64" s="55"/>
      <c r="AM64" s="322"/>
      <c r="AN64" s="329"/>
    </row>
    <row r="65" spans="1:44">
      <c r="A65" s="28"/>
      <c r="B65" s="26" t="s">
        <v>195</v>
      </c>
      <c r="C65" s="28"/>
      <c r="D65" s="28"/>
      <c r="E65" s="1825">
        <f>ROUND(SUM(+E61+E63+E33),1)</f>
        <v>271.7</v>
      </c>
      <c r="F65" s="911"/>
      <c r="G65" s="1825">
        <f>ROUND(SUM(+G61+G63+G33),1)</f>
        <v>206.4</v>
      </c>
      <c r="H65" s="911"/>
      <c r="I65" s="1825">
        <f>ROUND(SUM(+I61+I63+I33),1)</f>
        <v>358.6</v>
      </c>
      <c r="J65" s="911"/>
      <c r="K65" s="1825">
        <f>ROUND(SUM(+K61+K63+K33),1)</f>
        <v>578.29999999999995</v>
      </c>
      <c r="L65" s="59"/>
      <c r="M65" s="1825">
        <f>ROUND(SUM(+M61+M63+M33),1)</f>
        <v>398.9</v>
      </c>
      <c r="N65" s="59"/>
      <c r="O65" s="1825">
        <f>ROUND(SUM(+O61+O63+O33),1)</f>
        <v>708</v>
      </c>
      <c r="P65" s="59"/>
      <c r="Q65" s="309">
        <f>ROUND(SUM(+Q61+Q63+Q33),1)</f>
        <v>0</v>
      </c>
      <c r="R65" s="59"/>
      <c r="S65" s="309">
        <f>ROUND(SUM(+S61+S63+S33),1)</f>
        <v>0</v>
      </c>
      <c r="T65" s="59"/>
      <c r="U65" s="309">
        <f>ROUND(SUM(+U61+U63+U33),1)</f>
        <v>0</v>
      </c>
      <c r="V65" s="59"/>
      <c r="W65" s="309">
        <f>ROUND(SUM(+W61+W63+W33),1)</f>
        <v>0</v>
      </c>
      <c r="X65" s="59"/>
      <c r="Y65" s="309">
        <f>ROUND(SUM(+Y61+Y63+Y33),1)</f>
        <v>0</v>
      </c>
      <c r="Z65" s="59"/>
      <c r="AA65" s="309">
        <f>ROUND(SUM(+AA61+AA63+AA33),1)</f>
        <v>0</v>
      </c>
      <c r="AB65" s="1044"/>
      <c r="AC65" s="309">
        <f>ROUND(SUM(+AC61+AC63+AC33),1)</f>
        <v>0</v>
      </c>
      <c r="AD65" s="59"/>
      <c r="AE65" s="61"/>
      <c r="AF65" s="309">
        <f>ROUND(SUM(+AF61+AF63+AF33),1)</f>
        <v>2521.9</v>
      </c>
      <c r="AG65" s="213"/>
      <c r="AH65" s="73"/>
      <c r="AI65" s="309">
        <f>ROUND(SUM(+AI61+AI63+AI33),1)</f>
        <v>4151.1000000000004</v>
      </c>
      <c r="AJ65" s="81"/>
      <c r="AK65" s="332"/>
      <c r="AL65" s="309">
        <f>ROUND(SUM(+AL61+AL63+AL33),1)</f>
        <v>-1629.2</v>
      </c>
      <c r="AM65" s="163"/>
      <c r="AN65" s="889">
        <f>ROUND(SUM(AL65/AI65),3)</f>
        <v>-0.39200000000000002</v>
      </c>
      <c r="AO65" s="327"/>
      <c r="AP65" s="335"/>
      <c r="AQ65" s="327"/>
      <c r="AR65" s="327"/>
    </row>
    <row r="66" spans="1:44">
      <c r="A66" s="28"/>
      <c r="B66" s="28"/>
      <c r="C66" s="28"/>
      <c r="D66" s="28"/>
      <c r="E66" s="677"/>
      <c r="F66" s="1515"/>
      <c r="G66" s="677"/>
      <c r="H66" s="1515"/>
      <c r="I66" s="677"/>
      <c r="J66" s="1515"/>
      <c r="K66" s="677"/>
      <c r="L66" s="63"/>
      <c r="M66" s="677"/>
      <c r="N66" s="63"/>
      <c r="O66" s="677"/>
      <c r="P66" s="63"/>
      <c r="Q66" s="650"/>
      <c r="R66" s="63"/>
      <c r="S66" s="123"/>
      <c r="T66" s="63"/>
      <c r="U66" s="85"/>
      <c r="V66" s="63"/>
      <c r="W66" s="85"/>
      <c r="X66" s="63"/>
      <c r="Y66" s="85"/>
      <c r="Z66" s="63"/>
      <c r="AA66" s="85"/>
      <c r="AB66" s="53"/>
      <c r="AC66" s="85"/>
      <c r="AD66" s="63"/>
      <c r="AE66" s="54"/>
      <c r="AF66" s="123"/>
      <c r="AG66" s="76"/>
      <c r="AH66" s="53"/>
      <c r="AI66" s="123"/>
      <c r="AJ66" s="53"/>
      <c r="AK66" s="332"/>
      <c r="AL66" s="55"/>
      <c r="AM66" s="322"/>
      <c r="AN66" s="329"/>
    </row>
    <row r="67" spans="1:44">
      <c r="A67" s="28"/>
      <c r="B67" s="26" t="s">
        <v>22</v>
      </c>
      <c r="C67" s="28"/>
      <c r="D67" s="28"/>
      <c r="E67" s="1515"/>
      <c r="F67" s="1515"/>
      <c r="G67" s="1515"/>
      <c r="H67" s="1515"/>
      <c r="I67" s="1515"/>
      <c r="J67" s="1515"/>
      <c r="K67" s="1515"/>
      <c r="L67" s="63"/>
      <c r="M67" s="1515"/>
      <c r="N67" s="63"/>
      <c r="O67" s="1515"/>
      <c r="P67" s="63"/>
      <c r="Q67" s="650"/>
      <c r="R67" s="63"/>
      <c r="S67" s="115"/>
      <c r="T67" s="63"/>
      <c r="U67" s="63"/>
      <c r="V67" s="63"/>
      <c r="W67" s="63"/>
      <c r="X67" s="63"/>
      <c r="Y67" s="63"/>
      <c r="Z67" s="63"/>
      <c r="AA67" s="63"/>
      <c r="AB67" s="63"/>
      <c r="AC67" s="63"/>
      <c r="AD67" s="63"/>
      <c r="AE67" s="54"/>
      <c r="AF67" s="115"/>
      <c r="AG67" s="76"/>
      <c r="AH67" s="53"/>
      <c r="AI67" s="115"/>
      <c r="AJ67" s="63"/>
      <c r="AK67" s="332"/>
      <c r="AL67" s="55"/>
      <c r="AM67" s="322"/>
      <c r="AN67" s="329"/>
    </row>
    <row r="68" spans="1:44">
      <c r="A68" s="28"/>
      <c r="B68" s="28" t="s">
        <v>150</v>
      </c>
      <c r="C68" s="28"/>
      <c r="D68" s="28"/>
      <c r="E68" s="1515"/>
      <c r="F68" s="1515"/>
      <c r="G68" s="1515"/>
      <c r="H68" s="1515"/>
      <c r="I68" s="1515"/>
      <c r="J68" s="1515"/>
      <c r="K68" s="1515"/>
      <c r="L68" s="63"/>
      <c r="M68" s="1515"/>
      <c r="N68" s="63"/>
      <c r="O68" s="1515"/>
      <c r="P68" s="63"/>
      <c r="Q68" s="650"/>
      <c r="R68" s="63"/>
      <c r="S68" s="115"/>
      <c r="T68" s="63"/>
      <c r="U68" s="63"/>
      <c r="V68" s="63"/>
      <c r="W68" s="63"/>
      <c r="X68" s="63"/>
      <c r="Y68" s="1515" t="s">
        <v>14</v>
      </c>
      <c r="Z68" s="63"/>
      <c r="AA68" s="1515" t="s">
        <v>14</v>
      </c>
      <c r="AB68" s="63"/>
      <c r="AC68" s="63"/>
      <c r="AD68" s="63"/>
      <c r="AE68" s="54"/>
      <c r="AF68" s="116"/>
      <c r="AG68" s="76"/>
      <c r="AH68" s="53"/>
      <c r="AI68" s="115"/>
      <c r="AJ68" s="63"/>
      <c r="AK68" s="332"/>
      <c r="AL68" s="55"/>
      <c r="AM68" s="322"/>
      <c r="AN68" s="329"/>
    </row>
    <row r="69" spans="1:44">
      <c r="A69" s="28"/>
      <c r="B69" s="28" t="s">
        <v>24</v>
      </c>
      <c r="C69" s="28"/>
      <c r="D69" s="28"/>
      <c r="E69" s="676">
        <f>+'Exhibit I State'!E68+'Exhibit I Federal'!E50</f>
        <v>13.5</v>
      </c>
      <c r="F69" s="1515"/>
      <c r="G69" s="676">
        <f>+'Exhibit I State'!G68+'Exhibit I Federal'!G50</f>
        <v>25</v>
      </c>
      <c r="H69" s="676"/>
      <c r="I69" s="676">
        <f>+'Exhibit I State'!I68+'Exhibit I Federal'!I50</f>
        <v>45.5</v>
      </c>
      <c r="J69" s="1515"/>
      <c r="K69" s="676">
        <f>+'Exhibit I State'!K68+'Exhibit I Federal'!K50</f>
        <v>13</v>
      </c>
      <c r="L69" s="63"/>
      <c r="M69" s="676">
        <f>+'Exhibit I State'!M68+'Exhibit I Federal'!M50</f>
        <v>10.400000000000006</v>
      </c>
      <c r="N69" s="63"/>
      <c r="O69" s="676">
        <f>+'Exhibit I State'!O68+'Exhibit I Federal'!O50</f>
        <v>8.2999999999999972</v>
      </c>
      <c r="P69" s="63"/>
      <c r="Q69" s="676"/>
      <c r="R69" s="63"/>
      <c r="S69" s="676"/>
      <c r="T69" s="63"/>
      <c r="U69" s="676"/>
      <c r="V69" s="63"/>
      <c r="W69" s="676"/>
      <c r="X69" s="63"/>
      <c r="Y69" s="676"/>
      <c r="Z69" s="63"/>
      <c r="AA69" s="676"/>
      <c r="AB69" s="274"/>
      <c r="AC69" s="274">
        <v>0</v>
      </c>
      <c r="AD69" s="63"/>
      <c r="AE69" s="54"/>
      <c r="AF69" s="115">
        <f>ROUND(SUM(E69:AC69),1)</f>
        <v>115.7</v>
      </c>
      <c r="AG69" s="76"/>
      <c r="AH69" s="53"/>
      <c r="AI69" s="115">
        <f>+'Exhibit I State'!AG68+'Exhibit I Federal'!AG50</f>
        <v>20.3</v>
      </c>
      <c r="AJ69" s="74"/>
      <c r="AK69" s="330"/>
      <c r="AL69" s="55">
        <f>ROUND(SUM(+AF69-AI69),1)</f>
        <v>95.4</v>
      </c>
      <c r="AM69" s="331"/>
      <c r="AN69" s="1861">
        <f>ROUND(IF(AI69=0,1,AL69/ABS(AI69)),3)</f>
        <v>4.7</v>
      </c>
    </row>
    <row r="70" spans="1:44">
      <c r="A70" s="28"/>
      <c r="B70" s="28" t="s">
        <v>25</v>
      </c>
      <c r="C70" s="28"/>
      <c r="D70" s="28"/>
      <c r="E70" s="676">
        <f>+'Exhibit I State'!E69+'Exhibit I Federal'!E51</f>
        <v>29</v>
      </c>
      <c r="F70" s="1515"/>
      <c r="G70" s="676">
        <f>+'Exhibit I State'!G69+'Exhibit I Federal'!G51</f>
        <v>7.6000000000000014</v>
      </c>
      <c r="H70" s="1515"/>
      <c r="I70" s="676">
        <f>+'Exhibit I State'!I69+'Exhibit I Federal'!I51</f>
        <v>15.699999999999996</v>
      </c>
      <c r="J70" s="1515"/>
      <c r="K70" s="676">
        <f>+'Exhibit I State'!K69+'Exhibit I Federal'!K51</f>
        <v>15.299999999999997</v>
      </c>
      <c r="L70" s="63"/>
      <c r="M70" s="676">
        <f>+'Exhibit I State'!M69+'Exhibit I Federal'!M51</f>
        <v>31.799999999999997</v>
      </c>
      <c r="N70" s="63"/>
      <c r="O70" s="676">
        <f>+'Exhibit I State'!O69+'Exhibit I Federal'!O51</f>
        <v>15.600000000000016</v>
      </c>
      <c r="P70" s="63"/>
      <c r="Q70" s="676"/>
      <c r="R70" s="63"/>
      <c r="S70" s="676"/>
      <c r="T70" s="63"/>
      <c r="U70" s="676"/>
      <c r="V70" s="63"/>
      <c r="W70" s="676"/>
      <c r="X70" s="63"/>
      <c r="Y70" s="676"/>
      <c r="Z70" s="63"/>
      <c r="AA70" s="676"/>
      <c r="AB70" s="274"/>
      <c r="AC70" s="274">
        <v>0</v>
      </c>
      <c r="AD70" s="63"/>
      <c r="AE70" s="54"/>
      <c r="AF70" s="115">
        <f>ROUND(SUM(E70:AC70),1)</f>
        <v>115</v>
      </c>
      <c r="AG70" s="76"/>
      <c r="AH70" s="53"/>
      <c r="AI70" s="115">
        <f>+'Exhibit I State'!AG69+'Exhibit I Federal'!AG51</f>
        <v>70.099999999999994</v>
      </c>
      <c r="AJ70" s="74"/>
      <c r="AK70" s="330"/>
      <c r="AL70" s="55">
        <f t="shared" ref="AL70:AL77" si="3">ROUND(SUM(+AF70-AI70),1)</f>
        <v>44.9</v>
      </c>
      <c r="AM70" s="331"/>
      <c r="AN70" s="1412">
        <f>ROUND(IF(AI70=0,0,AL70/ABS(AI70)),3)</f>
        <v>0.64100000000000001</v>
      </c>
    </row>
    <row r="71" spans="1:44">
      <c r="A71" s="28"/>
      <c r="B71" s="28" t="s">
        <v>26</v>
      </c>
      <c r="C71" s="28"/>
      <c r="D71" s="28"/>
      <c r="E71" s="676">
        <f>+'Exhibit I State'!E70+'Exhibit I Federal'!E52</f>
        <v>12.7</v>
      </c>
      <c r="F71" s="1515"/>
      <c r="G71" s="676">
        <f>+'Exhibit I State'!G70+'Exhibit I Federal'!G52</f>
        <v>41.7</v>
      </c>
      <c r="H71" s="1515"/>
      <c r="I71" s="676">
        <f>+'Exhibit I State'!I70+'Exhibit I Federal'!I52</f>
        <v>37.899999999999991</v>
      </c>
      <c r="J71" s="1515"/>
      <c r="K71" s="676">
        <f>+'Exhibit I State'!K70+'Exhibit I Federal'!K52</f>
        <v>22.200000000000003</v>
      </c>
      <c r="L71" s="63"/>
      <c r="M71" s="676">
        <f>+'Exhibit I State'!M70+'Exhibit I Federal'!M52</f>
        <v>30.800000000000026</v>
      </c>
      <c r="N71" s="63"/>
      <c r="O71" s="676">
        <f>+'Exhibit I State'!O70+'Exhibit I Federal'!O52</f>
        <v>59.899999999999991</v>
      </c>
      <c r="P71" s="63"/>
      <c r="Q71" s="676"/>
      <c r="R71" s="63"/>
      <c r="S71" s="676"/>
      <c r="T71" s="63"/>
      <c r="U71" s="676"/>
      <c r="V71" s="63"/>
      <c r="W71" s="676"/>
      <c r="X71" s="63"/>
      <c r="Y71" s="676"/>
      <c r="Z71" s="63"/>
      <c r="AA71" s="676"/>
      <c r="AB71" s="676" t="s">
        <v>1172</v>
      </c>
      <c r="AC71" s="676">
        <v>0</v>
      </c>
      <c r="AD71" s="63"/>
      <c r="AE71" s="54"/>
      <c r="AF71" s="115">
        <f>ROUND(SUM(E71:AC71),1)</f>
        <v>205.2</v>
      </c>
      <c r="AG71" s="76"/>
      <c r="AH71" s="53"/>
      <c r="AI71" s="115">
        <f>+'Exhibit I State'!AG70+'Exhibit I Federal'!AG52</f>
        <v>206.5</v>
      </c>
      <c r="AJ71" s="74"/>
      <c r="AK71" s="330"/>
      <c r="AL71" s="55">
        <f t="shared" si="3"/>
        <v>-1.3</v>
      </c>
      <c r="AM71" s="331"/>
      <c r="AN71" s="1412">
        <f>ROUND(IF(AI71=0,0,AL71/ABS(AI71)),3)</f>
        <v>-6.0000000000000001E-3</v>
      </c>
      <c r="AO71" s="322"/>
    </row>
    <row r="72" spans="1:44">
      <c r="A72" s="28"/>
      <c r="B72" s="28" t="s">
        <v>27</v>
      </c>
      <c r="C72" s="28"/>
      <c r="D72" s="28"/>
      <c r="E72" s="676"/>
      <c r="F72" s="1515"/>
      <c r="G72" s="676"/>
      <c r="H72" s="1515"/>
      <c r="I72" s="676"/>
      <c r="J72" s="1515"/>
      <c r="K72" s="676"/>
      <c r="L72" s="63"/>
      <c r="M72" s="676"/>
      <c r="N72" s="63"/>
      <c r="O72" s="676"/>
      <c r="P72" s="63"/>
      <c r="Q72" s="676"/>
      <c r="R72" s="63"/>
      <c r="S72" s="676"/>
      <c r="T72" s="63"/>
      <c r="U72" s="676"/>
      <c r="V72" s="63"/>
      <c r="W72" s="676"/>
      <c r="X72" s="63"/>
      <c r="Y72" s="676"/>
      <c r="Z72" s="63"/>
      <c r="AA72" s="676"/>
      <c r="AB72" s="274"/>
      <c r="AC72" s="274"/>
      <c r="AD72" s="63"/>
      <c r="AE72" s="54"/>
      <c r="AF72" s="884" t="s">
        <v>14</v>
      </c>
      <c r="AG72" s="76"/>
      <c r="AH72" s="53"/>
      <c r="AI72" s="124"/>
      <c r="AJ72" s="63"/>
      <c r="AK72" s="332"/>
      <c r="AL72" s="55" t="s">
        <v>14</v>
      </c>
      <c r="AM72" s="331"/>
      <c r="AN72" s="336" t="s">
        <v>14</v>
      </c>
      <c r="AO72" s="322"/>
    </row>
    <row r="73" spans="1:44">
      <c r="A73" s="28"/>
      <c r="B73" s="28" t="s">
        <v>28</v>
      </c>
      <c r="C73" s="26"/>
      <c r="D73" s="28"/>
      <c r="E73" s="676">
        <f>+'Exhibit I State'!E72+'Exhibit I Federal'!E54</f>
        <v>0</v>
      </c>
      <c r="F73" s="1515"/>
      <c r="G73" s="676">
        <f>+'Exhibit I State'!G72+'Exhibit I Federal'!G54</f>
        <v>0</v>
      </c>
      <c r="H73" s="1515"/>
      <c r="I73" s="676">
        <f>+'Exhibit I State'!I72+'Exhibit I Federal'!I54</f>
        <v>0</v>
      </c>
      <c r="J73" s="1515"/>
      <c r="K73" s="676">
        <f>+'Exhibit I State'!K72+'Exhibit I Federal'!K54</f>
        <v>0</v>
      </c>
      <c r="L73" s="63"/>
      <c r="M73" s="676">
        <f>+'Exhibit I State'!M72+'Exhibit I Federal'!M54</f>
        <v>0</v>
      </c>
      <c r="N73" s="63"/>
      <c r="O73" s="676">
        <f>+'Exhibit I State'!O72+'Exhibit I Federal'!O54</f>
        <v>0</v>
      </c>
      <c r="P73" s="63"/>
      <c r="Q73" s="676"/>
      <c r="R73" s="63"/>
      <c r="S73" s="676"/>
      <c r="T73" s="63"/>
      <c r="U73" s="676"/>
      <c r="V73" s="63"/>
      <c r="W73" s="676"/>
      <c r="X73" s="63"/>
      <c r="Y73" s="676"/>
      <c r="Z73" s="63"/>
      <c r="AA73" s="676"/>
      <c r="AB73" s="274"/>
      <c r="AC73" s="274">
        <v>0</v>
      </c>
      <c r="AD73" s="63"/>
      <c r="AE73" s="54"/>
      <c r="AF73" s="115">
        <f t="shared" ref="AF73:AF77" si="4">ROUND(SUM(E73:AC73),1)</f>
        <v>0</v>
      </c>
      <c r="AG73" s="76"/>
      <c r="AH73" s="53"/>
      <c r="AI73" s="124">
        <f>+'Exhibit I State'!AG72+'Exhibit I Federal'!AG54</f>
        <v>0</v>
      </c>
      <c r="AJ73" s="63"/>
      <c r="AK73" s="332"/>
      <c r="AL73" s="55">
        <f t="shared" si="3"/>
        <v>0</v>
      </c>
      <c r="AM73" s="331"/>
      <c r="AN73" s="8">
        <f>ROUND(IF(AI73=0,0,AL73/ABS(AI73)),3)</f>
        <v>0</v>
      </c>
      <c r="AO73" s="322"/>
    </row>
    <row r="74" spans="1:44">
      <c r="A74" s="28"/>
      <c r="B74" s="28" t="s">
        <v>29</v>
      </c>
      <c r="C74" s="28"/>
      <c r="D74" s="28"/>
      <c r="E74" s="676">
        <f>+'Exhibit I State'!E73+'Exhibit I Federal'!E55</f>
        <v>45.1</v>
      </c>
      <c r="F74" s="1515"/>
      <c r="G74" s="676">
        <f>+'Exhibit I State'!G73+'Exhibit I Federal'!G55</f>
        <v>29.699999999999996</v>
      </c>
      <c r="H74" s="1515"/>
      <c r="I74" s="676">
        <f>+'Exhibit I State'!I73+'Exhibit I Federal'!I55</f>
        <v>80.90000000000002</v>
      </c>
      <c r="J74" s="1515"/>
      <c r="K74" s="676">
        <f>+'Exhibit I State'!K73+'Exhibit I Federal'!K55</f>
        <v>41.699999999999989</v>
      </c>
      <c r="L74" s="63"/>
      <c r="M74" s="676">
        <f>+'Exhibit I State'!M73+'Exhibit I Federal'!M55</f>
        <v>35</v>
      </c>
      <c r="N74" s="63"/>
      <c r="O74" s="676">
        <f>+'Exhibit I State'!O73+'Exhibit I Federal'!O55</f>
        <v>36.79999999999999</v>
      </c>
      <c r="P74" s="63"/>
      <c r="Q74" s="676"/>
      <c r="R74" s="63"/>
      <c r="S74" s="676"/>
      <c r="T74" s="63"/>
      <c r="U74" s="676"/>
      <c r="V74" s="63"/>
      <c r="W74" s="676"/>
      <c r="X74" s="63"/>
      <c r="Y74" s="676"/>
      <c r="Z74" s="63"/>
      <c r="AA74" s="676"/>
      <c r="AB74" s="274"/>
      <c r="AC74" s="274">
        <v>0</v>
      </c>
      <c r="AD74" s="63"/>
      <c r="AE74" s="54"/>
      <c r="AF74" s="884">
        <f t="shared" si="4"/>
        <v>269.2</v>
      </c>
      <c r="AG74" s="76"/>
      <c r="AH74" s="53"/>
      <c r="AI74" s="124">
        <f>+'Exhibit I State'!AG73+'Exhibit I Federal'!AG55</f>
        <v>258.60000000000002</v>
      </c>
      <c r="AJ74" s="74"/>
      <c r="AK74" s="330"/>
      <c r="AL74" s="55">
        <f t="shared" si="3"/>
        <v>10.6</v>
      </c>
      <c r="AM74" s="331"/>
      <c r="AN74" s="8">
        <f>ROUND(IF(AI74=0,0,AL74/ABS(AI74)),3)</f>
        <v>4.1000000000000002E-2</v>
      </c>
    </row>
    <row r="75" spans="1:44">
      <c r="A75" s="28"/>
      <c r="B75" s="28" t="s">
        <v>30</v>
      </c>
      <c r="C75" s="28"/>
      <c r="D75" s="28"/>
      <c r="E75" s="676">
        <f>+'Exhibit I State'!E74+'Exhibit I Federal'!E56</f>
        <v>0.4</v>
      </c>
      <c r="F75" s="1515"/>
      <c r="G75" s="676">
        <f>+'Exhibit I State'!G74+'Exhibit I Federal'!G56</f>
        <v>1.8000000000000003</v>
      </c>
      <c r="H75" s="1515"/>
      <c r="I75" s="676">
        <f>+'Exhibit I State'!I74+'Exhibit I Federal'!I56</f>
        <v>28.299999999999997</v>
      </c>
      <c r="J75" s="1515"/>
      <c r="K75" s="676">
        <f>+'Exhibit I State'!K74+'Exhibit I Federal'!K56</f>
        <v>5.3999999999999986</v>
      </c>
      <c r="L75" s="63"/>
      <c r="M75" s="676">
        <f>+'Exhibit I State'!M74+'Exhibit I Federal'!M56</f>
        <v>2.2000000000000011</v>
      </c>
      <c r="N75" s="63"/>
      <c r="O75" s="676">
        <f>+'Exhibit I State'!O74+'Exhibit I Federal'!O56</f>
        <v>0.70000000000000284</v>
      </c>
      <c r="P75" s="63"/>
      <c r="Q75" s="676"/>
      <c r="R75" s="63"/>
      <c r="S75" s="676"/>
      <c r="T75" s="63"/>
      <c r="U75" s="676"/>
      <c r="V75" s="63"/>
      <c r="W75" s="676"/>
      <c r="X75" s="63"/>
      <c r="Y75" s="676"/>
      <c r="Z75" s="63"/>
      <c r="AA75" s="676"/>
      <c r="AB75" s="274"/>
      <c r="AC75" s="274">
        <v>0</v>
      </c>
      <c r="AD75" s="63"/>
      <c r="AE75" s="54"/>
      <c r="AF75" s="115">
        <f>ROUND(SUM(E75:AC75),1)</f>
        <v>38.799999999999997</v>
      </c>
      <c r="AG75" s="76"/>
      <c r="AH75" s="53"/>
      <c r="AI75" s="124">
        <f>+'Exhibit I State'!AG74+'Exhibit I Federal'!AG56</f>
        <v>6.5</v>
      </c>
      <c r="AJ75" s="74"/>
      <c r="AK75" s="330"/>
      <c r="AL75" s="55">
        <f t="shared" si="3"/>
        <v>32.299999999999997</v>
      </c>
      <c r="AM75" s="331"/>
      <c r="AN75" s="1451">
        <f>ROUND(IF(AI75=0,1,AL75/ABS(AI75)),3)</f>
        <v>4.9690000000000003</v>
      </c>
      <c r="AO75" s="322"/>
    </row>
    <row r="76" spans="1:44">
      <c r="A76" s="28"/>
      <c r="B76" s="28" t="s">
        <v>31</v>
      </c>
      <c r="C76" s="28"/>
      <c r="D76" s="28"/>
      <c r="E76" s="676">
        <f>+'Exhibit I State'!E75+'Exhibit I Federal'!E57</f>
        <v>28.2</v>
      </c>
      <c r="F76" s="1515"/>
      <c r="G76" s="676">
        <f>+'Exhibit I State'!G75+'Exhibit I Federal'!G57</f>
        <v>55.8</v>
      </c>
      <c r="H76" s="1515"/>
      <c r="I76" s="676">
        <f>+'Exhibit I State'!I75+'Exhibit I Federal'!I57</f>
        <v>124.60000000000001</v>
      </c>
      <c r="J76" s="1515"/>
      <c r="K76" s="676">
        <f>+'Exhibit I State'!K75+'Exhibit I Federal'!K57</f>
        <v>54.59999999999998</v>
      </c>
      <c r="L76" s="63"/>
      <c r="M76" s="676">
        <f>+'Exhibit I State'!M75+'Exhibit I Federal'!M57</f>
        <v>12.5</v>
      </c>
      <c r="N76" s="63"/>
      <c r="O76" s="676">
        <f>+'Exhibit I State'!O75+'Exhibit I Federal'!O57</f>
        <v>39.400000000000034</v>
      </c>
      <c r="P76" s="63"/>
      <c r="Q76" s="676"/>
      <c r="R76" s="63"/>
      <c r="S76" s="676"/>
      <c r="T76" s="63"/>
      <c r="U76" s="676"/>
      <c r="V76" s="63"/>
      <c r="W76" s="676"/>
      <c r="X76" s="63"/>
      <c r="Y76" s="676"/>
      <c r="Z76" s="63"/>
      <c r="AA76" s="676"/>
      <c r="AB76" s="274"/>
      <c r="AC76" s="274">
        <v>0</v>
      </c>
      <c r="AD76" s="63"/>
      <c r="AE76" s="54"/>
      <c r="AF76" s="115">
        <f t="shared" si="4"/>
        <v>315.10000000000002</v>
      </c>
      <c r="AG76" s="76"/>
      <c r="AH76" s="53"/>
      <c r="AI76" s="124">
        <f>+'Exhibit I State'!AG75+'Exhibit I Federal'!AG57</f>
        <v>342.7</v>
      </c>
      <c r="AJ76" s="63"/>
      <c r="AK76" s="332"/>
      <c r="AL76" s="55">
        <f t="shared" si="3"/>
        <v>-27.6</v>
      </c>
      <c r="AM76" s="331"/>
      <c r="AN76" s="1542">
        <f>ROUND(IF(AI76=0,1,AL76/ABS(AI76)),3)</f>
        <v>-8.1000000000000003E-2</v>
      </c>
      <c r="AO76" s="322"/>
    </row>
    <row r="77" spans="1:44">
      <c r="A77" s="28"/>
      <c r="B77" s="28" t="s">
        <v>32</v>
      </c>
      <c r="C77" s="26"/>
      <c r="D77" s="28"/>
      <c r="E77" s="676">
        <f>+'Exhibit I State'!E76+'Exhibit I Federal'!E58</f>
        <v>21.200000000000003</v>
      </c>
      <c r="F77" s="1515"/>
      <c r="G77" s="676">
        <f>+'Exhibit I State'!G76+'Exhibit I Federal'!G58</f>
        <v>54.3</v>
      </c>
      <c r="H77" s="1515"/>
      <c r="I77" s="676">
        <f>+'Exhibit I State'!I76+'Exhibit I Federal'!I58</f>
        <v>147.19999999999999</v>
      </c>
      <c r="J77" s="1515"/>
      <c r="K77" s="676">
        <f>+'Exhibit I State'!K76+'Exhibit I Federal'!K58</f>
        <v>39.5</v>
      </c>
      <c r="L77" s="63"/>
      <c r="M77" s="676">
        <f>+'Exhibit I State'!M76+'Exhibit I Federal'!M58</f>
        <v>33.199999999999989</v>
      </c>
      <c r="N77" s="63"/>
      <c r="O77" s="676">
        <f>+'Exhibit I State'!O76+'Exhibit I Federal'!O58</f>
        <v>104.80000000000001</v>
      </c>
      <c r="P77" s="63"/>
      <c r="Q77" s="676"/>
      <c r="R77" s="63"/>
      <c r="S77" s="676"/>
      <c r="T77" s="63"/>
      <c r="U77" s="676"/>
      <c r="V77" s="63"/>
      <c r="W77" s="676"/>
      <c r="X77" s="63"/>
      <c r="Y77" s="676"/>
      <c r="Z77" s="63"/>
      <c r="AA77" s="676"/>
      <c r="AB77" s="274"/>
      <c r="AC77" s="274">
        <v>0</v>
      </c>
      <c r="AD77" s="63"/>
      <c r="AE77" s="54"/>
      <c r="AF77" s="115">
        <f t="shared" si="4"/>
        <v>400.2</v>
      </c>
      <c r="AG77" s="76"/>
      <c r="AH77" s="53"/>
      <c r="AI77" s="124">
        <f>+'Exhibit I State'!AG76+'Exhibit I Federal'!AG58</f>
        <v>179.6</v>
      </c>
      <c r="AJ77" s="63"/>
      <c r="AK77" s="332"/>
      <c r="AL77" s="55">
        <f t="shared" si="3"/>
        <v>220.6</v>
      </c>
      <c r="AM77" s="331"/>
      <c r="AN77" s="1542">
        <f>ROUND(IF(AI77=0,0,AL77/ABS(AI77)),3)</f>
        <v>1.228</v>
      </c>
      <c r="AO77" s="322"/>
    </row>
    <row r="78" spans="1:44">
      <c r="A78" s="28"/>
      <c r="B78" s="28" t="s">
        <v>33</v>
      </c>
      <c r="C78" s="28"/>
      <c r="D78" s="28"/>
      <c r="E78" s="676">
        <f>+'Exhibit I State'!E77+'Exhibit I Federal'!E59</f>
        <v>181.70000000000002</v>
      </c>
      <c r="F78" s="1515"/>
      <c r="G78" s="676">
        <f>+'Exhibit I State'!G77+'Exhibit I Federal'!G59</f>
        <v>37.700000000000003</v>
      </c>
      <c r="H78" s="1515"/>
      <c r="I78" s="676">
        <f>+'Exhibit I State'!I77+'Exhibit I Federal'!I59</f>
        <v>269</v>
      </c>
      <c r="J78" s="1515"/>
      <c r="K78" s="676">
        <f>+'Exhibit I State'!K77+'Exhibit I Federal'!K59</f>
        <v>267.10000000000002</v>
      </c>
      <c r="L78" s="63"/>
      <c r="M78" s="676">
        <f>+'Exhibit I State'!M77+'Exhibit I Federal'!M59</f>
        <v>213.49999999999997</v>
      </c>
      <c r="N78" s="63"/>
      <c r="O78" s="676">
        <f>+'Exhibit I State'!O77+'Exhibit I Federal'!O59</f>
        <v>346.20000000000016</v>
      </c>
      <c r="P78" s="63"/>
      <c r="Q78" s="676"/>
      <c r="R78" s="63"/>
      <c r="S78" s="676"/>
      <c r="T78" s="63"/>
      <c r="U78" s="676"/>
      <c r="V78" s="63"/>
      <c r="W78" s="676"/>
      <c r="X78" s="63"/>
      <c r="Y78" s="676"/>
      <c r="Z78" s="63"/>
      <c r="AA78" s="676"/>
      <c r="AB78" s="274"/>
      <c r="AC78" s="274">
        <v>0</v>
      </c>
      <c r="AD78" s="63"/>
      <c r="AE78" s="54"/>
      <c r="AF78" s="115">
        <f>ROUND(SUM(E78:AC78),1)</f>
        <v>1315.2</v>
      </c>
      <c r="AG78" s="76"/>
      <c r="AH78" s="53"/>
      <c r="AI78" s="1033">
        <f>+'Exhibit I State'!AG77+'Exhibit I Federal'!AG59</f>
        <v>728.5</v>
      </c>
      <c r="AJ78" s="53"/>
      <c r="AK78" s="332"/>
      <c r="AL78" s="55">
        <f>ROUND(SUM(+AF78-AI78),1)</f>
        <v>586.70000000000005</v>
      </c>
      <c r="AM78" s="322"/>
      <c r="AN78" s="1413">
        <f>ROUND(IF(AI78=0,0,AL78/ABS(AI78)),3)</f>
        <v>0.80500000000000005</v>
      </c>
      <c r="AO78" s="322"/>
    </row>
    <row r="79" spans="1:44">
      <c r="A79" s="28"/>
      <c r="B79" s="26" t="s">
        <v>196</v>
      </c>
      <c r="C79" s="28"/>
      <c r="D79" s="28"/>
      <c r="E79" s="291">
        <f>ROUND(SUM(E69:E78),1)</f>
        <v>331.8</v>
      </c>
      <c r="F79" s="911"/>
      <c r="G79" s="291">
        <f>ROUND(SUM(G69:G78),1)</f>
        <v>253.6</v>
      </c>
      <c r="H79" s="911"/>
      <c r="I79" s="291">
        <f>ROUND(SUM(I69:I78),1)</f>
        <v>749.1</v>
      </c>
      <c r="J79" s="1516"/>
      <c r="K79" s="291">
        <f>ROUND(SUM(K69:K78),1)</f>
        <v>458.8</v>
      </c>
      <c r="L79" s="73"/>
      <c r="M79" s="291">
        <f>ROUND(SUM(M69:M78),1)</f>
        <v>369.4</v>
      </c>
      <c r="N79" s="73"/>
      <c r="O79" s="291">
        <f>ROUND(SUM(O69:O78),1)</f>
        <v>611.70000000000005</v>
      </c>
      <c r="P79" s="59"/>
      <c r="Q79" s="291">
        <f>ROUND(SUM(Q69:Q78),1)</f>
        <v>0</v>
      </c>
      <c r="R79" s="59"/>
      <c r="S79" s="1085">
        <f>ROUND(SUM(S69:S78),1)</f>
        <v>0</v>
      </c>
      <c r="T79" s="59"/>
      <c r="U79" s="291">
        <f>ROUND(SUM(U69:U78),1)</f>
        <v>0</v>
      </c>
      <c r="V79" s="59"/>
      <c r="W79" s="291">
        <f>ROUND(SUM(W69:W78),1)</f>
        <v>0</v>
      </c>
      <c r="X79" s="59"/>
      <c r="Y79" s="291">
        <f>ROUND(SUM(Y69:Y78),1)</f>
        <v>0</v>
      </c>
      <c r="Z79" s="59"/>
      <c r="AA79" s="291">
        <f>ROUND(SUM(AA69:AA78),1)</f>
        <v>0</v>
      </c>
      <c r="AB79" s="1516"/>
      <c r="AC79" s="291">
        <f>ROUND(SUM(AC69:AC78),1)</f>
        <v>0</v>
      </c>
      <c r="AD79" s="59"/>
      <c r="AE79" s="61"/>
      <c r="AF79" s="1085">
        <f>ROUND(SUM(AF69:AF78),1)</f>
        <v>2774.4</v>
      </c>
      <c r="AG79" s="213"/>
      <c r="AH79" s="73"/>
      <c r="AI79" s="1085">
        <f>ROUND(SUM(AI69:AI78),1)</f>
        <v>1812.8</v>
      </c>
      <c r="AJ79" s="73"/>
      <c r="AK79" s="332"/>
      <c r="AL79" s="291">
        <f>ROUND(SUM(AL69:AL78),1)</f>
        <v>961.6</v>
      </c>
      <c r="AM79" s="338"/>
      <c r="AN79" s="889">
        <f>ROUND(SUM(AL79/AI79),3)</f>
        <v>0.53</v>
      </c>
      <c r="AO79" s="327"/>
      <c r="AP79" s="335"/>
      <c r="AQ79" s="327"/>
      <c r="AR79" s="327"/>
    </row>
    <row r="80" spans="1:44">
      <c r="A80" s="28"/>
      <c r="B80" s="28" t="s">
        <v>197</v>
      </c>
      <c r="C80" s="28"/>
      <c r="D80" s="28"/>
      <c r="E80" s="1515"/>
      <c r="F80" s="1515"/>
      <c r="G80" s="1515"/>
      <c r="H80" s="1515"/>
      <c r="I80" s="1515"/>
      <c r="J80" s="1515"/>
      <c r="K80" s="1515"/>
      <c r="L80" s="63"/>
      <c r="M80" s="1515"/>
      <c r="N80" s="63"/>
      <c r="O80" s="1515"/>
      <c r="P80" s="63"/>
      <c r="Q80" s="63"/>
      <c r="R80" s="63"/>
      <c r="S80" s="115"/>
      <c r="T80" s="63"/>
      <c r="U80" s="63"/>
      <c r="V80" s="63"/>
      <c r="W80" s="63"/>
      <c r="X80" s="63"/>
      <c r="Y80" s="63"/>
      <c r="Z80" s="63"/>
      <c r="AA80" s="63"/>
      <c r="AB80" s="63"/>
      <c r="AC80" s="63"/>
      <c r="AD80" s="63"/>
      <c r="AE80" s="54"/>
      <c r="AF80" s="115"/>
      <c r="AG80" s="76"/>
      <c r="AH80" s="53"/>
      <c r="AI80" s="115"/>
      <c r="AJ80" s="63"/>
      <c r="AK80" s="332"/>
      <c r="AL80" s="55"/>
      <c r="AM80" s="322"/>
      <c r="AN80" s="329"/>
    </row>
    <row r="81" spans="1:44">
      <c r="A81" s="28"/>
      <c r="B81" s="28" t="s">
        <v>198</v>
      </c>
      <c r="C81" s="28"/>
      <c r="D81" s="28"/>
      <c r="E81" s="676">
        <f>+'Exhibit I State'!E80+'Exhibit I Federal'!E62</f>
        <v>0</v>
      </c>
      <c r="F81" s="1515"/>
      <c r="G81" s="676">
        <f>+'Exhibit I State'!G80+'Exhibit I Federal'!G62</f>
        <v>0</v>
      </c>
      <c r="H81" s="1515"/>
      <c r="I81" s="676">
        <f>+'Exhibit I State'!I80+'Exhibit I Federal'!I62</f>
        <v>0</v>
      </c>
      <c r="J81" s="1515"/>
      <c r="K81" s="676">
        <f>+'Exhibit I State'!K80+'Exhibit I Federal'!K62</f>
        <v>0</v>
      </c>
      <c r="L81" s="63"/>
      <c r="M81" s="676">
        <f>+'Exhibit I State'!M80+'Exhibit I Federal'!M62</f>
        <v>0</v>
      </c>
      <c r="N81" s="63"/>
      <c r="O81" s="676">
        <f>+'Exhibit I State'!O80+'Exhibit I Federal'!O62</f>
        <v>0</v>
      </c>
      <c r="P81" s="63"/>
      <c r="Q81" s="676"/>
      <c r="R81" s="63"/>
      <c r="S81" s="676"/>
      <c r="T81" s="63"/>
      <c r="U81" s="676"/>
      <c r="V81" s="63"/>
      <c r="W81" s="676"/>
      <c r="X81" s="63"/>
      <c r="Y81" s="676"/>
      <c r="Z81" s="63"/>
      <c r="AA81" s="676"/>
      <c r="AB81" s="274"/>
      <c r="AC81" s="274">
        <v>0</v>
      </c>
      <c r="AD81" s="63"/>
      <c r="AE81" s="54"/>
      <c r="AF81" s="116">
        <f>ROUND(SUM(E81:AC81),1)</f>
        <v>0</v>
      </c>
      <c r="AG81" s="76"/>
      <c r="AH81" s="53"/>
      <c r="AI81" s="354">
        <f>+'Exhibit I State'!AG80+'Exhibit I Federal'!AG62</f>
        <v>0</v>
      </c>
      <c r="AJ81" s="66"/>
      <c r="AK81" s="339"/>
      <c r="AL81" s="337">
        <f>ROUND(SUM(+AF81-AI81),1)</f>
        <v>0</v>
      </c>
      <c r="AM81" s="322"/>
      <c r="AN81" s="8">
        <f>ROUND(IF(AI81=0,0,AL81/ABS(AI81)),3)</f>
        <v>0</v>
      </c>
    </row>
    <row r="82" spans="1:44">
      <c r="A82" s="28"/>
      <c r="B82" s="28" t="s">
        <v>199</v>
      </c>
      <c r="C82" s="28"/>
      <c r="D82" s="28"/>
      <c r="E82" s="676">
        <f>+'Exhibit I State'!E81+'Exhibit I Federal'!E63</f>
        <v>0</v>
      </c>
      <c r="F82" s="1515"/>
      <c r="G82" s="676">
        <f>+'Exhibit I State'!G81+'Exhibit I Federal'!G63</f>
        <v>0</v>
      </c>
      <c r="H82" s="1515"/>
      <c r="I82" s="676">
        <f>+'Exhibit I State'!I81+'Exhibit I Federal'!I63</f>
        <v>0</v>
      </c>
      <c r="J82" s="1515"/>
      <c r="K82" s="676">
        <f>+'Exhibit I State'!K81+'Exhibit I Federal'!K63</f>
        <v>0</v>
      </c>
      <c r="L82" s="63"/>
      <c r="M82" s="676">
        <f>+'Exhibit I State'!M81+'Exhibit I Federal'!M63</f>
        <v>0</v>
      </c>
      <c r="N82" s="63"/>
      <c r="O82" s="676">
        <f>+'Exhibit I State'!O81+'Exhibit I Federal'!O63</f>
        <v>0</v>
      </c>
      <c r="P82" s="63"/>
      <c r="Q82" s="676"/>
      <c r="R82" s="63"/>
      <c r="S82" s="676"/>
      <c r="T82" s="63"/>
      <c r="U82" s="676"/>
      <c r="V82" s="63"/>
      <c r="W82" s="676"/>
      <c r="X82" s="63"/>
      <c r="Y82" s="676"/>
      <c r="Z82" s="63"/>
      <c r="AA82" s="676"/>
      <c r="AB82" s="274"/>
      <c r="AC82" s="274">
        <v>0</v>
      </c>
      <c r="AD82" s="63"/>
      <c r="AE82" s="54"/>
      <c r="AF82" s="3814">
        <f>ROUND(SUM(E82:AC82),1)</f>
        <v>0</v>
      </c>
      <c r="AG82" s="76"/>
      <c r="AH82" s="53"/>
      <c r="AI82" s="354">
        <f>+'Exhibit I State'!AG81+'Exhibit I Federal'!AG63</f>
        <v>0</v>
      </c>
      <c r="AJ82" s="66"/>
      <c r="AK82" s="339"/>
      <c r="AL82" s="337">
        <f>ROUND(SUM(+AF82-AI82),1)</f>
        <v>0</v>
      </c>
      <c r="AM82" s="322"/>
      <c r="AN82" s="8">
        <f>ROUND(IF(AI82=0,0,AL82/ABS(AI82)),3)</f>
        <v>0</v>
      </c>
    </row>
    <row r="83" spans="1:44">
      <c r="A83" s="28"/>
      <c r="B83" s="28" t="s">
        <v>200</v>
      </c>
      <c r="C83" s="28"/>
      <c r="D83" s="28"/>
      <c r="E83" s="676">
        <f>+'Exhibit I State'!E82+'Exhibit I Federal'!E64</f>
        <v>0</v>
      </c>
      <c r="F83" s="1515"/>
      <c r="G83" s="676">
        <f>+'Exhibit I State'!G82+'Exhibit I Federal'!G64</f>
        <v>0</v>
      </c>
      <c r="H83" s="1515"/>
      <c r="I83" s="676">
        <f>+'Exhibit I State'!I82+'Exhibit I Federal'!I64</f>
        <v>0</v>
      </c>
      <c r="J83" s="1515"/>
      <c r="K83" s="676">
        <f>+'Exhibit I State'!K82+'Exhibit I Federal'!K64</f>
        <v>0</v>
      </c>
      <c r="L83" s="63"/>
      <c r="M83" s="676">
        <f>+'Exhibit I State'!M82+'Exhibit I Federal'!M64</f>
        <v>0</v>
      </c>
      <c r="N83" s="63"/>
      <c r="O83" s="676">
        <f>+'Exhibit I State'!O82+'Exhibit I Federal'!O64</f>
        <v>0</v>
      </c>
      <c r="P83" s="63"/>
      <c r="Q83" s="676"/>
      <c r="R83" s="63"/>
      <c r="S83" s="676"/>
      <c r="T83" s="63"/>
      <c r="U83" s="676"/>
      <c r="V83" s="63"/>
      <c r="W83" s="676"/>
      <c r="X83" s="63"/>
      <c r="Y83" s="676"/>
      <c r="Z83" s="340"/>
      <c r="AA83" s="676"/>
      <c r="AB83" s="274"/>
      <c r="AC83" s="274">
        <v>0</v>
      </c>
      <c r="AD83" s="340"/>
      <c r="AE83" s="341"/>
      <c r="AF83" s="116">
        <f>ROUND(SUM(E83:AC83),1)</f>
        <v>0</v>
      </c>
      <c r="AG83" s="76"/>
      <c r="AH83" s="53"/>
      <c r="AI83" s="354">
        <f>+'Exhibit I State'!AG82+'Exhibit I Federal'!AG64</f>
        <v>0</v>
      </c>
      <c r="AJ83" s="66"/>
      <c r="AK83" s="339"/>
      <c r="AL83" s="337">
        <f>ROUND(SUM(+AF83-AI83),1)</f>
        <v>0</v>
      </c>
      <c r="AM83" s="322"/>
      <c r="AN83" s="8">
        <f>ROUND(IF(AI83=0,0,AL83/ABS(AI83)),3)</f>
        <v>0</v>
      </c>
    </row>
    <row r="84" spans="1:44">
      <c r="A84" s="28"/>
      <c r="B84" s="51" t="s">
        <v>171</v>
      </c>
      <c r="C84" s="28"/>
      <c r="D84" s="28"/>
      <c r="E84" s="676">
        <f>+'Exhibit I State'!E83+'Exhibit I Federal'!E65</f>
        <v>398.20000000000005</v>
      </c>
      <c r="F84" s="1515"/>
      <c r="G84" s="676">
        <f>+'Exhibit I State'!G83+'Exhibit I Federal'!G65</f>
        <v>514.1</v>
      </c>
      <c r="H84" s="650"/>
      <c r="I84" s="676">
        <f>+'Exhibit I State'!I83+'Exhibit I Federal'!I65</f>
        <v>631.40000000000009</v>
      </c>
      <c r="J84" s="650"/>
      <c r="K84" s="676">
        <f>+'Exhibit I State'!K83+'Exhibit I Federal'!K65</f>
        <v>554.19999999999982</v>
      </c>
      <c r="L84" s="63"/>
      <c r="M84" s="676">
        <f>+'Exhibit I State'!M83+'Exhibit I Federal'!M65</f>
        <v>699.60000000000014</v>
      </c>
      <c r="N84" s="63"/>
      <c r="O84" s="676">
        <f>+'Exhibit I State'!O83+'Exhibit I Federal'!O65</f>
        <v>710.0999999999998</v>
      </c>
      <c r="P84" s="63"/>
      <c r="Q84" s="676"/>
      <c r="R84" s="63"/>
      <c r="S84" s="676"/>
      <c r="T84" s="63"/>
      <c r="U84" s="676"/>
      <c r="V84" s="63"/>
      <c r="W84" s="676"/>
      <c r="X84" s="63"/>
      <c r="Y84" s="676"/>
      <c r="Z84" s="63"/>
      <c r="AA84" s="676"/>
      <c r="AB84" s="274"/>
      <c r="AC84" s="274">
        <v>0</v>
      </c>
      <c r="AD84" s="63"/>
      <c r="AE84" s="54"/>
      <c r="AF84" s="116">
        <f>ROUND(SUM(E84:AC84),1)</f>
        <v>3507.6</v>
      </c>
      <c r="AG84" s="76"/>
      <c r="AH84" s="53"/>
      <c r="AI84" s="3428">
        <f>+'Exhibit I State'!AG83+'Exhibit I Federal'!AG65</f>
        <v>3611.1</v>
      </c>
      <c r="AJ84" s="75"/>
      <c r="AK84" s="330"/>
      <c r="AL84" s="333">
        <f>ROUND(SUM(+AF84-AI84),1)</f>
        <v>-103.5</v>
      </c>
      <c r="AM84" s="322"/>
      <c r="AN84" s="1413">
        <f>ROUND(IF(AI84=0,1,AL84/ABS(AI84)),3)</f>
        <v>-2.9000000000000001E-2</v>
      </c>
    </row>
    <row r="85" spans="1:44">
      <c r="A85" s="28"/>
      <c r="B85" s="28"/>
      <c r="C85" s="28"/>
      <c r="D85" s="28"/>
      <c r="E85" s="677"/>
      <c r="F85" s="1515"/>
      <c r="G85" s="677"/>
      <c r="H85" s="1515"/>
      <c r="I85" s="677"/>
      <c r="J85" s="1515"/>
      <c r="K85" s="677"/>
      <c r="L85" s="63"/>
      <c r="M85" s="677"/>
      <c r="N85" s="63"/>
      <c r="O85" s="677"/>
      <c r="P85" s="63"/>
      <c r="Q85" s="85"/>
      <c r="R85" s="63"/>
      <c r="S85" s="123"/>
      <c r="T85" s="63"/>
      <c r="U85" s="85"/>
      <c r="V85" s="63"/>
      <c r="W85" s="85"/>
      <c r="X85" s="63"/>
      <c r="Y85" s="85"/>
      <c r="Z85" s="63"/>
      <c r="AA85" s="85"/>
      <c r="AB85" s="53"/>
      <c r="AC85" s="85"/>
      <c r="AD85" s="63"/>
      <c r="AE85" s="54"/>
      <c r="AF85" s="123"/>
      <c r="AG85" s="76"/>
      <c r="AH85" s="53"/>
      <c r="AI85" s="355"/>
      <c r="AJ85" s="55"/>
      <c r="AK85" s="342"/>
      <c r="AL85" s="55"/>
      <c r="AM85" s="322"/>
      <c r="AN85" s="329"/>
    </row>
    <row r="86" spans="1:44">
      <c r="A86" s="28"/>
      <c r="B86" s="26" t="s">
        <v>201</v>
      </c>
      <c r="C86" s="28"/>
      <c r="D86" s="28"/>
      <c r="E86" s="911">
        <f>ROUND(SUM(+E84+E79),1)</f>
        <v>730</v>
      </c>
      <c r="F86" s="911"/>
      <c r="G86" s="2034">
        <f>ROUND(SUM(G79:G84),1)</f>
        <v>767.7</v>
      </c>
      <c r="H86" s="911"/>
      <c r="I86" s="911">
        <f>ROUND(SUM(+I84+I79+I81+I82+I83),1)</f>
        <v>1380.5</v>
      </c>
      <c r="J86" s="911"/>
      <c r="K86" s="911">
        <f>ROUND(SUM(+K84+K79),1)</f>
        <v>1013</v>
      </c>
      <c r="L86" s="59"/>
      <c r="M86" s="911">
        <f>ROUND(SUM(+M84+M79),1)</f>
        <v>1069</v>
      </c>
      <c r="N86" s="59"/>
      <c r="O86" s="911">
        <f>ROUND(SUM(+O84+O79),1)</f>
        <v>1321.8</v>
      </c>
      <c r="P86" s="59"/>
      <c r="Q86" s="911">
        <f>ROUND(SUM(+Q84+Q79),1)</f>
        <v>0</v>
      </c>
      <c r="R86" s="59"/>
      <c r="S86" s="109">
        <f>ROUND(SUM(+S84+S79),1)</f>
        <v>0</v>
      </c>
      <c r="T86" s="59"/>
      <c r="U86" s="911">
        <f>ROUND(SUM(+U84+U79),1)</f>
        <v>0</v>
      </c>
      <c r="V86" s="59"/>
      <c r="W86" s="911">
        <f>ROUND(SUM(+W84+W79),1)</f>
        <v>0</v>
      </c>
      <c r="X86" s="59"/>
      <c r="Y86" s="911">
        <f>ROUND(SUM(+Y84+Y79),1)</f>
        <v>0</v>
      </c>
      <c r="Z86" s="59"/>
      <c r="AA86" s="911">
        <f>ROUND(SUM(+AA84+AA79),1)</f>
        <v>0</v>
      </c>
      <c r="AB86" s="911"/>
      <c r="AC86" s="911">
        <f>ROUND(SUM(+AC84+AC79),1)</f>
        <v>0</v>
      </c>
      <c r="AD86" s="59"/>
      <c r="AE86" s="61"/>
      <c r="AF86" s="109">
        <f>ROUND(SUM(+AF84+AF79+AF81+AF82+AF83),1)</f>
        <v>6282</v>
      </c>
      <c r="AG86" s="213"/>
      <c r="AH86" s="73"/>
      <c r="AI86" s="109">
        <f>ROUND(SUM(+AI84+AI79+AI81+AI82+AI83),1)</f>
        <v>5423.9</v>
      </c>
      <c r="AJ86" s="73"/>
      <c r="AK86" s="332"/>
      <c r="AL86" s="71">
        <f>ROUND(SUM(AL79+AL84+AL81+AL82+AL83),1)</f>
        <v>858.1</v>
      </c>
      <c r="AM86" s="338"/>
      <c r="AN86" s="296">
        <f>ROUND(SUM(AL86/AI86),3)</f>
        <v>0.158</v>
      </c>
      <c r="AO86" s="327"/>
      <c r="AP86" s="335"/>
      <c r="AQ86" s="327"/>
      <c r="AR86" s="327"/>
    </row>
    <row r="87" spans="1:44">
      <c r="A87" s="28"/>
      <c r="B87" s="28"/>
      <c r="C87" s="28"/>
      <c r="D87" s="28"/>
      <c r="E87" s="677"/>
      <c r="F87" s="1515"/>
      <c r="G87" s="677"/>
      <c r="H87" s="1515"/>
      <c r="I87" s="677"/>
      <c r="J87" s="1515"/>
      <c r="K87" s="677"/>
      <c r="L87" s="63"/>
      <c r="M87" s="677"/>
      <c r="N87" s="63"/>
      <c r="O87" s="677"/>
      <c r="P87" s="63"/>
      <c r="Q87" s="85"/>
      <c r="R87" s="63"/>
      <c r="S87" s="123"/>
      <c r="T87" s="63"/>
      <c r="U87" s="85"/>
      <c r="V87" s="63"/>
      <c r="W87" s="85"/>
      <c r="X87" s="63"/>
      <c r="Y87" s="85"/>
      <c r="Z87" s="63"/>
      <c r="AA87" s="85"/>
      <c r="AB87" s="53"/>
      <c r="AC87" s="85"/>
      <c r="AD87" s="63"/>
      <c r="AE87" s="54"/>
      <c r="AF87" s="123"/>
      <c r="AG87" s="76"/>
      <c r="AH87" s="53"/>
      <c r="AI87" s="123"/>
      <c r="AJ87" s="53"/>
      <c r="AK87" s="332"/>
      <c r="AL87" s="55"/>
      <c r="AM87" s="322"/>
      <c r="AN87" s="329"/>
    </row>
    <row r="88" spans="1:44">
      <c r="A88" s="28"/>
      <c r="B88" s="26" t="s">
        <v>202</v>
      </c>
      <c r="C88" s="28"/>
      <c r="D88" s="28"/>
      <c r="E88" s="1515"/>
      <c r="F88" s="1515"/>
      <c r="G88" s="1515"/>
      <c r="H88" s="1515"/>
      <c r="I88" s="1515"/>
      <c r="J88" s="1515"/>
      <c r="K88" s="1515"/>
      <c r="L88" s="63"/>
      <c r="M88" s="1515"/>
      <c r="N88" s="63"/>
      <c r="O88" s="1515"/>
      <c r="P88" s="63"/>
      <c r="Q88" s="63"/>
      <c r="R88" s="63"/>
      <c r="S88" s="115"/>
      <c r="T88" s="63"/>
      <c r="U88" s="63"/>
      <c r="V88" s="63"/>
      <c r="W88" s="63"/>
      <c r="X88" s="63"/>
      <c r="Y88" s="63"/>
      <c r="Z88" s="63"/>
      <c r="AA88" s="63"/>
      <c r="AB88" s="63"/>
      <c r="AC88" s="63"/>
      <c r="AD88" s="63"/>
      <c r="AE88" s="54"/>
      <c r="AF88" s="355"/>
      <c r="AG88" s="76"/>
      <c r="AH88" s="53"/>
      <c r="AI88" s="355"/>
      <c r="AJ88" s="55"/>
      <c r="AK88" s="342"/>
      <c r="AL88" s="55"/>
      <c r="AM88" s="322"/>
      <c r="AN88" s="329"/>
    </row>
    <row r="89" spans="1:44">
      <c r="A89" s="28"/>
      <c r="B89" s="26" t="s">
        <v>203</v>
      </c>
      <c r="C89" s="28"/>
      <c r="D89" s="28"/>
      <c r="E89" s="911">
        <f>ROUND(SUM(E65-E86),1)</f>
        <v>-458.3</v>
      </c>
      <c r="F89" s="911"/>
      <c r="G89" s="911">
        <f>ROUND(SUM(G65-G86),1)</f>
        <v>-561.29999999999995</v>
      </c>
      <c r="H89" s="911"/>
      <c r="I89" s="911">
        <f>ROUND(SUM(I65-I86),1)</f>
        <v>-1021.9</v>
      </c>
      <c r="J89" s="911"/>
      <c r="K89" s="911">
        <f>ROUND(SUM(K65-K86),1)</f>
        <v>-434.7</v>
      </c>
      <c r="L89" s="59"/>
      <c r="M89" s="911">
        <f>ROUND(SUM(M65-M86),1)</f>
        <v>-670.1</v>
      </c>
      <c r="N89" s="59"/>
      <c r="O89" s="911">
        <f>ROUND(SUM(O65-O86),1)</f>
        <v>-613.79999999999995</v>
      </c>
      <c r="P89" s="59"/>
      <c r="Q89" s="911">
        <f>ROUND(SUM(Q65-Q86),1)</f>
        <v>0</v>
      </c>
      <c r="R89" s="59"/>
      <c r="S89" s="109">
        <f>ROUND(SUM(S65-S86),1)</f>
        <v>0</v>
      </c>
      <c r="T89" s="59"/>
      <c r="U89" s="911">
        <f>ROUND(SUM(U65-U86),1)</f>
        <v>0</v>
      </c>
      <c r="V89" s="59"/>
      <c r="W89" s="911">
        <f>ROUND(SUM(W65-W86),1)</f>
        <v>0</v>
      </c>
      <c r="X89" s="59"/>
      <c r="Y89" s="911">
        <f>ROUND(SUM(Y65-Y86),1)</f>
        <v>0</v>
      </c>
      <c r="Z89" s="59"/>
      <c r="AA89" s="911">
        <f>ROUND(SUM(AA65-AA86),1)</f>
        <v>0</v>
      </c>
      <c r="AB89" s="911"/>
      <c r="AC89" s="911">
        <f>ROUND(SUM(AC65-AC86),1)</f>
        <v>0</v>
      </c>
      <c r="AD89" s="59"/>
      <c r="AE89" s="61"/>
      <c r="AF89" s="109">
        <f>ROUND(SUM(AF65-AF86),1)</f>
        <v>-3760.1</v>
      </c>
      <c r="AG89" s="213"/>
      <c r="AH89" s="73"/>
      <c r="AI89" s="109">
        <f>ROUND(SUM(AI65-AI86),1)</f>
        <v>-1272.8</v>
      </c>
      <c r="AJ89" s="73"/>
      <c r="AK89" s="332"/>
      <c r="AL89" s="71">
        <f>ROUND(SUM(AL65-AL86),1)</f>
        <v>-2487.3000000000002</v>
      </c>
      <c r="AM89" s="338"/>
      <c r="AN89" s="345">
        <f>ROUND(IF(AI89=0,0,AL89/ABS(AI89)),3)</f>
        <v>-1.954</v>
      </c>
      <c r="AO89" s="327"/>
      <c r="AP89" s="327"/>
      <c r="AQ89" s="327"/>
      <c r="AR89" s="327"/>
    </row>
    <row r="90" spans="1:44">
      <c r="A90" s="28"/>
      <c r="B90" s="28"/>
      <c r="C90" s="28"/>
      <c r="D90" s="28"/>
      <c r="E90" s="677"/>
      <c r="F90" s="1515"/>
      <c r="G90" s="677"/>
      <c r="H90" s="1515"/>
      <c r="I90" s="677"/>
      <c r="J90" s="1515"/>
      <c r="K90" s="677"/>
      <c r="L90" s="63"/>
      <c r="M90" s="677"/>
      <c r="N90" s="63"/>
      <c r="O90" s="677"/>
      <c r="P90" s="63"/>
      <c r="Q90" s="85"/>
      <c r="R90" s="63"/>
      <c r="S90" s="123"/>
      <c r="T90" s="63"/>
      <c r="U90" s="85"/>
      <c r="V90" s="63"/>
      <c r="W90" s="85"/>
      <c r="X90" s="63"/>
      <c r="Y90" s="85"/>
      <c r="Z90" s="63"/>
      <c r="AA90" s="85"/>
      <c r="AB90" s="53"/>
      <c r="AC90" s="85"/>
      <c r="AD90" s="63"/>
      <c r="AE90" s="54"/>
      <c r="AF90" s="123"/>
      <c r="AG90" s="76"/>
      <c r="AH90" s="53"/>
      <c r="AI90" s="123"/>
      <c r="AJ90" s="53"/>
      <c r="AK90" s="332"/>
      <c r="AL90" s="55"/>
      <c r="AM90" s="322"/>
      <c r="AN90" s="329"/>
    </row>
    <row r="91" spans="1:44">
      <c r="A91" s="28"/>
      <c r="B91" s="26" t="s">
        <v>204</v>
      </c>
      <c r="C91" s="28"/>
      <c r="D91" s="28"/>
      <c r="E91" s="1515"/>
      <c r="F91" s="1515"/>
      <c r="G91" s="1515"/>
      <c r="H91" s="1515"/>
      <c r="I91" s="1515"/>
      <c r="J91" s="1515"/>
      <c r="K91" s="1515"/>
      <c r="L91" s="63"/>
      <c r="M91" s="1515"/>
      <c r="N91" s="63"/>
      <c r="O91" s="1515"/>
      <c r="P91" s="63"/>
      <c r="Q91" s="63"/>
      <c r="R91" s="63"/>
      <c r="S91" s="115"/>
      <c r="T91" s="63"/>
      <c r="U91" s="63"/>
      <c r="V91" s="63"/>
      <c r="W91" s="63"/>
      <c r="X91" s="63"/>
      <c r="Y91" s="63"/>
      <c r="Z91" s="63"/>
      <c r="AA91" s="63"/>
      <c r="AB91" s="63"/>
      <c r="AC91" s="115"/>
      <c r="AD91" s="63"/>
      <c r="AE91" s="54"/>
      <c r="AF91" s="115"/>
      <c r="AG91" s="76"/>
      <c r="AH91" s="53"/>
      <c r="AI91" s="124"/>
      <c r="AJ91" s="66"/>
      <c r="AK91" s="339"/>
      <c r="AL91" s="55"/>
      <c r="AM91" s="322"/>
      <c r="AN91" s="329"/>
    </row>
    <row r="92" spans="1:44" s="1079" customFormat="1">
      <c r="A92" s="104"/>
      <c r="B92" s="983" t="s">
        <v>1383</v>
      </c>
      <c r="C92" s="104"/>
      <c r="D92" s="104"/>
      <c r="E92" s="676">
        <f>+'Exhibit I State'!E91+'Exhibit I Federal'!E73</f>
        <v>0</v>
      </c>
      <c r="F92" s="1515"/>
      <c r="G92" s="676">
        <f>+'Exhibit I State'!G91+'Exhibit I Federal'!G73</f>
        <v>0</v>
      </c>
      <c r="H92" s="650"/>
      <c r="I92" s="676">
        <f>+'Exhibit I State'!I91+'Exhibit I Federal'!I73</f>
        <v>0</v>
      </c>
      <c r="J92" s="1515"/>
      <c r="K92" s="676">
        <f>+'Exhibit I State'!K91+'Exhibit I Federal'!K73</f>
        <v>0</v>
      </c>
      <c r="L92" s="115"/>
      <c r="M92" s="676">
        <f>+'Exhibit I State'!M91+'Exhibit I Federal'!M73</f>
        <v>0</v>
      </c>
      <c r="N92" s="354"/>
      <c r="O92" s="676">
        <f>+'Exhibit I State'!O91+'Exhibit I Federal'!O73</f>
        <v>0</v>
      </c>
      <c r="P92" s="115"/>
      <c r="Q92" s="676"/>
      <c r="R92" s="115"/>
      <c r="S92" s="676"/>
      <c r="T92" s="115"/>
      <c r="U92" s="676"/>
      <c r="V92" s="115"/>
      <c r="W92" s="676"/>
      <c r="X92" s="115"/>
      <c r="Y92" s="676"/>
      <c r="Z92" s="115"/>
      <c r="AA92" s="676"/>
      <c r="AB92" s="1069"/>
      <c r="AC92" s="1069">
        <v>0</v>
      </c>
      <c r="AD92" s="115"/>
      <c r="AE92" s="668"/>
      <c r="AF92" s="116">
        <f>ROUND(SUM(E92:AC92),1)</f>
        <v>0</v>
      </c>
      <c r="AG92" s="1070"/>
      <c r="AH92" s="64"/>
      <c r="AI92" s="124">
        <f>+'Exhibit I State'!AG91+'Exhibit I Federal'!AG73</f>
        <v>0</v>
      </c>
      <c r="AJ92" s="124"/>
      <c r="AK92" s="1097"/>
      <c r="AL92" s="1777">
        <f>ROUND(SUM(+AF92-AI92),1)</f>
        <v>0</v>
      </c>
      <c r="AM92" s="1072"/>
      <c r="AN92" s="1634">
        <f>ROUND(IF(AI92=0,0,AL92/ABS(AI92)),3)</f>
        <v>0</v>
      </c>
      <c r="AP92" s="3176"/>
    </row>
    <row r="93" spans="1:44" s="1079" customFormat="1">
      <c r="A93" s="104"/>
      <c r="B93" s="1710" t="s">
        <v>172</v>
      </c>
      <c r="C93" s="104"/>
      <c r="D93" s="104"/>
      <c r="E93" s="676">
        <f>+'Exhibit I State'!E92+'Exhibit I Federal'!E73</f>
        <v>488.9</v>
      </c>
      <c r="F93" s="1515"/>
      <c r="G93" s="676">
        <f>+'Exhibit I State'!G92+'Exhibit I Federal'!G73</f>
        <v>344.30000000000007</v>
      </c>
      <c r="H93" s="676"/>
      <c r="I93" s="676">
        <f>+'Exhibit I State'!I92+'Exhibit I Federal'!I73</f>
        <v>830.89999999999975</v>
      </c>
      <c r="J93" s="1515"/>
      <c r="K93" s="676">
        <f>+'Exhibit I State'!K92+'Exhibit I Federal'!K73</f>
        <v>298.89999999999998</v>
      </c>
      <c r="L93" s="115"/>
      <c r="M93" s="676">
        <f>+'Exhibit I State'!M92+'Exhibit I Federal'!M73</f>
        <v>586.59999999999991</v>
      </c>
      <c r="N93" s="115"/>
      <c r="O93" s="676">
        <f>+'Exhibit I State'!O92+'Exhibit I Federal'!O73</f>
        <v>434.1</v>
      </c>
      <c r="P93" s="115"/>
      <c r="Q93" s="676"/>
      <c r="R93" s="115"/>
      <c r="S93" s="676"/>
      <c r="T93" s="115"/>
      <c r="U93" s="676"/>
      <c r="V93" s="115"/>
      <c r="W93" s="676"/>
      <c r="X93" s="115"/>
      <c r="Y93" s="676"/>
      <c r="Z93" s="115"/>
      <c r="AA93" s="676"/>
      <c r="AB93" s="3398"/>
      <c r="AC93" s="1773">
        <v>0</v>
      </c>
      <c r="AD93" s="115"/>
      <c r="AE93" s="668"/>
      <c r="AF93" s="116">
        <f>ROUND(SUM(E93:AC93),1)</f>
        <v>2983.7</v>
      </c>
      <c r="AG93" s="1070"/>
      <c r="AH93" s="64"/>
      <c r="AI93" s="115">
        <v>1093.2</v>
      </c>
      <c r="AJ93" s="116"/>
      <c r="AK93" s="1071"/>
      <c r="AL93" s="1777">
        <f>ROUND(SUM(+AF93-AI93),1)</f>
        <v>1890.5</v>
      </c>
      <c r="AM93" s="1091"/>
      <c r="AN93" s="1778">
        <f>ROUND(IF(AI93=0,0,AL93/ABS(AI93)),3)</f>
        <v>1.7290000000000001</v>
      </c>
      <c r="AO93" s="1091"/>
      <c r="AP93" s="1092"/>
    </row>
    <row r="94" spans="1:44">
      <c r="A94" s="28"/>
      <c r="B94" s="51" t="s">
        <v>205</v>
      </c>
      <c r="C94" s="28"/>
      <c r="D94" s="28"/>
      <c r="E94" s="676">
        <f>+'Exhibit I State'!E93+'Exhibit I Federal'!E74</f>
        <v>-8.4</v>
      </c>
      <c r="F94" s="1515"/>
      <c r="G94" s="676">
        <f>+'Exhibit I State'!G93+'Exhibit I Federal'!G74</f>
        <v>-8.1</v>
      </c>
      <c r="H94" s="1515"/>
      <c r="I94" s="676">
        <f>+'Exhibit I State'!I93+'Exhibit I Federal'!I74</f>
        <v>-23.8</v>
      </c>
      <c r="J94" s="1515"/>
      <c r="K94" s="676">
        <f>+'Exhibit I State'!K93+'Exhibit I Federal'!K74</f>
        <v>-8.7000000000000028</v>
      </c>
      <c r="L94" s="115"/>
      <c r="M94" s="676">
        <f>+'Exhibit I State'!M93+'Exhibit I Federal'!M74</f>
        <v>-8.8999999999999986</v>
      </c>
      <c r="N94" s="115"/>
      <c r="O94" s="676">
        <f>+'Exhibit I State'!O93+'Exhibit I Federal'!O74</f>
        <v>-211.4</v>
      </c>
      <c r="P94" s="115"/>
      <c r="Q94" s="676"/>
      <c r="R94" s="115"/>
      <c r="S94" s="676"/>
      <c r="T94" s="115"/>
      <c r="U94" s="676"/>
      <c r="V94" s="115"/>
      <c r="W94" s="676"/>
      <c r="X94" s="115"/>
      <c r="Y94" s="676"/>
      <c r="Z94" s="115"/>
      <c r="AA94" s="676"/>
      <c r="AB94" s="3398"/>
      <c r="AC94" s="3387">
        <v>0</v>
      </c>
      <c r="AD94" s="63"/>
      <c r="AE94" s="54"/>
      <c r="AF94" s="116">
        <f>ROUND(SUM(E94:AC94),1)</f>
        <v>-269.3</v>
      </c>
      <c r="AG94" s="76"/>
      <c r="AH94" s="53"/>
      <c r="AI94" s="3793">
        <v>-274.39999999999998</v>
      </c>
      <c r="AJ94" s="53"/>
      <c r="AK94" s="332"/>
      <c r="AL94" s="886">
        <f>ROUND(-SUM(+AF94-AI94),1)</f>
        <v>-5.0999999999999996</v>
      </c>
      <c r="AM94" s="322"/>
      <c r="AN94" s="892">
        <f>ROUND(IF(AI94=0,0,AL94/ABS(AI94)),3)</f>
        <v>-1.9E-2</v>
      </c>
      <c r="AO94" s="322"/>
      <c r="AP94" s="164"/>
    </row>
    <row r="95" spans="1:44">
      <c r="A95" s="28"/>
      <c r="B95" s="28"/>
      <c r="C95" s="28"/>
      <c r="D95" s="28"/>
      <c r="E95" s="85"/>
      <c r="F95" s="63"/>
      <c r="G95" s="85"/>
      <c r="H95" s="63"/>
      <c r="I95" s="85"/>
      <c r="J95" s="63"/>
      <c r="K95" s="85"/>
      <c r="L95" s="63"/>
      <c r="M95" s="85"/>
      <c r="N95" s="63"/>
      <c r="O95" s="85"/>
      <c r="P95" s="63"/>
      <c r="Q95" s="85"/>
      <c r="R95" s="63"/>
      <c r="S95" s="123"/>
      <c r="T95" s="63"/>
      <c r="U95" s="85"/>
      <c r="V95" s="63"/>
      <c r="W95" s="85"/>
      <c r="X95" s="63"/>
      <c r="Y95" s="85"/>
      <c r="Z95" s="63"/>
      <c r="AA95" s="85"/>
      <c r="AB95" s="53"/>
      <c r="AC95" s="64"/>
      <c r="AD95" s="63"/>
      <c r="AE95" s="54"/>
      <c r="AF95" s="123"/>
      <c r="AG95" s="76"/>
      <c r="AH95" s="53"/>
      <c r="AI95" s="355"/>
      <c r="AJ95" s="55"/>
      <c r="AK95" s="342"/>
      <c r="AL95" s="55"/>
      <c r="AM95" s="322"/>
      <c r="AN95" s="329"/>
      <c r="AO95" s="164"/>
    </row>
    <row r="96" spans="1:44">
      <c r="A96" s="28"/>
      <c r="B96" s="26" t="s">
        <v>1100</v>
      </c>
      <c r="C96" s="28"/>
      <c r="D96" s="28"/>
      <c r="E96" s="59">
        <f>ROUND(SUM(E92:E95),1)</f>
        <v>480.5</v>
      </c>
      <c r="F96" s="59"/>
      <c r="G96" s="911">
        <f>ROUND(SUM(G92:G95),1)</f>
        <v>336.2</v>
      </c>
      <c r="H96" s="59"/>
      <c r="I96" s="911">
        <f>ROUND(SUM(I92:I95),1)</f>
        <v>807.1</v>
      </c>
      <c r="J96" s="59"/>
      <c r="K96" s="911">
        <f>ROUND(SUM(K92:K95),1)</f>
        <v>290.2</v>
      </c>
      <c r="L96" s="59"/>
      <c r="M96" s="911">
        <f>ROUND(SUM(M92:M95),1)</f>
        <v>577.70000000000005</v>
      </c>
      <c r="N96" s="59"/>
      <c r="O96" s="911">
        <f>ROUND(SUM(O92:O95),1)</f>
        <v>222.7</v>
      </c>
      <c r="P96" s="59"/>
      <c r="Q96" s="911">
        <f>ROUND(SUM(Q92:Q95),1)</f>
        <v>0</v>
      </c>
      <c r="R96" s="59"/>
      <c r="S96" s="109">
        <f>ROUND(SUM(S92:S95),1)</f>
        <v>0</v>
      </c>
      <c r="T96" s="59"/>
      <c r="U96" s="911">
        <f>ROUND(SUM(U92:U95),1)</f>
        <v>0</v>
      </c>
      <c r="V96" s="59"/>
      <c r="W96" s="911">
        <f>ROUND(SUM(W92:W95),1)</f>
        <v>0</v>
      </c>
      <c r="X96" s="59"/>
      <c r="Y96" s="911">
        <f>ROUND(SUM(Y92:Y95),1)</f>
        <v>0</v>
      </c>
      <c r="Z96" s="59"/>
      <c r="AA96" s="911">
        <f>ROUND(SUM(AA92:AA95),1)</f>
        <v>0</v>
      </c>
      <c r="AB96" s="911"/>
      <c r="AC96" s="911">
        <f>ROUND(SUM(AC92:AC95),1)</f>
        <v>0</v>
      </c>
      <c r="AD96" s="59"/>
      <c r="AE96" s="61"/>
      <c r="AF96" s="109">
        <f>ROUND(SUM(AF92:AF95),1)</f>
        <v>2714.4</v>
      </c>
      <c r="AG96" s="213"/>
      <c r="AH96" s="73"/>
      <c r="AI96" s="109">
        <f>ROUND(SUM(AI92:AI95),1)</f>
        <v>818.8</v>
      </c>
      <c r="AJ96" s="73"/>
      <c r="AK96" s="332"/>
      <c r="AL96" s="71">
        <f>ROUND(SUM(AF96-AI96),1)</f>
        <v>1895.6</v>
      </c>
      <c r="AM96" s="338"/>
      <c r="AN96" s="345">
        <f>ROUND(SUM(AL96/ABS(AI96)),3)</f>
        <v>2.3149999999999999</v>
      </c>
      <c r="AO96" s="327"/>
      <c r="AP96" s="327"/>
      <c r="AQ96" s="327"/>
      <c r="AR96" s="327"/>
    </row>
    <row r="97" spans="1:55">
      <c r="A97" s="28"/>
      <c r="B97" s="28"/>
      <c r="C97" s="28"/>
      <c r="D97" s="28"/>
      <c r="E97" s="85"/>
      <c r="F97" s="63"/>
      <c r="G97" s="85"/>
      <c r="H97" s="63"/>
      <c r="I97" s="85"/>
      <c r="J97" s="63"/>
      <c r="K97" s="85"/>
      <c r="L97" s="63"/>
      <c r="M97" s="85"/>
      <c r="N97" s="63"/>
      <c r="O97" s="85"/>
      <c r="P97" s="63"/>
      <c r="Q97" s="85"/>
      <c r="R97" s="63"/>
      <c r="S97" s="85"/>
      <c r="T97" s="63"/>
      <c r="U97" s="85"/>
      <c r="V97" s="63"/>
      <c r="W97" s="85"/>
      <c r="X97" s="63"/>
      <c r="Y97" s="85"/>
      <c r="Z97" s="63"/>
      <c r="AA97" s="85"/>
      <c r="AB97" s="53"/>
      <c r="AC97" s="85"/>
      <c r="AD97" s="63"/>
      <c r="AE97" s="54"/>
      <c r="AF97" s="85"/>
      <c r="AG97" s="76"/>
      <c r="AH97" s="53"/>
      <c r="AI97" s="123"/>
      <c r="AJ97" s="53"/>
      <c r="AK97" s="332"/>
      <c r="AL97" s="55"/>
      <c r="AM97" s="322"/>
      <c r="AN97" s="329"/>
    </row>
    <row r="98" spans="1:55">
      <c r="A98" s="28"/>
      <c r="B98" s="28"/>
      <c r="C98" s="28"/>
      <c r="D98" s="28"/>
      <c r="E98" s="63"/>
      <c r="F98" s="63"/>
      <c r="G98" s="63"/>
      <c r="H98" s="63"/>
      <c r="I98" s="63" t="s">
        <v>14</v>
      </c>
      <c r="J98" s="63"/>
      <c r="K98" s="63" t="s">
        <v>14</v>
      </c>
      <c r="L98" s="63"/>
      <c r="M98" s="63" t="s">
        <v>14</v>
      </c>
      <c r="N98" s="63"/>
      <c r="O98" s="63" t="s">
        <v>14</v>
      </c>
      <c r="P98" s="63"/>
      <c r="Q98" s="63" t="s">
        <v>14</v>
      </c>
      <c r="R98" s="63"/>
      <c r="S98" s="63" t="s">
        <v>14</v>
      </c>
      <c r="T98" s="63"/>
      <c r="U98" s="63" t="s">
        <v>14</v>
      </c>
      <c r="V98" s="63"/>
      <c r="W98" s="63" t="s">
        <v>14</v>
      </c>
      <c r="X98" s="63"/>
      <c r="Y98" s="63" t="s">
        <v>14</v>
      </c>
      <c r="Z98" s="63"/>
      <c r="AA98" s="63" t="s">
        <v>14</v>
      </c>
      <c r="AB98" s="63"/>
      <c r="AC98" s="1515" t="s">
        <v>14</v>
      </c>
      <c r="AD98" s="63"/>
      <c r="AE98" s="54"/>
      <c r="AF98" s="63" t="s">
        <v>14</v>
      </c>
      <c r="AG98" s="76"/>
      <c r="AH98" s="53"/>
      <c r="AI98" s="115" t="s">
        <v>14</v>
      </c>
      <c r="AJ98" s="63"/>
      <c r="AK98" s="332"/>
      <c r="AL98" s="55" t="s">
        <v>14</v>
      </c>
      <c r="AM98" s="322"/>
      <c r="AN98" s="329"/>
    </row>
    <row r="99" spans="1:55">
      <c r="A99" s="28"/>
      <c r="B99" s="26" t="s">
        <v>207</v>
      </c>
      <c r="C99" s="28"/>
      <c r="D99" s="28"/>
      <c r="E99" s="63"/>
      <c r="F99" s="63"/>
      <c r="G99" s="63"/>
      <c r="H99" s="63"/>
      <c r="I99" s="63" t="s">
        <v>14</v>
      </c>
      <c r="J99" s="63"/>
      <c r="K99" s="63" t="s">
        <v>14</v>
      </c>
      <c r="L99" s="63"/>
      <c r="M99" s="63" t="s">
        <v>14</v>
      </c>
      <c r="N99" s="63"/>
      <c r="O99" s="63" t="s">
        <v>14</v>
      </c>
      <c r="P99" s="63"/>
      <c r="Q99" s="63" t="s">
        <v>14</v>
      </c>
      <c r="R99" s="63"/>
      <c r="S99" s="63" t="s">
        <v>14</v>
      </c>
      <c r="T99" s="63"/>
      <c r="U99" s="63" t="s">
        <v>14</v>
      </c>
      <c r="V99" s="63"/>
      <c r="W99" s="63" t="s">
        <v>14</v>
      </c>
      <c r="X99" s="63"/>
      <c r="Y99" s="63" t="s">
        <v>14</v>
      </c>
      <c r="Z99" s="63"/>
      <c r="AA99" s="63" t="s">
        <v>14</v>
      </c>
      <c r="AB99" s="63"/>
      <c r="AC99" s="63" t="s">
        <v>14</v>
      </c>
      <c r="AD99" s="63"/>
      <c r="AE99" s="54"/>
      <c r="AF99" s="63"/>
      <c r="AG99" s="76"/>
      <c r="AH99" s="53"/>
      <c r="AI99" s="115" t="s">
        <v>14</v>
      </c>
      <c r="AJ99" s="63"/>
      <c r="AK99" s="332"/>
      <c r="AL99" s="55"/>
      <c r="AM99" s="322"/>
      <c r="AN99" s="329"/>
    </row>
    <row r="100" spans="1:55">
      <c r="A100" s="28"/>
      <c r="B100" s="26" t="s">
        <v>208</v>
      </c>
      <c r="C100" s="28"/>
      <c r="D100" s="28"/>
      <c r="E100" s="59" t="s">
        <v>14</v>
      </c>
      <c r="F100" s="59"/>
      <c r="G100" s="911" t="s">
        <v>14</v>
      </c>
      <c r="H100" s="59"/>
      <c r="I100" s="59"/>
      <c r="J100" s="59"/>
      <c r="K100" s="911"/>
      <c r="L100" s="59"/>
      <c r="M100" s="911"/>
      <c r="N100" s="59"/>
      <c r="O100" s="911"/>
      <c r="P100" s="59"/>
      <c r="Q100" s="911"/>
      <c r="R100" s="59"/>
      <c r="S100" s="911"/>
      <c r="T100" s="59"/>
      <c r="U100" s="911"/>
      <c r="V100" s="59"/>
      <c r="W100" s="911"/>
      <c r="X100" s="59"/>
      <c r="Y100" s="911"/>
      <c r="Z100" s="59"/>
      <c r="AA100" s="911"/>
      <c r="AB100" s="911"/>
      <c r="AC100" s="911"/>
      <c r="AD100" s="59"/>
      <c r="AE100" s="61"/>
      <c r="AF100" s="59" t="s">
        <v>14</v>
      </c>
      <c r="AG100" s="213"/>
      <c r="AH100" s="73"/>
      <c r="AI100" s="3429"/>
      <c r="AJ100" s="343"/>
      <c r="AK100" s="342"/>
      <c r="AL100" s="343"/>
      <c r="AM100" s="338"/>
      <c r="AN100" s="326"/>
      <c r="AO100" s="327"/>
      <c r="AP100" s="327"/>
      <c r="AQ100" s="327"/>
      <c r="AR100" s="327"/>
      <c r="AS100" s="327"/>
      <c r="AT100" s="327"/>
      <c r="AU100" s="327"/>
      <c r="AV100" s="327"/>
      <c r="AW100" s="327"/>
      <c r="AX100" s="327"/>
      <c r="AY100" s="327"/>
    </row>
    <row r="101" spans="1:55">
      <c r="A101" s="28"/>
      <c r="B101" s="26" t="s">
        <v>1091</v>
      </c>
      <c r="C101" s="28"/>
      <c r="D101" s="28"/>
      <c r="E101" s="344">
        <f>ROUND(SUM(E89+E96),1)</f>
        <v>22.2</v>
      </c>
      <c r="F101" s="59"/>
      <c r="G101" s="344">
        <f>ROUND(SUM(G89+G96),1)</f>
        <v>-225.1</v>
      </c>
      <c r="H101" s="59"/>
      <c r="I101" s="344">
        <f>ROUND(SUM(I89+I96),1)</f>
        <v>-214.8</v>
      </c>
      <c r="J101" s="59"/>
      <c r="K101" s="344">
        <f>ROUND(SUM(K89+K96),1)</f>
        <v>-144.5</v>
      </c>
      <c r="L101" s="59"/>
      <c r="M101" s="344">
        <f>ROUND(SUM(M89+M96),1)</f>
        <v>-92.4</v>
      </c>
      <c r="N101" s="59"/>
      <c r="O101" s="344">
        <f>ROUND(SUM(O89+O96),1)</f>
        <v>-391.1</v>
      </c>
      <c r="P101" s="59"/>
      <c r="Q101" s="344">
        <f>ROUND(SUM(Q89+Q96),1)</f>
        <v>0</v>
      </c>
      <c r="R101" s="59"/>
      <c r="S101" s="344">
        <f>ROUND(SUM(S89+S96),1)</f>
        <v>0</v>
      </c>
      <c r="T101" s="59"/>
      <c r="U101" s="344">
        <f>ROUND(SUM(U89+U96),1)</f>
        <v>0</v>
      </c>
      <c r="V101" s="59"/>
      <c r="W101" s="344">
        <f>ROUND(SUM(W89+W96),1)</f>
        <v>0</v>
      </c>
      <c r="X101" s="59"/>
      <c r="Y101" s="344">
        <f>ROUND(SUM(Y89+Y96),1)</f>
        <v>0</v>
      </c>
      <c r="Z101" s="59"/>
      <c r="AA101" s="344">
        <f>ROUND(SUM(AA89+AA96),1)</f>
        <v>0</v>
      </c>
      <c r="AB101" s="1935"/>
      <c r="AC101" s="344">
        <f>ROUND(SUM(AC89+AC96),1)</f>
        <v>0</v>
      </c>
      <c r="AD101" s="59"/>
      <c r="AE101" s="61"/>
      <c r="AF101" s="344">
        <f>ROUND(AF89+AF96,1)</f>
        <v>-1045.7</v>
      </c>
      <c r="AG101" s="213"/>
      <c r="AH101" s="73"/>
      <c r="AI101" s="3794">
        <f>ROUND(SUM(AI89+AI96),1)</f>
        <v>-454</v>
      </c>
      <c r="AJ101" s="343"/>
      <c r="AK101" s="342"/>
      <c r="AL101" s="344">
        <f>ROUND(SUM(+AF101-AI101),1)</f>
        <v>-591.70000000000005</v>
      </c>
      <c r="AM101" s="338"/>
      <c r="AN101" s="1602">
        <f>ROUND(IF(AI101=0,0,AL101/ABS(AI101)),3)</f>
        <v>-1.3029999999999999</v>
      </c>
      <c r="AO101" s="327"/>
      <c r="AP101" s="346"/>
      <c r="AQ101" s="327"/>
      <c r="AR101" s="327"/>
      <c r="AS101" s="327"/>
      <c r="AT101" s="327"/>
      <c r="AU101" s="327"/>
      <c r="AV101" s="327"/>
      <c r="AW101" s="327"/>
      <c r="AX101" s="327"/>
      <c r="AY101" s="327"/>
    </row>
    <row r="102" spans="1:55">
      <c r="A102" s="28"/>
      <c r="B102" s="28" t="s">
        <v>14</v>
      </c>
      <c r="C102" s="28"/>
      <c r="D102" s="28"/>
      <c r="E102" s="33"/>
      <c r="F102" s="33"/>
      <c r="G102" s="33"/>
      <c r="H102" s="33"/>
      <c r="I102" s="33"/>
      <c r="J102" s="33"/>
      <c r="K102" s="33"/>
      <c r="L102" s="33"/>
      <c r="M102" s="33"/>
      <c r="N102" s="33"/>
      <c r="O102" s="33"/>
      <c r="P102" s="33"/>
      <c r="Q102" s="33"/>
      <c r="R102" s="33"/>
      <c r="S102" s="284" t="s">
        <v>14</v>
      </c>
      <c r="T102" s="33"/>
      <c r="U102" s="284" t="s">
        <v>14</v>
      </c>
      <c r="V102" s="33"/>
      <c r="W102" s="284" t="s">
        <v>14</v>
      </c>
      <c r="X102" s="33"/>
      <c r="Y102" s="284" t="s">
        <v>14</v>
      </c>
      <c r="Z102" s="33"/>
      <c r="AA102" s="33"/>
      <c r="AB102" s="33"/>
      <c r="AC102" s="33"/>
      <c r="AD102" s="96"/>
      <c r="AE102" s="347"/>
      <c r="AF102" s="33"/>
      <c r="AG102" s="96"/>
      <c r="AH102" s="347"/>
      <c r="AI102" s="985" t="s">
        <v>182</v>
      </c>
      <c r="AJ102" s="271"/>
      <c r="AK102" s="34"/>
      <c r="AL102" s="322"/>
      <c r="AM102" s="322"/>
      <c r="AN102" s="329"/>
      <c r="AO102" s="322"/>
      <c r="AP102" s="322"/>
    </row>
    <row r="103" spans="1:55" s="27" customFormat="1" ht="15" customHeight="1" thickBot="1">
      <c r="A103" s="28"/>
      <c r="B103" s="26" t="s">
        <v>1101</v>
      </c>
      <c r="C103" s="28"/>
      <c r="E103" s="264">
        <f>ROUND(SUM(+E101+E15),1)</f>
        <v>-1121.8</v>
      </c>
      <c r="F103" s="91"/>
      <c r="G103" s="264">
        <f>ROUND(SUM(+G101+G15),1)</f>
        <v>-1346.9</v>
      </c>
      <c r="H103" s="91"/>
      <c r="I103" s="264">
        <f>ROUND(SUM(+I101+I15),1)</f>
        <v>-1561.7</v>
      </c>
      <c r="J103" s="91"/>
      <c r="K103" s="264">
        <f>ROUND(SUM(+K101+K15),1)</f>
        <v>-1706.2</v>
      </c>
      <c r="L103" s="91"/>
      <c r="M103" s="264">
        <f>ROUND(SUM(+M101+M15),1)</f>
        <v>-1798.6</v>
      </c>
      <c r="N103" s="91"/>
      <c r="O103" s="264">
        <f>ROUND(SUM(+O101+O15),1)</f>
        <v>-2189.6999999999998</v>
      </c>
      <c r="P103" s="91"/>
      <c r="Q103" s="264">
        <f>ROUND(SUM(+Q101+Q15),1)</f>
        <v>0</v>
      </c>
      <c r="R103" s="91"/>
      <c r="S103" s="264">
        <f>ROUND(SUM(+S101+S15),1)</f>
        <v>0</v>
      </c>
      <c r="T103" s="91"/>
      <c r="U103" s="264">
        <f>ROUND(SUM(+U101+U15),1)</f>
        <v>0</v>
      </c>
      <c r="V103" s="91"/>
      <c r="W103" s="264">
        <f>ROUND(SUM(+W101+W15),1)</f>
        <v>0</v>
      </c>
      <c r="X103" s="91"/>
      <c r="Y103" s="264">
        <f>ROUND(SUM(+Y101+Y15),1)</f>
        <v>0</v>
      </c>
      <c r="Z103" s="91"/>
      <c r="AA103" s="264">
        <f>ROUND(SUM(+AA101+AA15),1)</f>
        <v>0</v>
      </c>
      <c r="AB103" s="216"/>
      <c r="AC103" s="264">
        <f>ROUND(SUM(+AC101+AC15),1)</f>
        <v>0</v>
      </c>
      <c r="AD103" s="91"/>
      <c r="AE103" s="92"/>
      <c r="AF103" s="264">
        <f>ROUND(SUM(+AF101+AF15),1)</f>
        <v>-2189.6999999999998</v>
      </c>
      <c r="AG103" s="91"/>
      <c r="AH103" s="92"/>
      <c r="AI103" s="259">
        <f>ROUND(SUM(+AI101+AI15),1)</f>
        <v>-1488.9</v>
      </c>
      <c r="AJ103" s="269"/>
      <c r="AK103" s="216"/>
      <c r="AL103" s="264">
        <f>ROUND(SUM(+AL101+AL15),1)</f>
        <v>-700.8</v>
      </c>
      <c r="AM103" s="179"/>
      <c r="AN103" s="283">
        <f>ROUND(SUM(-(+AF103-AI103)/AI103),3)</f>
        <v>-0.47099999999999997</v>
      </c>
      <c r="AO103" s="338"/>
      <c r="AP103" s="338"/>
      <c r="AQ103" s="327"/>
      <c r="AR103" s="327"/>
      <c r="AS103" s="265"/>
      <c r="AT103" s="265"/>
      <c r="AU103" s="265"/>
      <c r="AV103" s="265"/>
      <c r="AW103" s="265"/>
      <c r="AX103" s="265"/>
      <c r="AY103" s="265"/>
      <c r="AZ103" s="265"/>
      <c r="BA103" s="265"/>
      <c r="BB103" s="265"/>
      <c r="BC103" s="265"/>
    </row>
    <row r="104" spans="1:55" ht="16" thickTop="1">
      <c r="B104" s="217"/>
    </row>
    <row r="105" spans="1:55">
      <c r="B105" s="1188" t="s">
        <v>1200</v>
      </c>
      <c r="C105" s="349"/>
      <c r="D105" s="349"/>
      <c r="E105" s="350"/>
      <c r="F105" s="350"/>
      <c r="G105" s="350"/>
      <c r="AI105" s="3430"/>
      <c r="AL105" s="164"/>
    </row>
    <row r="106" spans="1:55">
      <c r="B106" s="348"/>
      <c r="C106" s="349"/>
      <c r="D106" s="349"/>
      <c r="E106" s="350"/>
      <c r="F106" s="350"/>
      <c r="G106" s="350"/>
      <c r="AL106" s="164"/>
    </row>
    <row r="107" spans="1:55">
      <c r="B107" s="351"/>
      <c r="AL107" s="164"/>
    </row>
    <row r="108" spans="1:55">
      <c r="B108" s="351"/>
    </row>
    <row r="109" spans="1:55">
      <c r="B109" s="348"/>
    </row>
    <row r="110" spans="1:55">
      <c r="B110" s="351"/>
    </row>
    <row r="111" spans="1:55">
      <c r="B111" s="351"/>
    </row>
    <row r="112" spans="1:55">
      <c r="B112" s="348"/>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2 AN20:AN21 AN93:AN95 AN23:AN25 AN79:AN83 AN85:AN88" unlockedFormula="1"/>
    <ignoredError sqref="AN48 AN53 AN58:AN59 AN26 AN55" formula="1" unlockedFormula="1"/>
    <ignoredError sqref="AN50:AN51 AN57"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1:AO109"/>
  <sheetViews>
    <sheetView showGridLines="0" zoomScale="90" zoomScaleNormal="60" workbookViewId="0"/>
  </sheetViews>
  <sheetFormatPr defaultColWidth="8.84375" defaultRowHeight="15.5"/>
  <cols>
    <col min="1" max="1" width="2.53515625" style="2553" customWidth="1"/>
    <col min="2" max="2" width="14.07421875" style="2553" customWidth="1"/>
    <col min="3" max="3" width="26.07421875" style="2553" customWidth="1"/>
    <col min="4" max="4" width="2" style="2553" customWidth="1"/>
    <col min="5" max="5" width="11.07421875" style="2553" bestFit="1" customWidth="1"/>
    <col min="6" max="6" width="1.84375" style="2553" customWidth="1"/>
    <col min="7" max="7" width="11.84375" style="2553" customWidth="1"/>
    <col min="8" max="8" width="1.84375" style="2553" customWidth="1"/>
    <col min="9" max="9" width="11.07421875" style="2553" bestFit="1" customWidth="1"/>
    <col min="10" max="10" width="1.84375" style="2553" customWidth="1"/>
    <col min="11" max="11" width="12" style="2553" customWidth="1"/>
    <col min="12" max="12" width="1.07421875" style="2553" customWidth="1"/>
    <col min="13" max="13" width="10.07421875" style="2553" bestFit="1" customWidth="1"/>
    <col min="14" max="14" width="1.84375" style="2553" customWidth="1"/>
    <col min="15" max="15" width="11.07421875" style="2553" customWidth="1"/>
    <col min="16" max="16" width="1.84375" style="2553" customWidth="1"/>
    <col min="17" max="17" width="12.84375" style="2553" customWidth="1"/>
    <col min="18" max="18" width="1.84375" style="2553" customWidth="1"/>
    <col min="19" max="19" width="10.53515625" style="2553" customWidth="1"/>
    <col min="20" max="20" width="1.84375" style="2553" customWidth="1"/>
    <col min="21" max="21" width="10.84375" style="2553" customWidth="1"/>
    <col min="22" max="22" width="1.84375" style="2553" customWidth="1"/>
    <col min="23" max="23" width="10.84375" style="2553" customWidth="1"/>
    <col min="24" max="24" width="1.84375" style="2553" customWidth="1"/>
    <col min="25" max="25" width="10.84375" style="2553" customWidth="1"/>
    <col min="26" max="26" width="1.84375" style="2553" customWidth="1"/>
    <col min="27" max="27" width="9" style="2553" bestFit="1" customWidth="1"/>
    <col min="28" max="29" width="1.84375" style="2553" customWidth="1"/>
    <col min="30" max="30" width="11.07421875" style="2553" bestFit="1" customWidth="1"/>
    <col min="31" max="32" width="1.07421875" style="2553" customWidth="1"/>
    <col min="33" max="33" width="11.07421875" style="2553" customWidth="1"/>
    <col min="34" max="35" width="1" style="2553" customWidth="1"/>
    <col min="36" max="36" width="13.4609375" style="2553" bestFit="1" customWidth="1"/>
    <col min="37" max="37" width="1.07421875" style="2553" customWidth="1"/>
    <col min="38" max="38" width="12.84375" style="2553" customWidth="1"/>
    <col min="39" max="40" width="8.84375" style="2553"/>
    <col min="41" max="41" width="19.84375" style="2553" bestFit="1" customWidth="1"/>
    <col min="42" max="16384" width="8.84375" style="2553"/>
  </cols>
  <sheetData>
    <row r="1" spans="1:39">
      <c r="B1" s="2310" t="s">
        <v>882</v>
      </c>
    </row>
    <row r="2" spans="1:39">
      <c r="B2" s="3610"/>
    </row>
    <row r="3" spans="1:39" ht="19.5" customHeight="1">
      <c r="A3" s="3611"/>
      <c r="B3" s="1459" t="s">
        <v>0</v>
      </c>
      <c r="C3" s="2554"/>
      <c r="D3" s="2554"/>
      <c r="E3" s="2554"/>
      <c r="F3" s="2555"/>
      <c r="G3" s="2555"/>
      <c r="H3" s="2555"/>
      <c r="I3" s="2555"/>
      <c r="J3" s="2555"/>
      <c r="K3" s="2555"/>
      <c r="L3" s="2555"/>
      <c r="M3" s="2555"/>
      <c r="N3" s="2555"/>
      <c r="O3" s="2555"/>
      <c r="P3" s="2555"/>
      <c r="Q3" s="2555"/>
      <c r="R3" s="2555"/>
      <c r="S3" s="2555"/>
      <c r="T3" s="2555"/>
      <c r="U3" s="2555"/>
      <c r="V3" s="2555"/>
      <c r="W3" s="2555"/>
      <c r="X3" s="2555"/>
      <c r="Y3" s="2555"/>
      <c r="Z3" s="2555"/>
      <c r="AA3" s="2555"/>
      <c r="AB3" s="2555"/>
      <c r="AC3" s="2555"/>
      <c r="AD3" s="2555"/>
      <c r="AE3" s="2555"/>
      <c r="AF3" s="2555"/>
      <c r="AG3" s="2555"/>
      <c r="AH3" s="2555"/>
      <c r="AI3" s="2555"/>
      <c r="AL3" s="3074" t="s">
        <v>193</v>
      </c>
    </row>
    <row r="4" spans="1:39" ht="19.5" customHeight="1">
      <c r="A4" s="3611"/>
      <c r="B4" s="1459" t="s">
        <v>209</v>
      </c>
      <c r="C4" s="2554"/>
      <c r="D4" s="2554"/>
      <c r="E4" s="2554"/>
      <c r="F4" s="2555"/>
      <c r="G4" s="2555"/>
      <c r="H4" s="2555"/>
      <c r="I4" s="2555"/>
      <c r="J4" s="2555"/>
      <c r="K4" s="2555"/>
      <c r="L4" s="2555"/>
      <c r="M4" s="2555"/>
      <c r="N4" s="2555"/>
      <c r="O4" s="2555"/>
      <c r="P4" s="2555"/>
      <c r="Q4" s="2555"/>
      <c r="R4" s="2555"/>
      <c r="S4" s="2555"/>
      <c r="T4" s="2555"/>
      <c r="U4" s="2555"/>
      <c r="V4" s="2555"/>
      <c r="W4" s="2555"/>
      <c r="X4" s="2555"/>
      <c r="Y4" s="2555"/>
      <c r="Z4" s="2555"/>
      <c r="AA4" s="2555"/>
      <c r="AB4" s="2555"/>
      <c r="AC4" s="2555"/>
      <c r="AE4" s="3150"/>
      <c r="AF4" s="3150"/>
    </row>
    <row r="5" spans="1:39" ht="19.5" customHeight="1">
      <c r="A5" s="3611"/>
      <c r="B5" s="1460" t="s">
        <v>147</v>
      </c>
      <c r="C5" s="2554"/>
      <c r="D5" s="2554"/>
      <c r="E5" s="2554"/>
      <c r="F5" s="2555"/>
      <c r="G5" s="2555"/>
      <c r="H5" s="2555"/>
      <c r="I5" s="2555"/>
      <c r="J5" s="2555"/>
      <c r="K5" s="2555"/>
      <c r="L5" s="2555"/>
      <c r="M5" s="2555"/>
      <c r="N5" s="2555"/>
      <c r="O5" s="2555"/>
      <c r="P5" s="2555"/>
      <c r="Q5" s="2555"/>
      <c r="R5" s="2555"/>
      <c r="S5" s="2555"/>
      <c r="T5" s="2555"/>
      <c r="U5" s="2555"/>
      <c r="V5" s="2555"/>
      <c r="W5" s="2555"/>
      <c r="X5" s="2555"/>
      <c r="Y5" s="2555"/>
      <c r="Z5" s="2555"/>
      <c r="AA5" s="2555"/>
      <c r="AB5" s="2555"/>
      <c r="AC5" s="2555"/>
      <c r="AD5" s="2555"/>
      <c r="AE5" s="2555"/>
      <c r="AF5" s="2555"/>
      <c r="AG5" s="2555"/>
      <c r="AH5" s="2555"/>
      <c r="AI5" s="2555"/>
      <c r="AL5" s="3612"/>
    </row>
    <row r="6" spans="1:39" ht="19.5" customHeight="1">
      <c r="A6" s="3611"/>
      <c r="B6" s="1460" t="str">
        <f>'Cashflow Governmental'!A6</f>
        <v xml:space="preserve">FISCAL YEAR 2021-2022   </v>
      </c>
      <c r="C6" s="2554"/>
      <c r="D6" s="2554"/>
      <c r="E6" s="2554"/>
      <c r="F6" s="2555"/>
      <c r="G6" s="2555"/>
      <c r="H6" s="2556"/>
      <c r="I6" s="2555"/>
      <c r="J6" s="2555"/>
      <c r="K6" s="2555"/>
      <c r="L6" s="2555"/>
      <c r="M6" s="2555"/>
      <c r="N6" s="2555"/>
      <c r="O6" s="2555"/>
      <c r="P6" s="2555"/>
      <c r="Q6" s="2555"/>
      <c r="R6" s="2555"/>
      <c r="S6" s="2555"/>
      <c r="T6" s="2555"/>
      <c r="U6" s="2555"/>
      <c r="V6" s="2555"/>
      <c r="W6" s="2555"/>
      <c r="X6" s="2555"/>
      <c r="Y6" s="2555"/>
      <c r="Z6" s="2555"/>
      <c r="AA6" s="2555"/>
      <c r="AB6" s="2555"/>
      <c r="AC6" s="2555"/>
      <c r="AD6" s="2555"/>
      <c r="AE6" s="2557"/>
      <c r="AF6" s="2557"/>
      <c r="AG6" s="2557"/>
      <c r="AH6" s="2557"/>
      <c r="AI6" s="2557"/>
    </row>
    <row r="7" spans="1:39" ht="19.5" customHeight="1">
      <c r="A7" s="3611"/>
      <c r="B7" s="1459" t="s">
        <v>1278</v>
      </c>
      <c r="C7" s="2554"/>
      <c r="D7" s="2554"/>
      <c r="E7" s="2554"/>
      <c r="F7" s="2555"/>
      <c r="G7" s="2555"/>
      <c r="H7" s="2556"/>
      <c r="I7" s="2555"/>
      <c r="J7" s="2555"/>
      <c r="K7" s="2555"/>
      <c r="L7" s="2555"/>
      <c r="M7" s="2555"/>
      <c r="N7" s="2555"/>
      <c r="O7" s="2555"/>
      <c r="P7" s="2555"/>
      <c r="Q7" s="2555"/>
      <c r="R7" s="2555"/>
      <c r="S7" s="2555"/>
      <c r="T7" s="2555"/>
      <c r="U7" s="2555"/>
      <c r="V7" s="2555"/>
      <c r="W7" s="2555"/>
      <c r="X7" s="2555"/>
      <c r="Y7" s="2555"/>
      <c r="Z7" s="2555"/>
      <c r="AA7" s="2555"/>
      <c r="AB7" s="2555"/>
      <c r="AC7" s="2555"/>
      <c r="AD7" s="2555"/>
      <c r="AE7" s="2557"/>
      <c r="AF7" s="2557"/>
      <c r="AG7" s="2557"/>
      <c r="AH7" s="2557"/>
      <c r="AI7" s="2557"/>
    </row>
    <row r="8" spans="1:39" ht="19.5" customHeight="1">
      <c r="A8" s="3611"/>
      <c r="C8" s="2554"/>
      <c r="D8" s="2554"/>
      <c r="E8" s="2554"/>
      <c r="F8" s="2555"/>
      <c r="G8" s="2555"/>
      <c r="H8" s="2555"/>
      <c r="I8" s="2555"/>
      <c r="J8" s="2555"/>
      <c r="K8" s="2555"/>
      <c r="L8" s="2555"/>
      <c r="M8" s="2555"/>
      <c r="N8" s="2555"/>
      <c r="O8" s="2555"/>
      <c r="P8" s="2555"/>
      <c r="Q8" s="2555"/>
      <c r="R8" s="2555"/>
      <c r="S8" s="2555"/>
      <c r="T8" s="2555"/>
      <c r="U8" s="2555"/>
      <c r="V8" s="2555"/>
      <c r="W8" s="2555"/>
      <c r="X8" s="2555"/>
      <c r="Y8" s="2555"/>
      <c r="Z8" s="2555"/>
      <c r="AA8" s="2555"/>
      <c r="AB8" s="2555"/>
      <c r="AC8" s="2558"/>
    </row>
    <row r="9" spans="1:39" ht="15.75" customHeight="1">
      <c r="A9" s="3611"/>
      <c r="B9" s="1459"/>
      <c r="C9" s="2554"/>
      <c r="D9" s="2554"/>
      <c r="E9" s="2554"/>
      <c r="F9" s="2555"/>
      <c r="G9" s="2555"/>
      <c r="H9" s="2555"/>
      <c r="I9" s="2555"/>
      <c r="J9" s="2555"/>
      <c r="K9" s="2555"/>
      <c r="L9" s="2555"/>
      <c r="M9" s="2555"/>
      <c r="N9" s="2555"/>
      <c r="O9" s="2555"/>
      <c r="P9" s="2555"/>
      <c r="Q9" s="2555"/>
      <c r="R9" s="2555"/>
      <c r="S9" s="2555"/>
      <c r="T9" s="2555"/>
      <c r="U9" s="2555"/>
      <c r="V9" s="2555"/>
      <c r="W9" s="2555"/>
      <c r="X9" s="2555"/>
      <c r="Y9" s="2555"/>
      <c r="Z9" s="2555"/>
      <c r="AA9" s="2555"/>
      <c r="AB9" s="2555"/>
      <c r="AC9" s="2558"/>
    </row>
    <row r="10" spans="1:39" ht="15.75" customHeight="1">
      <c r="A10" s="3611"/>
      <c r="B10" s="3613"/>
      <c r="C10" s="2554"/>
      <c r="D10" s="2554"/>
      <c r="E10" s="2554"/>
      <c r="F10" s="2555"/>
      <c r="G10" s="2555"/>
      <c r="H10" s="2555"/>
      <c r="I10" s="2555"/>
      <c r="J10" s="2555"/>
      <c r="K10" s="2555"/>
      <c r="L10" s="2555"/>
      <c r="M10" s="2555"/>
      <c r="N10" s="2555"/>
      <c r="O10" s="2555"/>
      <c r="P10" s="2555"/>
      <c r="Q10" s="2555"/>
      <c r="R10" s="2555"/>
      <c r="S10" s="2555"/>
      <c r="T10" s="2555"/>
      <c r="U10" s="2555"/>
      <c r="V10" s="2555"/>
      <c r="W10" s="2555"/>
      <c r="X10" s="2555"/>
      <c r="Y10" s="2555"/>
      <c r="Z10" s="2555"/>
      <c r="AA10" s="2555"/>
      <c r="AB10" s="2555"/>
      <c r="AC10" s="2558"/>
      <c r="AD10" s="3973" t="s">
        <v>1563</v>
      </c>
      <c r="AE10" s="3973"/>
      <c r="AF10" s="3973"/>
      <c r="AG10" s="3973"/>
      <c r="AH10" s="3973"/>
      <c r="AI10" s="3973"/>
      <c r="AJ10" s="3973"/>
      <c r="AK10" s="3973"/>
      <c r="AL10" s="3973"/>
    </row>
    <row r="11" spans="1:39" ht="15.75" customHeight="1">
      <c r="A11" s="3614"/>
      <c r="B11" s="3614"/>
      <c r="C11" s="3614"/>
      <c r="D11" s="3614"/>
      <c r="E11" s="2559" t="str">
        <f>'Cashflow Governmental'!C13</f>
        <v>2021</v>
      </c>
      <c r="F11" s="2560"/>
      <c r="G11" s="2560"/>
      <c r="H11" s="2560"/>
      <c r="I11" s="2560"/>
      <c r="J11" s="2560"/>
      <c r="K11" s="2560"/>
      <c r="L11" s="2560"/>
      <c r="M11" s="2560"/>
      <c r="N11" s="2560"/>
      <c r="O11" s="2560"/>
      <c r="P11" s="2560"/>
      <c r="Q11" s="2560"/>
      <c r="R11" s="2560"/>
      <c r="S11" s="2560"/>
      <c r="T11" s="2560"/>
      <c r="U11" s="2560"/>
      <c r="V11" s="2560"/>
      <c r="W11" s="2559">
        <f>'Cashflow Governmental'!U13</f>
        <v>2022</v>
      </c>
      <c r="X11" s="2560"/>
      <c r="Y11" s="2560"/>
      <c r="Z11" s="2560"/>
      <c r="AA11" s="2560"/>
      <c r="AB11" s="2560"/>
      <c r="AC11" s="2560"/>
      <c r="AD11" s="2561"/>
      <c r="AE11" s="2561"/>
      <c r="AF11" s="2561"/>
      <c r="AG11" s="2561"/>
      <c r="AH11" s="2561"/>
      <c r="AI11" s="2561"/>
      <c r="AJ11" s="2562" t="s">
        <v>7</v>
      </c>
      <c r="AK11" s="2562"/>
      <c r="AL11" s="3615" t="s">
        <v>8</v>
      </c>
      <c r="AM11" s="3616"/>
    </row>
    <row r="12" spans="1:39" ht="15.75" customHeight="1">
      <c r="A12" s="2439"/>
      <c r="B12" s="2439"/>
      <c r="C12" s="2439"/>
      <c r="D12" s="2439"/>
      <c r="E12" s="2563" t="s">
        <v>123</v>
      </c>
      <c r="F12" s="2526"/>
      <c r="G12" s="2563" t="s">
        <v>124</v>
      </c>
      <c r="H12" s="2526"/>
      <c r="I12" s="2563" t="s">
        <v>125</v>
      </c>
      <c r="J12" s="2526"/>
      <c r="K12" s="2563" t="s">
        <v>126</v>
      </c>
      <c r="L12" s="2526"/>
      <c r="M12" s="2563" t="s">
        <v>127</v>
      </c>
      <c r="N12" s="2526"/>
      <c r="O12" s="2563" t="s">
        <v>142</v>
      </c>
      <c r="P12" s="2526"/>
      <c r="Q12" s="2563" t="s">
        <v>143</v>
      </c>
      <c r="R12" s="2526"/>
      <c r="S12" s="2563" t="s">
        <v>130</v>
      </c>
      <c r="T12" s="2526"/>
      <c r="U12" s="2563" t="s">
        <v>131</v>
      </c>
      <c r="V12" s="2526"/>
      <c r="W12" s="2563" t="s">
        <v>132</v>
      </c>
      <c r="X12" s="2526"/>
      <c r="Y12" s="2563" t="s">
        <v>133</v>
      </c>
      <c r="Z12" s="2526"/>
      <c r="AA12" s="2563" t="s">
        <v>184</v>
      </c>
      <c r="AB12" s="2526"/>
      <c r="AC12" s="2526"/>
      <c r="AD12" s="2563">
        <f>'Cashflow Governmental'!AB14</f>
        <v>2021</v>
      </c>
      <c r="AE12" s="2526"/>
      <c r="AF12" s="2526"/>
      <c r="AG12" s="2563">
        <f>'Cashflow Governmental'!AE14</f>
        <v>2020</v>
      </c>
      <c r="AH12" s="2564"/>
      <c r="AI12" s="2564"/>
      <c r="AJ12" s="2565" t="s">
        <v>11</v>
      </c>
      <c r="AK12" s="3617"/>
      <c r="AL12" s="2565" t="s">
        <v>12</v>
      </c>
      <c r="AM12" s="3616"/>
    </row>
    <row r="13" spans="1:39" ht="5.25" customHeight="1">
      <c r="A13" s="2439"/>
      <c r="B13" s="2526"/>
      <c r="C13" s="2526"/>
      <c r="D13" s="2439"/>
      <c r="E13" s="1975"/>
      <c r="F13" s="1975"/>
      <c r="G13" s="1975"/>
      <c r="H13" s="1975"/>
      <c r="I13" s="1975"/>
      <c r="J13" s="1975"/>
      <c r="K13" s="1975"/>
      <c r="L13" s="1975"/>
      <c r="M13" s="1975"/>
      <c r="N13" s="1975"/>
      <c r="O13" s="1975"/>
      <c r="P13" s="1975"/>
      <c r="Q13" s="1975"/>
      <c r="R13" s="1975"/>
      <c r="S13" s="1975"/>
      <c r="T13" s="1975"/>
      <c r="U13" s="1975"/>
      <c r="V13" s="1975"/>
      <c r="W13" s="1975"/>
      <c r="X13" s="1975"/>
      <c r="Y13" s="1975"/>
      <c r="Z13" s="1975"/>
      <c r="AA13" s="1975"/>
      <c r="AB13" s="1975"/>
      <c r="AC13" s="1980"/>
      <c r="AD13" s="1975"/>
      <c r="AE13" s="1975"/>
      <c r="AF13" s="2169"/>
      <c r="AG13" s="1975"/>
      <c r="AH13" s="1975"/>
      <c r="AI13" s="2566"/>
      <c r="AJ13" s="2567"/>
      <c r="AK13" s="2567"/>
      <c r="AL13" s="2567"/>
    </row>
    <row r="14" spans="1:39">
      <c r="A14" s="2439"/>
      <c r="B14" s="1835" t="s">
        <v>1169</v>
      </c>
      <c r="C14" s="2526"/>
      <c r="D14" s="2439"/>
      <c r="E14" s="2427">
        <v>-563.70000000000005</v>
      </c>
      <c r="F14" s="1975"/>
      <c r="G14" s="2013">
        <f>E102</f>
        <v>-494.1</v>
      </c>
      <c r="H14" s="2568"/>
      <c r="I14" s="2013">
        <f>G102</f>
        <v>-618.79999999999995</v>
      </c>
      <c r="J14" s="2568"/>
      <c r="K14" s="2013">
        <f>I102</f>
        <v>-705.9</v>
      </c>
      <c r="L14" s="2568"/>
      <c r="M14" s="2013">
        <f>K102</f>
        <v>-804</v>
      </c>
      <c r="N14" s="1975"/>
      <c r="O14" s="2013">
        <f>M102</f>
        <v>-893.1</v>
      </c>
      <c r="P14" s="1975"/>
      <c r="Q14" s="2013"/>
      <c r="R14" s="2013"/>
      <c r="S14" s="2013"/>
      <c r="T14" s="2013"/>
      <c r="U14" s="2013"/>
      <c r="V14" s="2013"/>
      <c r="W14" s="2013"/>
      <c r="X14" s="2013"/>
      <c r="Y14" s="2013"/>
      <c r="Z14" s="2013"/>
      <c r="AA14" s="2013"/>
      <c r="AB14" s="1975"/>
      <c r="AC14" s="1980"/>
      <c r="AD14" s="2013">
        <f>E14</f>
        <v>-563.70000000000005</v>
      </c>
      <c r="AE14" s="1975"/>
      <c r="AF14" s="2169"/>
      <c r="AG14" s="3421">
        <v>-472.2</v>
      </c>
      <c r="AH14" s="1975"/>
      <c r="AI14" s="2566"/>
      <c r="AJ14" s="2013">
        <f>ROUND(AD14-AG14,1)</f>
        <v>-91.5</v>
      </c>
      <c r="AK14" s="2569"/>
      <c r="AL14" s="2570">
        <f>ROUND(IF(AG14=0,0,AJ14/ABS(AG14)),3)</f>
        <v>-0.19400000000000001</v>
      </c>
    </row>
    <row r="15" spans="1:39">
      <c r="A15" s="2439"/>
      <c r="B15" s="2526"/>
      <c r="C15" s="2526"/>
      <c r="D15" s="2439"/>
      <c r="E15" s="1975"/>
      <c r="F15" s="1975"/>
      <c r="G15" s="1975"/>
      <c r="H15" s="1975"/>
      <c r="I15" s="1975"/>
      <c r="J15" s="1975"/>
      <c r="K15" s="1975"/>
      <c r="L15" s="1975"/>
      <c r="M15" s="1975"/>
      <c r="N15" s="1975"/>
      <c r="O15" s="1975"/>
      <c r="P15" s="1975"/>
      <c r="Q15" s="1975"/>
      <c r="R15" s="1975"/>
      <c r="S15" s="1975"/>
      <c r="T15" s="1975"/>
      <c r="U15" s="1975"/>
      <c r="V15" s="1975"/>
      <c r="W15" s="1975"/>
      <c r="X15" s="1975"/>
      <c r="Y15" s="1975"/>
      <c r="Z15" s="1975"/>
      <c r="AA15" s="1975"/>
      <c r="AB15" s="1975"/>
      <c r="AC15" s="1980"/>
      <c r="AD15" s="1975"/>
      <c r="AE15" s="1975"/>
      <c r="AF15" s="2169"/>
      <c r="AG15" s="1975"/>
      <c r="AH15" s="1975"/>
      <c r="AI15" s="2566"/>
      <c r="AJ15" s="2567"/>
      <c r="AK15" s="2567"/>
      <c r="AL15" s="2567"/>
    </row>
    <row r="16" spans="1:39">
      <c r="A16" s="2439"/>
      <c r="B16" s="2526" t="s">
        <v>194</v>
      </c>
      <c r="C16" s="2439"/>
      <c r="D16" s="2439"/>
      <c r="E16" s="1975"/>
      <c r="F16" s="1975"/>
      <c r="G16" s="1975"/>
      <c r="H16" s="1975"/>
      <c r="I16" s="1975"/>
      <c r="J16" s="1975"/>
      <c r="K16" s="1975"/>
      <c r="L16" s="1975"/>
      <c r="M16" s="1975"/>
      <c r="N16" s="1975"/>
      <c r="O16" s="1975"/>
      <c r="P16" s="1975"/>
      <c r="Q16" s="1975"/>
      <c r="R16" s="1975"/>
      <c r="S16" s="1975"/>
      <c r="T16" s="1975"/>
      <c r="U16" s="1975"/>
      <c r="V16" s="1975"/>
      <c r="W16" s="1975"/>
      <c r="X16" s="1975"/>
      <c r="Y16" s="1975"/>
      <c r="Z16" s="1975"/>
      <c r="AA16" s="1975"/>
      <c r="AB16" s="1975"/>
      <c r="AC16" s="1980"/>
      <c r="AD16" s="1975"/>
      <c r="AE16" s="3151"/>
      <c r="AF16" s="2002"/>
      <c r="AG16" s="1975"/>
      <c r="AH16" s="1975"/>
      <c r="AI16" s="2566"/>
      <c r="AJ16" s="2571"/>
      <c r="AK16" s="2571"/>
      <c r="AL16" s="2571"/>
    </row>
    <row r="17" spans="1:39">
      <c r="A17" s="2439"/>
      <c r="B17" s="2436" t="s">
        <v>994</v>
      </c>
      <c r="C17" s="2439"/>
      <c r="D17" s="2439"/>
      <c r="E17" s="1975"/>
      <c r="F17" s="1975"/>
      <c r="G17" s="1975"/>
      <c r="H17" s="1975"/>
      <c r="I17" s="1975"/>
      <c r="J17" s="1975"/>
      <c r="K17" s="1975"/>
      <c r="L17" s="1975"/>
      <c r="M17" s="1975"/>
      <c r="N17" s="1975"/>
      <c r="O17" s="1975"/>
      <c r="P17" s="1975"/>
      <c r="Q17" s="1975"/>
      <c r="R17" s="1975"/>
      <c r="S17" s="1975"/>
      <c r="T17" s="1975"/>
      <c r="U17" s="1975"/>
      <c r="V17" s="1975"/>
      <c r="W17" s="1975"/>
      <c r="X17" s="1975"/>
      <c r="Y17" s="1975"/>
      <c r="Z17" s="1975"/>
      <c r="AA17" s="1975"/>
      <c r="AB17" s="1975"/>
      <c r="AC17" s="1980"/>
      <c r="AD17" s="1975"/>
      <c r="AE17" s="3152"/>
      <c r="AF17" s="2002"/>
      <c r="AG17" s="1975"/>
      <c r="AH17" s="1975"/>
      <c r="AI17" s="2566"/>
      <c r="AJ17" s="2571"/>
      <c r="AK17" s="2571"/>
      <c r="AL17" s="2571"/>
    </row>
    <row r="18" spans="1:39">
      <c r="A18" s="2439"/>
      <c r="B18" s="2514" t="s">
        <v>1007</v>
      </c>
      <c r="C18" s="2439"/>
      <c r="D18" s="2439"/>
      <c r="E18" s="2572"/>
      <c r="F18" s="1975"/>
      <c r="G18" s="1979"/>
      <c r="H18" s="1979"/>
      <c r="I18" s="1979"/>
      <c r="J18" s="1979"/>
      <c r="K18" s="1979"/>
      <c r="L18" s="1979"/>
      <c r="M18" s="1979"/>
      <c r="N18" s="1979"/>
      <c r="O18" s="1979"/>
      <c r="P18" s="1979"/>
      <c r="Q18" s="1979"/>
      <c r="R18" s="1979"/>
      <c r="S18" s="1979"/>
      <c r="T18" s="1979"/>
      <c r="U18" s="1979"/>
      <c r="V18" s="1979"/>
      <c r="W18" s="1979"/>
      <c r="X18" s="1979"/>
      <c r="Y18" s="1979"/>
      <c r="Z18" s="1979"/>
      <c r="AA18" s="1979"/>
      <c r="AB18" s="1979"/>
      <c r="AC18" s="2023"/>
      <c r="AD18" s="3153" t="s">
        <v>14</v>
      </c>
      <c r="AE18" s="3154"/>
      <c r="AF18" s="1961"/>
      <c r="AG18" s="1979" t="s">
        <v>14</v>
      </c>
      <c r="AH18" s="1979"/>
      <c r="AI18" s="2573"/>
      <c r="AJ18" s="2574"/>
      <c r="AK18" s="2571"/>
      <c r="AL18" s="2571"/>
    </row>
    <row r="19" spans="1:39">
      <c r="A19" s="2439"/>
      <c r="B19" s="2310" t="s">
        <v>1010</v>
      </c>
      <c r="C19" s="2439"/>
      <c r="D19" s="2575" t="s">
        <v>14</v>
      </c>
      <c r="E19" s="1984">
        <v>2.1</v>
      </c>
      <c r="F19" s="1984"/>
      <c r="G19" s="1984">
        <v>0</v>
      </c>
      <c r="H19" s="1984"/>
      <c r="I19" s="1984">
        <v>17.5</v>
      </c>
      <c r="J19" s="1984"/>
      <c r="K19" s="1984">
        <v>0.10000000000000142</v>
      </c>
      <c r="L19" s="1982"/>
      <c r="M19" s="1984">
        <v>-0.10000000000000142</v>
      </c>
      <c r="N19" s="1971"/>
      <c r="O19" s="1984">
        <f>$AD19-$E19-$G19-$I19-$K19-$M19</f>
        <v>26.299999999999997</v>
      </c>
      <c r="P19" s="1971"/>
      <c r="Q19" s="1773"/>
      <c r="R19" s="1971"/>
      <c r="S19" s="1773"/>
      <c r="T19" s="1971"/>
      <c r="U19" s="1773"/>
      <c r="V19" s="1971"/>
      <c r="W19" s="1773"/>
      <c r="X19" s="1971"/>
      <c r="Y19" s="1773"/>
      <c r="Z19" s="1971"/>
      <c r="AA19" s="1773"/>
      <c r="AB19" s="1984"/>
      <c r="AC19" s="1985"/>
      <c r="AD19" s="1984">
        <v>45.9</v>
      </c>
      <c r="AE19" s="3155"/>
      <c r="AF19" s="3156"/>
      <c r="AG19" s="1984">
        <v>26.4</v>
      </c>
      <c r="AH19" s="2576"/>
      <c r="AI19" s="2577"/>
      <c r="AJ19" s="1984">
        <f>ROUND(AD19-AG19,1)</f>
        <v>19.5</v>
      </c>
      <c r="AK19" s="2578"/>
      <c r="AL19" s="2590">
        <f>ROUND(IF(AG19=0,0,AJ19/ABS(AG19)),3)</f>
        <v>0.73899999999999999</v>
      </c>
    </row>
    <row r="20" spans="1:39">
      <c r="A20" s="2439"/>
      <c r="B20" s="2310" t="s">
        <v>1012</v>
      </c>
      <c r="C20" s="2439"/>
      <c r="D20" s="2439"/>
      <c r="E20" s="1984">
        <v>26.9</v>
      </c>
      <c r="F20" s="1984"/>
      <c r="G20" s="1984">
        <v>31.700000000000003</v>
      </c>
      <c r="H20" s="1984"/>
      <c r="I20" s="1984">
        <v>36.700000000000003</v>
      </c>
      <c r="J20" s="1984"/>
      <c r="K20" s="1984">
        <v>35</v>
      </c>
      <c r="L20" s="2579"/>
      <c r="M20" s="1984">
        <v>36.399999999999977</v>
      </c>
      <c r="N20" s="2579"/>
      <c r="O20" s="1984">
        <f t="shared" ref="O20:O21" si="0">$AD20-$E20-$G20-$I20-$K20-$M20</f>
        <v>37.600000000000009</v>
      </c>
      <c r="P20" s="2579"/>
      <c r="Q20" s="1773"/>
      <c r="R20" s="2579"/>
      <c r="S20" s="1773"/>
      <c r="T20" s="2579"/>
      <c r="U20" s="1773"/>
      <c r="V20" s="2579"/>
      <c r="W20" s="1773"/>
      <c r="X20" s="2579"/>
      <c r="Y20" s="1773"/>
      <c r="Z20" s="2579"/>
      <c r="AA20" s="1773"/>
      <c r="AB20" s="1984"/>
      <c r="AC20" s="2023"/>
      <c r="AD20" s="1984">
        <v>204.3</v>
      </c>
      <c r="AE20" s="3154"/>
      <c r="AF20" s="1961"/>
      <c r="AG20" s="1984">
        <v>162.70000000000002</v>
      </c>
      <c r="AH20" s="1979"/>
      <c r="AI20" s="2573"/>
      <c r="AJ20" s="1979">
        <f>ROUND(AD20-AG20,1)</f>
        <v>41.6</v>
      </c>
      <c r="AK20" s="2580"/>
      <c r="AL20" s="1634">
        <f>ROUND(IF(AG20=0,0,AJ20/ABS(AG20)),3)</f>
        <v>0.25600000000000001</v>
      </c>
      <c r="AM20" s="2571"/>
    </row>
    <row r="21" spans="1:39">
      <c r="A21" s="2439"/>
      <c r="B21" s="2310" t="s">
        <v>1014</v>
      </c>
      <c r="C21" s="2439"/>
      <c r="D21" s="2439"/>
      <c r="E21" s="1984">
        <v>14.5</v>
      </c>
      <c r="F21" s="1984"/>
      <c r="G21" s="1984">
        <v>10.5</v>
      </c>
      <c r="H21" s="1984"/>
      <c r="I21" s="1984">
        <v>11.600000000000001</v>
      </c>
      <c r="J21" s="1984"/>
      <c r="K21" s="1984">
        <v>12.100000000000001</v>
      </c>
      <c r="L21" s="2579"/>
      <c r="M21" s="1984">
        <v>13.299999999999997</v>
      </c>
      <c r="N21" s="2579"/>
      <c r="O21" s="1984">
        <f t="shared" si="0"/>
        <v>10.599999999999994</v>
      </c>
      <c r="P21" s="2579"/>
      <c r="Q21" s="1773"/>
      <c r="R21" s="2579"/>
      <c r="S21" s="1773"/>
      <c r="T21" s="2579"/>
      <c r="U21" s="1773"/>
      <c r="V21" s="2579"/>
      <c r="W21" s="1773"/>
      <c r="X21" s="2579"/>
      <c r="Y21" s="1773"/>
      <c r="Z21" s="2579"/>
      <c r="AA21" s="1773"/>
      <c r="AB21" s="1984"/>
      <c r="AC21" s="2023"/>
      <c r="AD21" s="1984">
        <v>72.599999999999994</v>
      </c>
      <c r="AE21" s="3154"/>
      <c r="AF21" s="1961"/>
      <c r="AG21" s="1984">
        <v>68.099999999999994</v>
      </c>
      <c r="AH21" s="1979"/>
      <c r="AI21" s="2573"/>
      <c r="AJ21" s="1979">
        <f>ROUND(AD21-AG21,1)</f>
        <v>4.5</v>
      </c>
      <c r="AK21" s="2580"/>
      <c r="AL21" s="2179">
        <f>ROUND(IF(AG21=0,0,AJ21/ABS(AG21)),3)</f>
        <v>6.6000000000000003E-2</v>
      </c>
    </row>
    <row r="22" spans="1:39">
      <c r="A22" s="2439"/>
      <c r="B22" s="2447" t="s">
        <v>1097</v>
      </c>
      <c r="C22" s="2439"/>
      <c r="D22" s="2439"/>
      <c r="E22" s="1446">
        <f>ROUND(SUM(E19:E21),1)</f>
        <v>43.5</v>
      </c>
      <c r="F22" s="1984"/>
      <c r="G22" s="1446">
        <f>ROUND(SUM(G19:G21),1)</f>
        <v>42.2</v>
      </c>
      <c r="H22" s="1984"/>
      <c r="I22" s="1446">
        <f>ROUND(SUM(I19:I21),1)</f>
        <v>65.8</v>
      </c>
      <c r="J22" s="1984"/>
      <c r="K22" s="1446">
        <f>ROUND(SUM(K19:K21),1)</f>
        <v>47.2</v>
      </c>
      <c r="L22" s="1984"/>
      <c r="M22" s="1446">
        <f>ROUND(SUM(M19:M21),1)</f>
        <v>49.6</v>
      </c>
      <c r="N22" s="1984"/>
      <c r="O22" s="1446">
        <f>ROUND(SUM(O19:O21),1)</f>
        <v>74.5</v>
      </c>
      <c r="P22" s="1979"/>
      <c r="Q22" s="1446">
        <f>ROUND(SUM(Q19:Q21),1)</f>
        <v>0</v>
      </c>
      <c r="R22" s="1979"/>
      <c r="S22" s="1446">
        <f>ROUND(SUM(S19:S21),1)</f>
        <v>0</v>
      </c>
      <c r="T22" s="1979"/>
      <c r="U22" s="1446">
        <f>ROUND(SUM(U19:U21),1)</f>
        <v>0</v>
      </c>
      <c r="V22" s="1979"/>
      <c r="W22" s="1446">
        <f>ROUND(SUM(W19:W21),1)</f>
        <v>0</v>
      </c>
      <c r="X22" s="1979"/>
      <c r="Y22" s="1446">
        <f>ROUND(SUM(Y19:Y21),1)</f>
        <v>0</v>
      </c>
      <c r="Z22" s="1979"/>
      <c r="AA22" s="1446">
        <f>ROUND(SUM(AA19:AA21),1)</f>
        <v>0</v>
      </c>
      <c r="AB22" s="1979"/>
      <c r="AC22" s="2023"/>
      <c r="AD22" s="1446">
        <f>ROUND(SUM(AD19:AD21),1)</f>
        <v>322.8</v>
      </c>
      <c r="AE22" s="3157"/>
      <c r="AF22" s="1961"/>
      <c r="AG22" s="1446">
        <f>ROUND(SUM(AG19:AG21),1)</f>
        <v>257.2</v>
      </c>
      <c r="AH22" s="1979"/>
      <c r="AI22" s="2573"/>
      <c r="AJ22" s="1446">
        <f>ROUND(SUM(AJ19:AJ21),1)</f>
        <v>65.599999999999994</v>
      </c>
      <c r="AK22" s="2580"/>
      <c r="AL22" s="2180">
        <f>ROUND(IF(AG22=0,0,AJ22/ABS(AG22)),3)</f>
        <v>0.255</v>
      </c>
    </row>
    <row r="23" spans="1:39">
      <c r="A23" s="2439"/>
      <c r="B23" s="2514" t="s">
        <v>998</v>
      </c>
      <c r="C23" s="2439"/>
      <c r="D23" s="2439"/>
      <c r="E23" s="1984"/>
      <c r="F23" s="1984"/>
      <c r="G23" s="1984"/>
      <c r="H23" s="1984"/>
      <c r="I23" s="1984"/>
      <c r="J23" s="1984"/>
      <c r="K23" s="1984"/>
      <c r="L23" s="1984"/>
      <c r="M23" s="1984"/>
      <c r="N23" s="1984"/>
      <c r="O23" s="1984"/>
      <c r="P23" s="1979"/>
      <c r="Q23" s="2586"/>
      <c r="R23" s="1979"/>
      <c r="S23" s="2586"/>
      <c r="T23" s="1979"/>
      <c r="U23" s="2586"/>
      <c r="V23" s="1979"/>
      <c r="W23" s="3618"/>
      <c r="X23" s="1979"/>
      <c r="Y23" s="2586"/>
      <c r="Z23" s="1979"/>
      <c r="AA23" s="3618"/>
      <c r="AB23" s="1979"/>
      <c r="AC23" s="2023"/>
      <c r="AD23" s="1978"/>
      <c r="AE23" s="3154"/>
      <c r="AF23" s="1961"/>
      <c r="AG23" s="1978"/>
      <c r="AH23" s="1979"/>
      <c r="AI23" s="2573"/>
      <c r="AJ23" s="1978"/>
      <c r="AK23" s="2571"/>
      <c r="AL23" s="1782"/>
    </row>
    <row r="24" spans="1:39">
      <c r="A24" s="2439"/>
      <c r="B24" s="2310" t="s">
        <v>1016</v>
      </c>
      <c r="C24" s="2439"/>
      <c r="D24" s="2439"/>
      <c r="E24" s="1984">
        <v>0</v>
      </c>
      <c r="F24" s="1984"/>
      <c r="G24" s="1984">
        <v>0</v>
      </c>
      <c r="H24" s="1984"/>
      <c r="I24" s="1984">
        <v>0</v>
      </c>
      <c r="J24" s="1984"/>
      <c r="K24" s="1984">
        <v>0</v>
      </c>
      <c r="L24" s="2579"/>
      <c r="M24" s="1984">
        <v>0</v>
      </c>
      <c r="N24" s="2579"/>
      <c r="O24" s="1984">
        <f>$AD24-$E24-$G24-$I24-$K24-$M24</f>
        <v>0</v>
      </c>
      <c r="P24" s="2579"/>
      <c r="Q24" s="1773"/>
      <c r="R24" s="2579"/>
      <c r="S24" s="1773"/>
      <c r="T24" s="2579"/>
      <c r="U24" s="1773"/>
      <c r="V24" s="2579"/>
      <c r="W24" s="1773"/>
      <c r="X24" s="2579"/>
      <c r="Y24" s="1773"/>
      <c r="Z24" s="2579"/>
      <c r="AA24" s="1773"/>
      <c r="AB24" s="1979"/>
      <c r="AC24" s="2023"/>
      <c r="AD24" s="1984">
        <v>0</v>
      </c>
      <c r="AE24" s="3157"/>
      <c r="AF24" s="1961"/>
      <c r="AG24" s="1984">
        <v>0</v>
      </c>
      <c r="AH24" s="1979"/>
      <c r="AI24" s="2573"/>
      <c r="AJ24" s="1979">
        <f>ROUND(AD24-AG24,1)</f>
        <v>0</v>
      </c>
      <c r="AK24" s="2571"/>
      <c r="AL24" s="1634">
        <f>ROUND(IF(AG24=0,0,AJ24/ABS(AG24)),3)</f>
        <v>0</v>
      </c>
    </row>
    <row r="25" spans="1:39">
      <c r="A25" s="2439"/>
      <c r="B25" s="2310" t="s">
        <v>1017</v>
      </c>
      <c r="C25" s="2439"/>
      <c r="D25" s="2439"/>
      <c r="E25" s="1984">
        <v>3.1</v>
      </c>
      <c r="F25" s="1984"/>
      <c r="G25" s="1984">
        <v>0</v>
      </c>
      <c r="H25" s="1984"/>
      <c r="I25" s="1984">
        <v>1.4</v>
      </c>
      <c r="J25" s="1984"/>
      <c r="K25" s="1984">
        <v>-1.5</v>
      </c>
      <c r="L25" s="2579"/>
      <c r="M25" s="1984">
        <v>-0.10000000000000009</v>
      </c>
      <c r="N25" s="2579"/>
      <c r="O25" s="1984">
        <f t="shared" ref="O25:O26" si="1">$AD25-$E25-$G25-$I25-$K25-$M25</f>
        <v>1.1999999999999997</v>
      </c>
      <c r="P25" s="2579"/>
      <c r="Q25" s="1773"/>
      <c r="R25" s="2579"/>
      <c r="S25" s="1773"/>
      <c r="T25" s="2579"/>
      <c r="U25" s="1773"/>
      <c r="V25" s="2579"/>
      <c r="W25" s="1773"/>
      <c r="X25" s="2579"/>
      <c r="Y25" s="1773"/>
      <c r="Z25" s="2579"/>
      <c r="AA25" s="1773"/>
      <c r="AB25" s="1979"/>
      <c r="AC25" s="2023"/>
      <c r="AD25" s="1984">
        <v>4.0999999999999996</v>
      </c>
      <c r="AE25" s="3157"/>
      <c r="AF25" s="1961"/>
      <c r="AG25" s="1984">
        <v>5.0999999999999996</v>
      </c>
      <c r="AH25" s="1979"/>
      <c r="AI25" s="2573"/>
      <c r="AJ25" s="1979">
        <f>ROUND(AD25-AG25,1)</f>
        <v>-1</v>
      </c>
      <c r="AK25" s="2571"/>
      <c r="AL25" s="1713">
        <f>ROUND(IF(AG25=0,1,AJ25/ABS(AG25)),3)</f>
        <v>-0.19600000000000001</v>
      </c>
    </row>
    <row r="26" spans="1:39">
      <c r="A26" s="2439"/>
      <c r="B26" s="2310" t="s">
        <v>1020</v>
      </c>
      <c r="C26" s="2526"/>
      <c r="D26" s="2439"/>
      <c r="E26" s="1984">
        <v>38.200000000000003</v>
      </c>
      <c r="F26" s="1984"/>
      <c r="G26" s="1984">
        <v>50.399999999999991</v>
      </c>
      <c r="H26" s="1984"/>
      <c r="I26" s="1984">
        <v>52</v>
      </c>
      <c r="J26" s="1984"/>
      <c r="K26" s="1984">
        <v>55.3</v>
      </c>
      <c r="L26" s="2579"/>
      <c r="M26" s="1984">
        <v>53.600000000000037</v>
      </c>
      <c r="N26" s="2579"/>
      <c r="O26" s="1984">
        <f t="shared" si="1"/>
        <v>43.699999999999989</v>
      </c>
      <c r="P26" s="2579"/>
      <c r="Q26" s="1773"/>
      <c r="R26" s="2579"/>
      <c r="S26" s="1773"/>
      <c r="T26" s="2579"/>
      <c r="U26" s="1773"/>
      <c r="V26" s="2579"/>
      <c r="W26" s="1773"/>
      <c r="X26" s="2579"/>
      <c r="Y26" s="1773"/>
      <c r="Z26" s="2579"/>
      <c r="AA26" s="1773"/>
      <c r="AB26" s="1979"/>
      <c r="AC26" s="2023"/>
      <c r="AD26" s="1984">
        <v>293.2</v>
      </c>
      <c r="AE26" s="3154"/>
      <c r="AF26" s="1961"/>
      <c r="AG26" s="1984">
        <v>260.8</v>
      </c>
      <c r="AH26" s="1979"/>
      <c r="AI26" s="2573"/>
      <c r="AJ26" s="1979">
        <f>ROUND(AD26-AG26,1)</f>
        <v>32.4</v>
      </c>
      <c r="AK26" s="2580"/>
      <c r="AL26" s="2581">
        <f>ROUND(IF(AG26=0,0,AJ26/ABS(AG26)),3)</f>
        <v>0.124</v>
      </c>
    </row>
    <row r="27" spans="1:39">
      <c r="A27" s="2439"/>
      <c r="B27" s="2447" t="s">
        <v>1098</v>
      </c>
      <c r="C27" s="2526"/>
      <c r="D27" s="2439"/>
      <c r="E27" s="1446">
        <f>ROUND(SUM(E24:E26),1)</f>
        <v>41.3</v>
      </c>
      <c r="F27" s="1984"/>
      <c r="G27" s="1446">
        <f>ROUND(SUM(G24:G26),1)</f>
        <v>50.4</v>
      </c>
      <c r="H27" s="1984"/>
      <c r="I27" s="1446">
        <f>ROUND(SUM(I24:I26),1)</f>
        <v>53.4</v>
      </c>
      <c r="J27" s="1984"/>
      <c r="K27" s="1446">
        <f>ROUND(SUM(K24:K26),1)</f>
        <v>53.8</v>
      </c>
      <c r="L27" s="1984"/>
      <c r="M27" s="1446">
        <f>ROUND(SUM(M24:M26),1)</f>
        <v>53.5</v>
      </c>
      <c r="N27" s="1984"/>
      <c r="O27" s="1446">
        <f>ROUND(SUM(O24:O26),1)</f>
        <v>44.9</v>
      </c>
      <c r="P27" s="1979"/>
      <c r="Q27" s="1446">
        <f>ROUND(SUM(Q24:Q26),1)</f>
        <v>0</v>
      </c>
      <c r="R27" s="1979"/>
      <c r="S27" s="1446">
        <f>ROUND(SUM(S24:S26),1)</f>
        <v>0</v>
      </c>
      <c r="T27" s="1979"/>
      <c r="U27" s="1446">
        <f>ROUND(SUM(U24:U26),1)</f>
        <v>0</v>
      </c>
      <c r="V27" s="1979"/>
      <c r="W27" s="1446">
        <f>ROUND(SUM(W24:W26),1)</f>
        <v>0</v>
      </c>
      <c r="X27" s="1979"/>
      <c r="Y27" s="1446">
        <f>ROUND(SUM(Y24:Y26),1)</f>
        <v>0</v>
      </c>
      <c r="Z27" s="1979"/>
      <c r="AA27" s="1446">
        <f>ROUND(SUM(AA24:AA26),1)</f>
        <v>0</v>
      </c>
      <c r="AB27" s="1979"/>
      <c r="AC27" s="2023"/>
      <c r="AD27" s="1446">
        <f>ROUND(SUM(AD24:AD26),1)</f>
        <v>297.3</v>
      </c>
      <c r="AE27" s="3157"/>
      <c r="AF27" s="1961"/>
      <c r="AG27" s="1446">
        <f>ROUND(SUM(AG24:AG26),1)</f>
        <v>265.89999999999998</v>
      </c>
      <c r="AH27" s="1979"/>
      <c r="AI27" s="2573"/>
      <c r="AJ27" s="1446">
        <f>ROUND(SUM(AJ24:AJ26),1)</f>
        <v>31.4</v>
      </c>
      <c r="AK27" s="2580"/>
      <c r="AL27" s="2601">
        <f>ROUND(IF(AG27=0,0,AJ27/ABS(AG27)),3)</f>
        <v>0.11799999999999999</v>
      </c>
    </row>
    <row r="28" spans="1:39">
      <c r="A28" s="2439"/>
      <c r="B28" s="2514" t="s">
        <v>999</v>
      </c>
      <c r="C28" s="2439"/>
      <c r="D28" s="2439"/>
      <c r="E28" s="2582"/>
      <c r="F28" s="1984"/>
      <c r="G28" s="2582"/>
      <c r="H28" s="1984"/>
      <c r="I28" s="1983"/>
      <c r="J28" s="1984"/>
      <c r="K28" s="1983"/>
      <c r="L28" s="1984"/>
      <c r="M28" s="1984"/>
      <c r="N28" s="1984"/>
      <c r="O28" s="1984"/>
      <c r="P28" s="1979"/>
      <c r="Q28" s="2586"/>
      <c r="R28" s="1979"/>
      <c r="S28" s="2586"/>
      <c r="T28" s="1979"/>
      <c r="U28" s="2586"/>
      <c r="V28" s="1979"/>
      <c r="W28" s="2586"/>
      <c r="X28" s="1979"/>
      <c r="Y28" s="2586"/>
      <c r="Z28" s="1979"/>
      <c r="AA28" s="2586"/>
      <c r="AB28" s="1979"/>
      <c r="AC28" s="2023"/>
      <c r="AD28" s="1979"/>
      <c r="AE28" s="3158"/>
      <c r="AF28" s="3159"/>
      <c r="AG28" s="1979"/>
      <c r="AH28" s="1978"/>
      <c r="AI28" s="2583"/>
      <c r="AJ28" s="1978"/>
      <c r="AK28" s="2587"/>
      <c r="AL28" s="1634"/>
      <c r="AM28" s="2571"/>
    </row>
    <row r="29" spans="1:39">
      <c r="A29" s="2439"/>
      <c r="B29" s="2310" t="s">
        <v>1026</v>
      </c>
      <c r="C29" s="2439"/>
      <c r="D29" s="2439"/>
      <c r="E29" s="1984">
        <v>0</v>
      </c>
      <c r="F29" s="1984"/>
      <c r="G29" s="1984">
        <v>0</v>
      </c>
      <c r="H29" s="1984"/>
      <c r="I29" s="1984">
        <v>11.9</v>
      </c>
      <c r="J29" s="1984"/>
      <c r="K29" s="1984">
        <v>11.9</v>
      </c>
      <c r="L29" s="2579"/>
      <c r="M29" s="1984">
        <v>11.900000000000004</v>
      </c>
      <c r="N29" s="2579"/>
      <c r="O29" s="1984">
        <f>$AD29-$E29-$G29-$I29-$K29-$M29</f>
        <v>12.000000000000002</v>
      </c>
      <c r="P29" s="2579"/>
      <c r="Q29" s="1773"/>
      <c r="R29" s="2579"/>
      <c r="S29" s="1773"/>
      <c r="T29" s="2579"/>
      <c r="U29" s="1773"/>
      <c r="V29" s="2579"/>
      <c r="W29" s="1773"/>
      <c r="X29" s="2579"/>
      <c r="Y29" s="1773"/>
      <c r="Z29" s="2579"/>
      <c r="AA29" s="1773"/>
      <c r="AB29" s="1979"/>
      <c r="AC29" s="2023"/>
      <c r="AD29" s="1984">
        <v>47.7</v>
      </c>
      <c r="AE29" s="3160"/>
      <c r="AF29" s="3159"/>
      <c r="AG29" s="1984">
        <v>47.6</v>
      </c>
      <c r="AH29" s="1978"/>
      <c r="AI29" s="2583"/>
      <c r="AJ29" s="1979">
        <f>ROUND(AD29-AG29,1)</f>
        <v>0.1</v>
      </c>
      <c r="AK29" s="2587"/>
      <c r="AL29" s="2581">
        <f>ROUND(IF(AG29=0,0,AJ29/ABS(AG29)),3)</f>
        <v>2E-3</v>
      </c>
      <c r="AM29" s="2571"/>
    </row>
    <row r="30" spans="1:39">
      <c r="B30" s="2447" t="s">
        <v>1099</v>
      </c>
      <c r="C30" s="2439"/>
      <c r="D30" s="2439"/>
      <c r="E30" s="1446">
        <f>ROUND(SUM(E29:E29),1)</f>
        <v>0</v>
      </c>
      <c r="F30" s="1984"/>
      <c r="G30" s="1446">
        <f>ROUND(SUM(G29:G29),1)</f>
        <v>0</v>
      </c>
      <c r="H30" s="1984"/>
      <c r="I30" s="1446">
        <f>ROUND(SUM(I29:I29),1)</f>
        <v>11.9</v>
      </c>
      <c r="J30" s="1984"/>
      <c r="K30" s="1446">
        <f>ROUND(SUM(K29:K29),1)</f>
        <v>11.9</v>
      </c>
      <c r="L30" s="1984"/>
      <c r="M30" s="1446">
        <f>ROUND(SUM(M29:M29),1)</f>
        <v>11.9</v>
      </c>
      <c r="N30" s="1984"/>
      <c r="O30" s="1446">
        <f>ROUND(SUM(O29:O29),1)</f>
        <v>12</v>
      </c>
      <c r="P30" s="1979"/>
      <c r="Q30" s="1446">
        <f>ROUND(SUM(Q29:Q29),1)</f>
        <v>0</v>
      </c>
      <c r="R30" s="1979"/>
      <c r="S30" s="1446">
        <f>ROUND(SUM(S29:S29),1)</f>
        <v>0</v>
      </c>
      <c r="T30" s="1979"/>
      <c r="U30" s="1446">
        <f>ROUND(SUM(U29:U29),1)</f>
        <v>0</v>
      </c>
      <c r="V30" s="1979"/>
      <c r="W30" s="1446">
        <f>ROUND(SUM(W29:W29),1)</f>
        <v>0</v>
      </c>
      <c r="X30" s="1979"/>
      <c r="Y30" s="1446">
        <f>ROUND(SUM(Y29:Y29),1)</f>
        <v>0</v>
      </c>
      <c r="Z30" s="1979"/>
      <c r="AA30" s="1446">
        <f>ROUND(SUM(AA29:AA29),1)</f>
        <v>0</v>
      </c>
      <c r="AB30" s="1979"/>
      <c r="AC30" s="2023"/>
      <c r="AD30" s="1446">
        <f>ROUND(SUM(AD29:AD29),1)</f>
        <v>47.7</v>
      </c>
      <c r="AE30" s="3160"/>
      <c r="AF30" s="3159"/>
      <c r="AG30" s="1446">
        <f>ROUND(SUM(AG29:AG29),1)</f>
        <v>47.6</v>
      </c>
      <c r="AH30" s="1978"/>
      <c r="AI30" s="2583"/>
      <c r="AJ30" s="1446">
        <f>ROUND(SUM(AJ29:AJ29),1)</f>
        <v>0.1</v>
      </c>
      <c r="AK30" s="2587"/>
      <c r="AL30" s="2180">
        <f>ROUND(IF(AG30=0,0,AJ30/ABS(AG30)),3)</f>
        <v>2E-3</v>
      </c>
      <c r="AM30" s="2571"/>
    </row>
    <row r="31" spans="1:39">
      <c r="A31" s="2439"/>
      <c r="B31" s="2526"/>
      <c r="C31" s="2439"/>
      <c r="D31" s="2439"/>
      <c r="E31" s="2582"/>
      <c r="F31" s="1984"/>
      <c r="G31" s="2582"/>
      <c r="H31" s="1984"/>
      <c r="I31" s="1983"/>
      <c r="J31" s="1984"/>
      <c r="K31" s="1983"/>
      <c r="L31" s="1984"/>
      <c r="M31" s="1984"/>
      <c r="N31" s="1984"/>
      <c r="O31" s="1984"/>
      <c r="P31" s="1979"/>
      <c r="Q31" s="2586"/>
      <c r="R31" s="1979"/>
      <c r="S31" s="2586"/>
      <c r="T31" s="1979"/>
      <c r="U31" s="2586"/>
      <c r="V31" s="1979"/>
      <c r="W31" s="2586"/>
      <c r="X31" s="1979"/>
      <c r="Y31" s="2586"/>
      <c r="Z31" s="1979"/>
      <c r="AA31" s="2586"/>
      <c r="AB31" s="1979"/>
      <c r="AC31" s="2023"/>
      <c r="AD31" s="1979"/>
      <c r="AE31" s="3160"/>
      <c r="AF31" s="3159"/>
      <c r="AG31" s="1979"/>
      <c r="AH31" s="1978"/>
      <c r="AI31" s="2583"/>
      <c r="AJ31" s="1978"/>
      <c r="AK31" s="2587"/>
      <c r="AL31" s="3619"/>
      <c r="AM31" s="2571"/>
    </row>
    <row r="32" spans="1:39" s="2594" customFormat="1">
      <c r="A32" s="2526"/>
      <c r="B32" s="2447" t="s">
        <v>1022</v>
      </c>
      <c r="C32" s="2526"/>
      <c r="D32" s="2526"/>
      <c r="E32" s="2584">
        <f>ROUND(SUM(+E27+E22+E30),1)</f>
        <v>84.8</v>
      </c>
      <c r="F32" s="2034"/>
      <c r="G32" s="2584">
        <f>ROUND(SUM(+G27+G22+G30),1)</f>
        <v>92.6</v>
      </c>
      <c r="H32" s="2034"/>
      <c r="I32" s="2584">
        <f>ROUND(SUM(+I27+I22+I30),1)</f>
        <v>131.1</v>
      </c>
      <c r="J32" s="2034"/>
      <c r="K32" s="2584">
        <f>ROUND(SUM(+K27+K22+K30),1)</f>
        <v>112.9</v>
      </c>
      <c r="L32" s="2034"/>
      <c r="M32" s="2019">
        <f>ROUND(SUM(+M27+M22+M30),1)</f>
        <v>115</v>
      </c>
      <c r="N32" s="2034"/>
      <c r="O32" s="2019">
        <f>ROUND(SUM(+O27+O22+O30),1)</f>
        <v>131.4</v>
      </c>
      <c r="P32" s="2034"/>
      <c r="Q32" s="2019">
        <f>ROUND(SUM(+Q27+Q22+Q30),1)</f>
        <v>0</v>
      </c>
      <c r="R32" s="2034"/>
      <c r="S32" s="2019">
        <f>ROUND(SUM(+S27+S22+S30),1)</f>
        <v>0</v>
      </c>
      <c r="T32" s="2034"/>
      <c r="U32" s="2019">
        <f>ROUND(SUM(+U27+U22+U30),1)</f>
        <v>0</v>
      </c>
      <c r="V32" s="2034"/>
      <c r="W32" s="2019">
        <f>ROUND(SUM(+W27+W22+W30),1)</f>
        <v>0</v>
      </c>
      <c r="X32" s="2034"/>
      <c r="Y32" s="2019">
        <f>ROUND(SUM(+Y27+Y22+Y30),1)</f>
        <v>0</v>
      </c>
      <c r="Z32" s="2034"/>
      <c r="AA32" s="2019">
        <f>ROUND(SUM(+AA27+AA22+AA30),1)</f>
        <v>0</v>
      </c>
      <c r="AB32" s="2034"/>
      <c r="AC32" s="2527"/>
      <c r="AD32" s="2019">
        <f>ROUND(SUM(+AD27+AD22+AD30),1)</f>
        <v>667.8</v>
      </c>
      <c r="AE32" s="3161"/>
      <c r="AF32" s="3162"/>
      <c r="AG32" s="2019">
        <f>ROUND(SUM(+AG27+AG22+AG30),1)</f>
        <v>570.70000000000005</v>
      </c>
      <c r="AH32" s="2585"/>
      <c r="AI32" s="2583"/>
      <c r="AJ32" s="2019">
        <f>ROUND(SUM(+AJ27+AJ22+AJ30),1)</f>
        <v>97.1</v>
      </c>
      <c r="AK32" s="3620"/>
      <c r="AL32" s="2601">
        <f>ROUND(IF(AG32=0,1,AJ32/ABS(AG32)),3)</f>
        <v>0.17</v>
      </c>
      <c r="AM32" s="2602"/>
    </row>
    <row r="33" spans="1:39">
      <c r="A33" s="2439"/>
      <c r="B33" s="2478"/>
      <c r="C33" s="2439"/>
      <c r="D33" s="2439"/>
      <c r="E33" s="2582"/>
      <c r="F33" s="1984"/>
      <c r="G33" s="2582"/>
      <c r="H33" s="1984"/>
      <c r="I33" s="1983"/>
      <c r="J33" s="1984"/>
      <c r="K33" s="1983"/>
      <c r="L33" s="1984"/>
      <c r="M33" s="1984"/>
      <c r="N33" s="1984"/>
      <c r="O33" s="1984"/>
      <c r="P33" s="1979"/>
      <c r="Q33" s="2586"/>
      <c r="R33" s="1979"/>
      <c r="S33" s="2586"/>
      <c r="T33" s="1979"/>
      <c r="U33" s="2586"/>
      <c r="V33" s="1979"/>
      <c r="W33" s="2586"/>
      <c r="X33" s="1979"/>
      <c r="Y33" s="2586"/>
      <c r="Z33" s="1979"/>
      <c r="AA33" s="2586"/>
      <c r="AB33" s="1979"/>
      <c r="AC33" s="2023"/>
      <c r="AD33" s="1979"/>
      <c r="AE33" s="3160"/>
      <c r="AF33" s="3159"/>
      <c r="AG33" s="1979"/>
      <c r="AH33" s="1978"/>
      <c r="AI33" s="2583"/>
      <c r="AJ33" s="1978"/>
      <c r="AK33" s="2587"/>
      <c r="AL33" s="1634"/>
      <c r="AM33" s="2571"/>
    </row>
    <row r="34" spans="1:39">
      <c r="A34" s="2439"/>
      <c r="B34" s="2436" t="s">
        <v>930</v>
      </c>
      <c r="C34" s="2439"/>
      <c r="D34" s="2439"/>
      <c r="E34" s="1983"/>
      <c r="F34" s="1984"/>
      <c r="G34" s="1983"/>
      <c r="H34" s="1984"/>
      <c r="I34" s="1983"/>
      <c r="J34" s="1984"/>
      <c r="K34" s="1983"/>
      <c r="L34" s="1984"/>
      <c r="M34" s="1984"/>
      <c r="N34" s="1984"/>
      <c r="O34" s="1984"/>
      <c r="P34" s="1979"/>
      <c r="Q34" s="2586"/>
      <c r="R34" s="1979"/>
      <c r="S34" s="2586"/>
      <c r="T34" s="1979"/>
      <c r="U34" s="2586"/>
      <c r="V34" s="1979"/>
      <c r="W34" s="2586"/>
      <c r="X34" s="1979"/>
      <c r="Y34" s="2586"/>
      <c r="Z34" s="1979"/>
      <c r="AA34" s="2586"/>
      <c r="AB34" s="1979"/>
      <c r="AC34" s="2023"/>
      <c r="AD34" s="1979"/>
      <c r="AE34" s="3154"/>
      <c r="AF34" s="1961"/>
      <c r="AG34" s="1979"/>
      <c r="AH34" s="1978"/>
      <c r="AI34" s="2583"/>
      <c r="AJ34" s="1978"/>
      <c r="AK34" s="2580"/>
      <c r="AL34" s="1782"/>
    </row>
    <row r="35" spans="1:39">
      <c r="A35" s="2439"/>
      <c r="B35" s="2459" t="s">
        <v>1049</v>
      </c>
      <c r="C35" s="2478"/>
      <c r="D35" s="2439"/>
      <c r="E35" s="1983"/>
      <c r="F35" s="1984"/>
      <c r="G35" s="1983"/>
      <c r="H35" s="1984"/>
      <c r="I35" s="1983"/>
      <c r="J35" s="1984"/>
      <c r="K35" s="1983"/>
      <c r="L35" s="1984"/>
      <c r="M35" s="1984"/>
      <c r="N35" s="1984"/>
      <c r="O35" s="1984"/>
      <c r="P35" s="1979"/>
      <c r="Q35" s="2586"/>
      <c r="R35" s="1979"/>
      <c r="S35" s="2586"/>
      <c r="T35" s="1979"/>
      <c r="U35" s="2586"/>
      <c r="V35" s="1979"/>
      <c r="W35" s="2586"/>
      <c r="X35" s="1979"/>
      <c r="Y35" s="2586"/>
      <c r="Z35" s="1979"/>
      <c r="AA35" s="2586"/>
      <c r="AB35" s="1979"/>
      <c r="AC35" s="2023"/>
      <c r="AD35" s="1979"/>
      <c r="AE35" s="3157"/>
      <c r="AF35" s="1961"/>
      <c r="AG35" s="1979"/>
      <c r="AH35" s="1978"/>
      <c r="AI35" s="2583"/>
      <c r="AJ35" s="1978"/>
      <c r="AK35" s="2580"/>
      <c r="AL35" s="1782"/>
    </row>
    <row r="36" spans="1:39">
      <c r="A36" s="2439"/>
      <c r="B36" s="2459" t="s">
        <v>964</v>
      </c>
      <c r="C36" s="2478"/>
      <c r="D36" s="2439"/>
      <c r="E36" s="1984">
        <v>0</v>
      </c>
      <c r="F36" s="1984"/>
      <c r="G36" s="1984">
        <v>0</v>
      </c>
      <c r="H36" s="1984"/>
      <c r="I36" s="1984">
        <v>23</v>
      </c>
      <c r="J36" s="1984"/>
      <c r="K36" s="1984">
        <v>0</v>
      </c>
      <c r="L36" s="2579"/>
      <c r="M36" s="1984">
        <v>0</v>
      </c>
      <c r="N36" s="2579"/>
      <c r="O36" s="1984">
        <f>$AD36-$E36-$G36-$I36-$K36-$M36</f>
        <v>0</v>
      </c>
      <c r="P36" s="2579"/>
      <c r="Q36" s="1773"/>
      <c r="R36" s="2579"/>
      <c r="S36" s="1773"/>
      <c r="T36" s="2579"/>
      <c r="U36" s="1773"/>
      <c r="V36" s="2579"/>
      <c r="W36" s="1773"/>
      <c r="X36" s="2579"/>
      <c r="Y36" s="1773"/>
      <c r="Z36" s="2579"/>
      <c r="AA36" s="1773"/>
      <c r="AB36" s="1979"/>
      <c r="AC36" s="2023"/>
      <c r="AD36" s="1984">
        <v>23</v>
      </c>
      <c r="AE36" s="3157"/>
      <c r="AF36" s="1961"/>
      <c r="AG36" s="1984">
        <v>23</v>
      </c>
      <c r="AH36" s="1978"/>
      <c r="AI36" s="2583"/>
      <c r="AJ36" s="1979">
        <f t="shared" ref="AJ36:AJ59" si="2">ROUND(AD36-AG36,1)</f>
        <v>0</v>
      </c>
      <c r="AK36" s="2580"/>
      <c r="AL36" s="1634">
        <f>ROUND(IF(AG36=0,1,AJ36/ABS(AG36)),3)</f>
        <v>0</v>
      </c>
    </row>
    <row r="37" spans="1:39">
      <c r="A37" s="2439"/>
      <c r="B37" s="2459" t="s">
        <v>1050</v>
      </c>
      <c r="C37" s="2478"/>
      <c r="D37" s="2439"/>
      <c r="E37" s="1984" t="s">
        <v>14</v>
      </c>
      <c r="F37" s="1984"/>
      <c r="G37" s="1984" t="s">
        <v>14</v>
      </c>
      <c r="H37" s="1984"/>
      <c r="I37" s="1984"/>
      <c r="J37" s="1984"/>
      <c r="K37" s="1984"/>
      <c r="L37" s="2579"/>
      <c r="M37" s="1984"/>
      <c r="N37" s="2579"/>
      <c r="O37" s="1984"/>
      <c r="P37" s="2579"/>
      <c r="Q37" s="1773"/>
      <c r="R37" s="2579"/>
      <c r="S37" s="1773"/>
      <c r="T37" s="2579"/>
      <c r="U37" s="1773"/>
      <c r="V37" s="2579"/>
      <c r="W37" s="1773"/>
      <c r="X37" s="2579"/>
      <c r="Y37" s="1773"/>
      <c r="Z37" s="2579"/>
      <c r="AA37" s="1773"/>
      <c r="AB37" s="1979"/>
      <c r="AC37" s="2023"/>
      <c r="AD37" s="2586"/>
      <c r="AE37" s="3157"/>
      <c r="AF37" s="1961"/>
      <c r="AG37" s="2586"/>
      <c r="AH37" s="1978"/>
      <c r="AI37" s="2583"/>
      <c r="AJ37" s="1979"/>
      <c r="AK37" s="2580"/>
      <c r="AL37" s="1782"/>
    </row>
    <row r="38" spans="1:39">
      <c r="A38" s="2439"/>
      <c r="B38" s="2459" t="s">
        <v>965</v>
      </c>
      <c r="C38" s="2478"/>
      <c r="D38" s="2439"/>
      <c r="E38" s="1984">
        <v>10</v>
      </c>
      <c r="F38" s="1984"/>
      <c r="G38" s="1984">
        <v>7.6000000000000014</v>
      </c>
      <c r="H38" s="1984"/>
      <c r="I38" s="1984">
        <v>6</v>
      </c>
      <c r="J38" s="1984"/>
      <c r="K38" s="1984">
        <v>6.3999999999999986</v>
      </c>
      <c r="L38" s="2579"/>
      <c r="M38" s="1984">
        <v>6.1000000000000014</v>
      </c>
      <c r="N38" s="2579"/>
      <c r="O38" s="1984">
        <f>$AD38-$E38-$G38-$I38-$K38-$M38</f>
        <v>6</v>
      </c>
      <c r="P38" s="2579"/>
      <c r="Q38" s="1773"/>
      <c r="R38" s="2579"/>
      <c r="S38" s="1773"/>
      <c r="T38" s="2579"/>
      <c r="U38" s="1773"/>
      <c r="V38" s="2579"/>
      <c r="W38" s="1773"/>
      <c r="X38" s="2579"/>
      <c r="Y38" s="1773"/>
      <c r="Z38" s="2579"/>
      <c r="AA38" s="1773"/>
      <c r="AB38" s="1979"/>
      <c r="AC38" s="2023"/>
      <c r="AD38" s="1984">
        <v>42.1</v>
      </c>
      <c r="AE38" s="3157"/>
      <c r="AF38" s="1961"/>
      <c r="AG38" s="1984">
        <v>38.6</v>
      </c>
      <c r="AH38" s="1978"/>
      <c r="AI38" s="2583"/>
      <c r="AJ38" s="1979">
        <f t="shared" si="2"/>
        <v>3.5</v>
      </c>
      <c r="AK38" s="2580"/>
      <c r="AL38" s="1634">
        <f>ROUND(IF(AG38=0,0,AJ38/ABS(AG38)),3)</f>
        <v>9.0999999999999998E-2</v>
      </c>
    </row>
    <row r="39" spans="1:39">
      <c r="A39" s="2439"/>
      <c r="B39" s="2459" t="s">
        <v>1055</v>
      </c>
      <c r="C39" s="2478"/>
      <c r="D39" s="2439"/>
      <c r="E39" s="1984" t="s">
        <v>14</v>
      </c>
      <c r="F39" s="1984"/>
      <c r="G39" s="1984"/>
      <c r="H39" s="1984"/>
      <c r="I39" s="1984"/>
      <c r="J39" s="1984"/>
      <c r="K39" s="1984"/>
      <c r="L39" s="2579"/>
      <c r="M39" s="1984"/>
      <c r="N39" s="2579"/>
      <c r="O39" s="1984"/>
      <c r="P39" s="2579"/>
      <c r="Q39" s="1773"/>
      <c r="R39" s="2579"/>
      <c r="S39" s="1773"/>
      <c r="T39" s="2579"/>
      <c r="U39" s="1773"/>
      <c r="V39" s="2579"/>
      <c r="W39" s="1773"/>
      <c r="X39" s="2579"/>
      <c r="Y39" s="1773"/>
      <c r="Z39" s="2579"/>
      <c r="AA39" s="1773"/>
      <c r="AB39" s="1979"/>
      <c r="AC39" s="2023"/>
      <c r="AD39" s="2586"/>
      <c r="AE39" s="3157"/>
      <c r="AF39" s="1961"/>
      <c r="AG39" s="2586"/>
      <c r="AH39" s="1978"/>
      <c r="AI39" s="2583"/>
      <c r="AJ39" s="1979"/>
      <c r="AK39" s="2580"/>
      <c r="AL39" s="1782"/>
    </row>
    <row r="40" spans="1:39">
      <c r="A40" s="2439"/>
      <c r="B40" s="2459" t="s">
        <v>969</v>
      </c>
      <c r="C40" s="2478"/>
      <c r="D40" s="2439"/>
      <c r="E40" s="1984">
        <v>1.3</v>
      </c>
      <c r="F40" s="1984"/>
      <c r="G40" s="1984">
        <v>1.7</v>
      </c>
      <c r="H40" s="1984"/>
      <c r="I40" s="1984">
        <v>2.0999999999999996</v>
      </c>
      <c r="J40" s="1984"/>
      <c r="K40" s="1984">
        <v>1.4000000000000004</v>
      </c>
      <c r="L40" s="2579"/>
      <c r="M40" s="1984">
        <v>8.5</v>
      </c>
      <c r="N40" s="2579"/>
      <c r="O40" s="1984">
        <f t="shared" ref="O40:O59" si="3">$AD40-$E40-$G40-$I40-$K40-$M40</f>
        <v>7.4999999999999982</v>
      </c>
      <c r="P40" s="2579"/>
      <c r="Q40" s="1773"/>
      <c r="R40" s="2579"/>
      <c r="S40" s="1773"/>
      <c r="T40" s="2579"/>
      <c r="U40" s="1773"/>
      <c r="V40" s="2579"/>
      <c r="W40" s="1773"/>
      <c r="X40" s="2579"/>
      <c r="Y40" s="1773"/>
      <c r="Z40" s="2579"/>
      <c r="AA40" s="1773"/>
      <c r="AB40" s="1979"/>
      <c r="AC40" s="2023"/>
      <c r="AD40" s="1984">
        <v>22.5</v>
      </c>
      <c r="AE40" s="3157"/>
      <c r="AF40" s="1961"/>
      <c r="AG40" s="1984">
        <v>19.2</v>
      </c>
      <c r="AH40" s="1978"/>
      <c r="AI40" s="2583"/>
      <c r="AJ40" s="1979">
        <f t="shared" si="2"/>
        <v>3.3</v>
      </c>
      <c r="AK40" s="2580"/>
      <c r="AL40" s="1634">
        <f>ROUND(IF(AG40=0,0,AJ40/ABS(AG40)),3)</f>
        <v>0.17199999999999999</v>
      </c>
    </row>
    <row r="41" spans="1:39">
      <c r="A41" s="2439"/>
      <c r="B41" s="2459" t="s">
        <v>1112</v>
      </c>
      <c r="C41" s="2478"/>
      <c r="D41" s="2439"/>
      <c r="E41" s="1984">
        <v>0</v>
      </c>
      <c r="F41" s="1984"/>
      <c r="G41" s="1984">
        <v>0</v>
      </c>
      <c r="H41" s="1984"/>
      <c r="I41" s="1984">
        <v>0</v>
      </c>
      <c r="J41" s="1984"/>
      <c r="K41" s="1984">
        <v>0</v>
      </c>
      <c r="L41" s="2579"/>
      <c r="M41" s="1984">
        <v>0</v>
      </c>
      <c r="N41" s="2579"/>
      <c r="O41" s="1984">
        <f t="shared" si="3"/>
        <v>0</v>
      </c>
      <c r="P41" s="2579"/>
      <c r="Q41" s="1773"/>
      <c r="R41" s="2579"/>
      <c r="S41" s="1773"/>
      <c r="T41" s="2579"/>
      <c r="U41" s="1773"/>
      <c r="V41" s="2579"/>
      <c r="W41" s="1773"/>
      <c r="X41" s="2579"/>
      <c r="Y41" s="1773"/>
      <c r="Z41" s="2579"/>
      <c r="AA41" s="1773"/>
      <c r="AB41" s="1979"/>
      <c r="AC41" s="2023"/>
      <c r="AD41" s="1984">
        <v>0</v>
      </c>
      <c r="AE41" s="3163"/>
      <c r="AF41" s="1961"/>
      <c r="AG41" s="1984">
        <v>0</v>
      </c>
      <c r="AH41" s="1978"/>
      <c r="AI41" s="2583"/>
      <c r="AJ41" s="1979">
        <f>ROUND(AD41-AG41,1)</f>
        <v>0</v>
      </c>
      <c r="AK41" s="2580"/>
      <c r="AL41" s="1708">
        <f>ROUND(IF(AG41=0,0,AJ41/ABS(AG41)),3)</f>
        <v>0</v>
      </c>
    </row>
    <row r="42" spans="1:39">
      <c r="A42" s="2439"/>
      <c r="B42" s="2459" t="s">
        <v>972</v>
      </c>
      <c r="C42" s="2478"/>
      <c r="D42" s="2439"/>
      <c r="E42" s="1984">
        <v>79.2</v>
      </c>
      <c r="F42" s="1984"/>
      <c r="G42" s="1984">
        <v>69.100000000000009</v>
      </c>
      <c r="H42" s="1984"/>
      <c r="I42" s="1984">
        <v>60.59999999999998</v>
      </c>
      <c r="J42" s="1984"/>
      <c r="K42" s="1984">
        <v>66</v>
      </c>
      <c r="L42" s="2579"/>
      <c r="M42" s="1984">
        <v>58.999999999999986</v>
      </c>
      <c r="N42" s="2579"/>
      <c r="O42" s="1984">
        <f t="shared" si="3"/>
        <v>59.500000000000014</v>
      </c>
      <c r="P42" s="2579"/>
      <c r="Q42" s="1773"/>
      <c r="R42" s="2579"/>
      <c r="S42" s="1773"/>
      <c r="T42" s="2579"/>
      <c r="U42" s="1773"/>
      <c r="V42" s="2579"/>
      <c r="W42" s="1773"/>
      <c r="X42" s="2579"/>
      <c r="Y42" s="1773"/>
      <c r="Z42" s="2579"/>
      <c r="AA42" s="1773"/>
      <c r="AB42" s="1979"/>
      <c r="AC42" s="2023"/>
      <c r="AD42" s="3813">
        <v>393.4</v>
      </c>
      <c r="AE42" s="3157"/>
      <c r="AF42" s="1961"/>
      <c r="AG42" s="1984">
        <v>309.89999999999998</v>
      </c>
      <c r="AH42" s="1978"/>
      <c r="AI42" s="2583"/>
      <c r="AJ42" s="1979">
        <f t="shared" si="2"/>
        <v>83.5</v>
      </c>
      <c r="AK42" s="2580"/>
      <c r="AL42" s="1634">
        <f>ROUND(IF(AG42=0,0,AJ42/ABS(AG42)),3)</f>
        <v>0.26900000000000002</v>
      </c>
    </row>
    <row r="43" spans="1:39">
      <c r="A43" s="2439"/>
      <c r="B43" s="2459" t="s">
        <v>973</v>
      </c>
      <c r="C43" s="2478"/>
      <c r="D43" s="2439"/>
      <c r="E43" s="1984">
        <v>1.5</v>
      </c>
      <c r="F43" s="1984"/>
      <c r="G43" s="1984">
        <v>2.9000000000000004</v>
      </c>
      <c r="H43" s="1984"/>
      <c r="I43" s="1984">
        <v>1.4999999999999991</v>
      </c>
      <c r="J43" s="1984"/>
      <c r="K43" s="1984">
        <v>0.40000000000000036</v>
      </c>
      <c r="L43" s="2579"/>
      <c r="M43" s="1984">
        <v>0.40000000000000036</v>
      </c>
      <c r="N43" s="2579"/>
      <c r="O43" s="1984">
        <f t="shared" si="3"/>
        <v>10.199999999999999</v>
      </c>
      <c r="P43" s="2579"/>
      <c r="Q43" s="1773"/>
      <c r="R43" s="2579"/>
      <c r="S43" s="1773"/>
      <c r="T43" s="2579"/>
      <c r="U43" s="1773"/>
      <c r="V43" s="2579"/>
      <c r="W43" s="1773"/>
      <c r="X43" s="2579"/>
      <c r="Y43" s="1773"/>
      <c r="Z43" s="2579"/>
      <c r="AA43" s="1773"/>
      <c r="AB43" s="1979"/>
      <c r="AC43" s="2023"/>
      <c r="AD43" s="1984">
        <v>16.899999999999999</v>
      </c>
      <c r="AE43" s="3157"/>
      <c r="AF43" s="1961"/>
      <c r="AG43" s="1984">
        <v>19.2</v>
      </c>
      <c r="AH43" s="1978"/>
      <c r="AI43" s="2583"/>
      <c r="AJ43" s="1979">
        <f t="shared" si="2"/>
        <v>-2.2999999999999998</v>
      </c>
      <c r="AK43" s="2580"/>
      <c r="AL43" s="1713">
        <f>ROUND(IF(AG43=0,1,AJ43/ABS(AG43)),3)</f>
        <v>-0.12</v>
      </c>
    </row>
    <row r="44" spans="1:39">
      <c r="A44" s="2439"/>
      <c r="B44" s="2459" t="s">
        <v>931</v>
      </c>
      <c r="C44" s="2478"/>
      <c r="D44" s="2439"/>
      <c r="E44" s="1984">
        <v>2.5</v>
      </c>
      <c r="F44" s="1984"/>
      <c r="G44" s="1984">
        <v>0.80000000000000027</v>
      </c>
      <c r="H44" s="1984"/>
      <c r="I44" s="1984">
        <v>2.8000000000000003</v>
      </c>
      <c r="J44" s="1984"/>
      <c r="K44" s="1984">
        <v>1.9999999999999987</v>
      </c>
      <c r="L44" s="2579"/>
      <c r="M44" s="1984">
        <v>3.0999999999999992</v>
      </c>
      <c r="N44" s="2579"/>
      <c r="O44" s="1984">
        <f>$AD44-$E44-$G44-$I44-$K44-$M44</f>
        <v>1.4000000000000008</v>
      </c>
      <c r="P44" s="2579"/>
      <c r="Q44" s="1773"/>
      <c r="R44" s="2579"/>
      <c r="S44" s="1773"/>
      <c r="T44" s="2579"/>
      <c r="U44" s="1773"/>
      <c r="V44" s="2579"/>
      <c r="W44" s="1773"/>
      <c r="X44" s="2579"/>
      <c r="Y44" s="1773"/>
      <c r="Z44" s="2579"/>
      <c r="AA44" s="1773"/>
      <c r="AB44" s="1979"/>
      <c r="AC44" s="2023"/>
      <c r="AD44" s="1984">
        <v>12.6</v>
      </c>
      <c r="AE44" s="3157"/>
      <c r="AF44" s="1961"/>
      <c r="AG44" s="1984">
        <v>12.5</v>
      </c>
      <c r="AH44" s="1978"/>
      <c r="AI44" s="2583"/>
      <c r="AJ44" s="1979">
        <f t="shared" si="2"/>
        <v>0.1</v>
      </c>
      <c r="AK44" s="2580"/>
      <c r="AL44" s="1713">
        <f>ROUND(IF(AG44=0,1,AJ44/ABS(AG44)),3)</f>
        <v>8.0000000000000002E-3</v>
      </c>
    </row>
    <row r="45" spans="1:39">
      <c r="A45" s="2439"/>
      <c r="B45" s="2459" t="s">
        <v>932</v>
      </c>
      <c r="C45" s="2478"/>
      <c r="D45" s="2439"/>
      <c r="E45" s="1984">
        <v>0</v>
      </c>
      <c r="F45" s="1984"/>
      <c r="G45" s="1984">
        <v>0.1</v>
      </c>
      <c r="H45" s="1984"/>
      <c r="I45" s="1984">
        <v>0</v>
      </c>
      <c r="J45" s="1984"/>
      <c r="K45" s="1984">
        <v>0</v>
      </c>
      <c r="L45" s="2579"/>
      <c r="M45" s="1984">
        <v>0.1</v>
      </c>
      <c r="N45" s="2579"/>
      <c r="O45" s="1984">
        <f t="shared" si="3"/>
        <v>0</v>
      </c>
      <c r="P45" s="2579"/>
      <c r="Q45" s="1773"/>
      <c r="R45" s="2579"/>
      <c r="S45" s="1773"/>
      <c r="T45" s="2579"/>
      <c r="U45" s="1773"/>
      <c r="V45" s="2579"/>
      <c r="W45" s="1773"/>
      <c r="X45" s="2579"/>
      <c r="Y45" s="1773"/>
      <c r="Z45" s="2579"/>
      <c r="AA45" s="1773"/>
      <c r="AB45" s="1979"/>
      <c r="AC45" s="2023"/>
      <c r="AD45" s="1984">
        <v>0.2</v>
      </c>
      <c r="AE45" s="3157"/>
      <c r="AF45" s="1961"/>
      <c r="AG45" s="1984">
        <v>1.5</v>
      </c>
      <c r="AH45" s="1978"/>
      <c r="AI45" s="2583"/>
      <c r="AJ45" s="1979">
        <f t="shared" si="2"/>
        <v>-1.3</v>
      </c>
      <c r="AK45" s="2580"/>
      <c r="AL45" s="1708">
        <f>ROUND(IF(AG45=0,0,AJ45/ABS(AG45)),3)</f>
        <v>-0.86699999999999999</v>
      </c>
    </row>
    <row r="46" spans="1:39">
      <c r="A46" s="2439"/>
      <c r="B46" s="2459" t="s">
        <v>950</v>
      </c>
      <c r="C46" s="2478"/>
      <c r="D46" s="2439"/>
      <c r="E46" s="1984">
        <v>0</v>
      </c>
      <c r="F46" s="1984"/>
      <c r="G46" s="1984">
        <v>0</v>
      </c>
      <c r="H46" s="1984"/>
      <c r="I46" s="1984">
        <v>0</v>
      </c>
      <c r="J46" s="1984"/>
      <c r="K46" s="1984">
        <v>0</v>
      </c>
      <c r="L46" s="2579"/>
      <c r="M46" s="1984">
        <v>0.1</v>
      </c>
      <c r="N46" s="2579"/>
      <c r="O46" s="1984">
        <f t="shared" si="3"/>
        <v>0</v>
      </c>
      <c r="P46" s="2579"/>
      <c r="Q46" s="1773"/>
      <c r="R46" s="2579"/>
      <c r="S46" s="1773"/>
      <c r="T46" s="2579"/>
      <c r="U46" s="1773"/>
      <c r="V46" s="2579"/>
      <c r="W46" s="1773"/>
      <c r="X46" s="2579"/>
      <c r="Y46" s="1773"/>
      <c r="Z46" s="2579"/>
      <c r="AA46" s="1773"/>
      <c r="AB46" s="1979"/>
      <c r="AC46" s="2023"/>
      <c r="AD46" s="1984">
        <v>0.1</v>
      </c>
      <c r="AE46" s="3157"/>
      <c r="AF46" s="1961"/>
      <c r="AG46" s="1984">
        <v>0.4</v>
      </c>
      <c r="AH46" s="1978"/>
      <c r="AI46" s="2583"/>
      <c r="AJ46" s="1979">
        <f>ROUND(AD46-AG46,1)</f>
        <v>-0.3</v>
      </c>
      <c r="AK46" s="2580"/>
      <c r="AL46" s="1634">
        <f>ROUND(IF(AG46=0,0,AJ46/ABS(AG46)),3)</f>
        <v>-0.75</v>
      </c>
    </row>
    <row r="47" spans="1:39">
      <c r="A47" s="2439"/>
      <c r="B47" s="2459" t="s">
        <v>1053</v>
      </c>
      <c r="C47" s="2478"/>
      <c r="D47" s="2439"/>
      <c r="E47" s="1984" t="s">
        <v>14</v>
      </c>
      <c r="F47" s="1984"/>
      <c r="G47" s="1984"/>
      <c r="H47" s="1984"/>
      <c r="I47" s="1984"/>
      <c r="J47" s="1984"/>
      <c r="K47" s="1984"/>
      <c r="L47" s="2579"/>
      <c r="M47" s="1984"/>
      <c r="N47" s="2579"/>
      <c r="O47" s="1984"/>
      <c r="P47" s="2579"/>
      <c r="Q47" s="1773"/>
      <c r="R47" s="2579"/>
      <c r="S47" s="1773"/>
      <c r="T47" s="2579"/>
      <c r="U47" s="1773"/>
      <c r="V47" s="2579"/>
      <c r="W47" s="1773"/>
      <c r="X47" s="2579"/>
      <c r="Y47" s="1773"/>
      <c r="Z47" s="2579"/>
      <c r="AA47" s="1773"/>
      <c r="AB47" s="1979"/>
      <c r="AC47" s="2023"/>
      <c r="AD47" s="2586"/>
      <c r="AE47" s="3157"/>
      <c r="AF47" s="1961"/>
      <c r="AG47" s="2586"/>
      <c r="AH47" s="1978"/>
      <c r="AI47" s="2583"/>
      <c r="AJ47" s="1979"/>
      <c r="AK47" s="2580"/>
      <c r="AL47" s="1782"/>
    </row>
    <row r="48" spans="1:39">
      <c r="A48" s="2439"/>
      <c r="B48" s="2459" t="s">
        <v>977</v>
      </c>
      <c r="C48" s="2478"/>
      <c r="D48" s="2439"/>
      <c r="E48" s="1984">
        <v>78.399999999999991</v>
      </c>
      <c r="F48" s="1984"/>
      <c r="G48" s="1984">
        <v>0.50000000000001421</v>
      </c>
      <c r="H48" s="1984"/>
      <c r="I48" s="1984">
        <v>3</v>
      </c>
      <c r="J48" s="1984"/>
      <c r="K48" s="1984">
        <v>237</v>
      </c>
      <c r="L48" s="2579"/>
      <c r="M48" s="1984">
        <v>27.600000000000023</v>
      </c>
      <c r="N48" s="2579"/>
      <c r="O48" s="1984">
        <f t="shared" si="3"/>
        <v>328.1</v>
      </c>
      <c r="P48" s="2579"/>
      <c r="Q48" s="1773"/>
      <c r="R48" s="2579"/>
      <c r="S48" s="1773"/>
      <c r="T48" s="2579"/>
      <c r="U48" s="1773"/>
      <c r="V48" s="2579"/>
      <c r="W48" s="1773"/>
      <c r="X48" s="2579"/>
      <c r="Y48" s="1773"/>
      <c r="Z48" s="2579"/>
      <c r="AA48" s="1773"/>
      <c r="AB48" s="1979"/>
      <c r="AC48" s="2023"/>
      <c r="AD48" s="1984">
        <v>674.6</v>
      </c>
      <c r="AE48" s="3157"/>
      <c r="AF48" s="1961"/>
      <c r="AG48" s="1984">
        <v>2170.6</v>
      </c>
      <c r="AH48" s="1978"/>
      <c r="AI48" s="2583"/>
      <c r="AJ48" s="1979">
        <f t="shared" si="2"/>
        <v>-1496</v>
      </c>
      <c r="AK48" s="2580"/>
      <c r="AL48" s="3621">
        <f>ROUND(IF(AG48=0,0,AJ48/ABS(AG48)),3)</f>
        <v>-0.68899999999999995</v>
      </c>
    </row>
    <row r="49" spans="1:41" s="2589" customFormat="1">
      <c r="A49" s="3622"/>
      <c r="B49" s="2459" t="s">
        <v>979</v>
      </c>
      <c r="C49" s="2478"/>
      <c r="D49" s="2478"/>
      <c r="E49" s="1984">
        <v>0</v>
      </c>
      <c r="F49" s="1983"/>
      <c r="G49" s="1984">
        <v>0</v>
      </c>
      <c r="H49" s="1983"/>
      <c r="I49" s="1984">
        <v>0</v>
      </c>
      <c r="J49" s="1983"/>
      <c r="K49" s="1984">
        <v>0</v>
      </c>
      <c r="L49" s="2579"/>
      <c r="M49" s="1984">
        <v>0</v>
      </c>
      <c r="N49" s="2579"/>
      <c r="O49" s="1984">
        <f t="shared" si="3"/>
        <v>0</v>
      </c>
      <c r="P49" s="2579"/>
      <c r="Q49" s="1773"/>
      <c r="R49" s="2579"/>
      <c r="S49" s="1773"/>
      <c r="T49" s="2579"/>
      <c r="U49" s="1773"/>
      <c r="V49" s="2579"/>
      <c r="W49" s="1773"/>
      <c r="X49" s="2579"/>
      <c r="Y49" s="1773"/>
      <c r="Z49" s="2579"/>
      <c r="AA49" s="1773"/>
      <c r="AB49" s="1984"/>
      <c r="AC49" s="1985"/>
      <c r="AD49" s="1984">
        <v>0</v>
      </c>
      <c r="AE49" s="3164"/>
      <c r="AF49" s="2025"/>
      <c r="AG49" s="1984">
        <v>0</v>
      </c>
      <c r="AH49" s="2016"/>
      <c r="AI49" s="2583"/>
      <c r="AJ49" s="1984">
        <f t="shared" si="2"/>
        <v>0</v>
      </c>
      <c r="AK49" s="2588"/>
      <c r="AL49" s="1708">
        <f>ROUND(IF(AG49=0,0,AJ49/ABS(AG49)),3)</f>
        <v>0</v>
      </c>
    </row>
    <row r="50" spans="1:41">
      <c r="A50" s="2439"/>
      <c r="B50" s="2459" t="s">
        <v>980</v>
      </c>
      <c r="C50" s="2478"/>
      <c r="D50" s="2439"/>
      <c r="E50" s="1984">
        <v>0.5</v>
      </c>
      <c r="F50" s="1984"/>
      <c r="G50" s="1984">
        <v>2.5</v>
      </c>
      <c r="H50" s="1984"/>
      <c r="I50" s="1984">
        <v>0.79999999999999982</v>
      </c>
      <c r="J50" s="1984"/>
      <c r="K50" s="1984">
        <v>0</v>
      </c>
      <c r="L50" s="2579"/>
      <c r="M50" s="1984">
        <v>0</v>
      </c>
      <c r="N50" s="2579"/>
      <c r="O50" s="1984">
        <f t="shared" si="3"/>
        <v>0</v>
      </c>
      <c r="P50" s="2579"/>
      <c r="Q50" s="1773"/>
      <c r="R50" s="2579"/>
      <c r="S50" s="1773"/>
      <c r="T50" s="2579"/>
      <c r="U50" s="1773"/>
      <c r="V50" s="2579"/>
      <c r="W50" s="1773"/>
      <c r="X50" s="2579"/>
      <c r="Y50" s="1773"/>
      <c r="Z50" s="2579"/>
      <c r="AA50" s="1773"/>
      <c r="AB50" s="1979"/>
      <c r="AC50" s="2023"/>
      <c r="AD50" s="1984">
        <v>3.8</v>
      </c>
      <c r="AE50" s="3157"/>
      <c r="AF50" s="1961"/>
      <c r="AG50" s="1984">
        <v>1.3</v>
      </c>
      <c r="AH50" s="1978"/>
      <c r="AI50" s="2583"/>
      <c r="AJ50" s="1979">
        <f t="shared" si="2"/>
        <v>2.5</v>
      </c>
      <c r="AK50" s="2580"/>
      <c r="AL50" s="2590">
        <f>ROUND(IF(AG50=0,1,AJ50/ABS(AG50)),3)</f>
        <v>1.923</v>
      </c>
    </row>
    <row r="51" spans="1:41">
      <c r="A51" s="2439"/>
      <c r="B51" s="2459" t="s">
        <v>951</v>
      </c>
      <c r="C51" s="2478"/>
      <c r="D51" s="2439"/>
      <c r="E51" s="1984">
        <v>3.3</v>
      </c>
      <c r="F51" s="1984"/>
      <c r="G51" s="1984">
        <v>0.79999999999999982</v>
      </c>
      <c r="H51" s="1984"/>
      <c r="I51" s="1984">
        <v>1.4000000000000004</v>
      </c>
      <c r="J51" s="1984"/>
      <c r="K51" s="1984">
        <v>1.5999999999999996</v>
      </c>
      <c r="L51" s="2579"/>
      <c r="M51" s="1984">
        <v>1.2000000000000011</v>
      </c>
      <c r="N51" s="2579"/>
      <c r="O51" s="1984">
        <f t="shared" si="3"/>
        <v>1.5</v>
      </c>
      <c r="P51" s="2579"/>
      <c r="Q51" s="1773"/>
      <c r="R51" s="2579"/>
      <c r="S51" s="1773"/>
      <c r="T51" s="2579"/>
      <c r="U51" s="1773"/>
      <c r="V51" s="2579"/>
      <c r="W51" s="1773"/>
      <c r="X51" s="2579"/>
      <c r="Y51" s="1773"/>
      <c r="Z51" s="2579"/>
      <c r="AA51" s="1773"/>
      <c r="AB51" s="1979"/>
      <c r="AC51" s="2023"/>
      <c r="AD51" s="1984">
        <v>9.8000000000000007</v>
      </c>
      <c r="AE51" s="3157"/>
      <c r="AF51" s="1961"/>
      <c r="AG51" s="1984">
        <v>10.5</v>
      </c>
      <c r="AH51" s="1978"/>
      <c r="AI51" s="2583"/>
      <c r="AJ51" s="1979">
        <f t="shared" si="2"/>
        <v>-0.7</v>
      </c>
      <c r="AK51" s="2580"/>
      <c r="AL51" s="1634">
        <f>ROUND(IF(AG51=0,0,AJ51/ABS(AG51)),3)</f>
        <v>-6.7000000000000004E-2</v>
      </c>
    </row>
    <row r="52" spans="1:41">
      <c r="A52" s="2439"/>
      <c r="B52" s="2459" t="s">
        <v>1054</v>
      </c>
      <c r="C52" s="2478"/>
      <c r="D52" s="2439"/>
      <c r="E52" s="1984" t="s">
        <v>14</v>
      </c>
      <c r="F52" s="1984"/>
      <c r="G52" s="1984"/>
      <c r="H52" s="1984"/>
      <c r="I52" s="1984"/>
      <c r="J52" s="1984"/>
      <c r="K52" s="1984"/>
      <c r="L52" s="2579"/>
      <c r="M52" s="1984"/>
      <c r="N52" s="2579"/>
      <c r="O52" s="1984"/>
      <c r="P52" s="2579"/>
      <c r="Q52" s="1773"/>
      <c r="R52" s="2579"/>
      <c r="S52" s="1773"/>
      <c r="T52" s="2579"/>
      <c r="U52" s="1773"/>
      <c r="V52" s="2579"/>
      <c r="W52" s="1773"/>
      <c r="X52" s="2579"/>
      <c r="Y52" s="1773"/>
      <c r="Z52" s="2579"/>
      <c r="AA52" s="1773"/>
      <c r="AB52" s="1979"/>
      <c r="AC52" s="2023"/>
      <c r="AD52" s="2586"/>
      <c r="AE52" s="3157"/>
      <c r="AF52" s="1961"/>
      <c r="AG52" s="2586"/>
      <c r="AH52" s="1978"/>
      <c r="AI52" s="2583"/>
      <c r="AJ52" s="1979"/>
      <c r="AK52" s="2580"/>
      <c r="AL52" s="1782"/>
    </row>
    <row r="53" spans="1:41">
      <c r="A53" s="2439"/>
      <c r="B53" s="2459" t="s">
        <v>981</v>
      </c>
      <c r="C53" s="2478"/>
      <c r="D53" s="2439"/>
      <c r="E53" s="1984">
        <v>0</v>
      </c>
      <c r="F53" s="1983"/>
      <c r="G53" s="1984">
        <v>0</v>
      </c>
      <c r="H53" s="1984"/>
      <c r="I53" s="1984">
        <v>0</v>
      </c>
      <c r="J53" s="1984"/>
      <c r="K53" s="1984">
        <v>0</v>
      </c>
      <c r="L53" s="2579"/>
      <c r="M53" s="1984">
        <v>0</v>
      </c>
      <c r="N53" s="2579"/>
      <c r="O53" s="1984">
        <f t="shared" si="3"/>
        <v>0</v>
      </c>
      <c r="P53" s="2579"/>
      <c r="Q53" s="1773"/>
      <c r="R53" s="2579"/>
      <c r="S53" s="1773"/>
      <c r="T53" s="2579"/>
      <c r="U53" s="1773"/>
      <c r="V53" s="2579"/>
      <c r="W53" s="1773"/>
      <c r="X53" s="2579"/>
      <c r="Y53" s="1773"/>
      <c r="Z53" s="2579"/>
      <c r="AA53" s="1773"/>
      <c r="AB53" s="1979"/>
      <c r="AC53" s="2023"/>
      <c r="AD53" s="1984">
        <v>0</v>
      </c>
      <c r="AE53" s="3157"/>
      <c r="AF53" s="1961"/>
      <c r="AG53" s="1984">
        <v>0</v>
      </c>
      <c r="AH53" s="1978"/>
      <c r="AI53" s="2583"/>
      <c r="AJ53" s="1979">
        <f t="shared" si="2"/>
        <v>0</v>
      </c>
      <c r="AK53" s="2580"/>
      <c r="AL53" s="1634">
        <f>ROUND(IF(AG53=0,0,AJ53/ABS(AG53)),3)</f>
        <v>0</v>
      </c>
    </row>
    <row r="54" spans="1:41">
      <c r="A54" s="2439"/>
      <c r="B54" s="2459" t="s">
        <v>983</v>
      </c>
      <c r="C54" s="2478"/>
      <c r="D54" s="2439"/>
      <c r="E54" s="1984">
        <v>1.8</v>
      </c>
      <c r="F54" s="1983"/>
      <c r="G54" s="1984">
        <v>1.3</v>
      </c>
      <c r="H54" s="1984"/>
      <c r="I54" s="1984">
        <v>2.9000000000000004</v>
      </c>
      <c r="J54" s="1984"/>
      <c r="K54" s="1984">
        <v>0.40000000000000036</v>
      </c>
      <c r="L54" s="2579"/>
      <c r="M54" s="1984">
        <v>0</v>
      </c>
      <c r="N54" s="2579"/>
      <c r="O54" s="1984">
        <f t="shared" si="3"/>
        <v>1.1999999999999993</v>
      </c>
      <c r="P54" s="2579"/>
      <c r="Q54" s="1773"/>
      <c r="R54" s="2579"/>
      <c r="S54" s="1773"/>
      <c r="T54" s="2579"/>
      <c r="U54" s="1773"/>
      <c r="V54" s="2579"/>
      <c r="W54" s="1773"/>
      <c r="X54" s="2579"/>
      <c r="Y54" s="1773"/>
      <c r="Z54" s="2579"/>
      <c r="AA54" s="1773"/>
      <c r="AB54" s="1979"/>
      <c r="AC54" s="2023"/>
      <c r="AD54" s="1984">
        <v>7.6</v>
      </c>
      <c r="AE54" s="3157"/>
      <c r="AF54" s="1961"/>
      <c r="AG54" s="1984">
        <v>9.4</v>
      </c>
      <c r="AH54" s="1978"/>
      <c r="AI54" s="2583"/>
      <c r="AJ54" s="1979">
        <f t="shared" si="2"/>
        <v>-1.8</v>
      </c>
      <c r="AK54" s="2580"/>
      <c r="AL54" s="2179">
        <f>ROUND(IF(AG54=0,1,AJ54/ABS(AG54)),3)</f>
        <v>-0.191</v>
      </c>
    </row>
    <row r="55" spans="1:41">
      <c r="A55" s="2439"/>
      <c r="B55" s="2459" t="s">
        <v>984</v>
      </c>
      <c r="C55" s="2478"/>
      <c r="D55" s="2439"/>
      <c r="E55" s="1984">
        <v>0</v>
      </c>
      <c r="F55" s="1983"/>
      <c r="G55" s="1984">
        <v>0</v>
      </c>
      <c r="H55" s="1984"/>
      <c r="I55" s="1984">
        <v>0</v>
      </c>
      <c r="J55" s="1984"/>
      <c r="K55" s="1984">
        <v>0</v>
      </c>
      <c r="L55" s="2579"/>
      <c r="M55" s="1984">
        <v>0</v>
      </c>
      <c r="N55" s="2579"/>
      <c r="O55" s="1984">
        <f t="shared" si="3"/>
        <v>12.8</v>
      </c>
      <c r="P55" s="2579"/>
      <c r="Q55" s="1773"/>
      <c r="R55" s="2579"/>
      <c r="S55" s="1773"/>
      <c r="T55" s="2579"/>
      <c r="U55" s="1773"/>
      <c r="V55" s="2579"/>
      <c r="W55" s="1773"/>
      <c r="X55" s="2579"/>
      <c r="Y55" s="1773"/>
      <c r="Z55" s="2579"/>
      <c r="AA55" s="1773"/>
      <c r="AB55" s="1979"/>
      <c r="AC55" s="2023"/>
      <c r="AD55" s="1984">
        <v>12.8</v>
      </c>
      <c r="AE55" s="2165"/>
      <c r="AF55" s="1961"/>
      <c r="AG55" s="1984">
        <v>0</v>
      </c>
      <c r="AH55" s="1978"/>
      <c r="AI55" s="2583"/>
      <c r="AJ55" s="1979">
        <f t="shared" si="2"/>
        <v>12.8</v>
      </c>
      <c r="AK55" s="2580"/>
      <c r="AL55" s="1634">
        <f>ROUND(IF(AG55=0,1,AJ55/ABS(AG55)),3)</f>
        <v>1</v>
      </c>
    </row>
    <row r="56" spans="1:41">
      <c r="A56" s="2439"/>
      <c r="B56" s="2459" t="s">
        <v>986</v>
      </c>
      <c r="C56" s="2478"/>
      <c r="D56" s="2439"/>
      <c r="E56" s="1984">
        <v>0</v>
      </c>
      <c r="F56" s="1983"/>
      <c r="G56" s="1984">
        <v>0</v>
      </c>
      <c r="H56" s="1984"/>
      <c r="I56" s="1984">
        <v>0</v>
      </c>
      <c r="J56" s="1984"/>
      <c r="K56" s="1984">
        <v>0.1</v>
      </c>
      <c r="L56" s="2579"/>
      <c r="M56" s="1984">
        <v>-0.1</v>
      </c>
      <c r="N56" s="2579"/>
      <c r="O56" s="1984">
        <f t="shared" si="3"/>
        <v>0</v>
      </c>
      <c r="P56" s="2579"/>
      <c r="Q56" s="1773"/>
      <c r="R56" s="2579"/>
      <c r="S56" s="1773"/>
      <c r="T56" s="2579"/>
      <c r="U56" s="1773"/>
      <c r="V56" s="2579"/>
      <c r="W56" s="1773"/>
      <c r="X56" s="2579"/>
      <c r="Y56" s="1773"/>
      <c r="Z56" s="2579"/>
      <c r="AA56" s="1773"/>
      <c r="AB56" s="1979"/>
      <c r="AC56" s="2023"/>
      <c r="AD56" s="1984">
        <v>0</v>
      </c>
      <c r="AE56" s="3165"/>
      <c r="AF56" s="1961"/>
      <c r="AG56" s="1984">
        <v>0</v>
      </c>
      <c r="AH56" s="1978"/>
      <c r="AI56" s="2583"/>
      <c r="AJ56" s="1979">
        <f>ROUND(AD56-AG56,1)</f>
        <v>0</v>
      </c>
      <c r="AK56" s="2580"/>
      <c r="AL56" s="1634">
        <f>ROUND(IF(AG56=0,0,AJ56/ABS(AG56)),3)</f>
        <v>0</v>
      </c>
    </row>
    <row r="57" spans="1:41">
      <c r="A57" s="2439"/>
      <c r="B57" s="2459" t="s">
        <v>987</v>
      </c>
      <c r="C57" s="2478"/>
      <c r="D57" s="2439"/>
      <c r="E57" s="1984">
        <v>0.3</v>
      </c>
      <c r="F57" s="1983"/>
      <c r="G57" s="1984">
        <v>1.3</v>
      </c>
      <c r="H57" s="1984"/>
      <c r="I57" s="1984">
        <v>1.6000000000000003</v>
      </c>
      <c r="J57" s="1984"/>
      <c r="K57" s="1984">
        <v>5.8999999999999986</v>
      </c>
      <c r="L57" s="2579"/>
      <c r="M57" s="1984">
        <v>1.8999999999999995</v>
      </c>
      <c r="N57" s="2579"/>
      <c r="O57" s="1984">
        <f t="shared" si="3"/>
        <v>4.1000000000000005</v>
      </c>
      <c r="P57" s="2579"/>
      <c r="Q57" s="1773"/>
      <c r="R57" s="2579"/>
      <c r="S57" s="1773"/>
      <c r="T57" s="2579"/>
      <c r="U57" s="1773"/>
      <c r="V57" s="2579"/>
      <c r="W57" s="1773"/>
      <c r="X57" s="2579"/>
      <c r="Y57" s="1773"/>
      <c r="Z57" s="2579"/>
      <c r="AA57" s="1773"/>
      <c r="AB57" s="1979"/>
      <c r="AC57" s="2023"/>
      <c r="AD57" s="1984">
        <v>15.1</v>
      </c>
      <c r="AE57" s="3157"/>
      <c r="AF57" s="1961"/>
      <c r="AG57" s="1984">
        <v>5.7</v>
      </c>
      <c r="AH57" s="1978"/>
      <c r="AI57" s="2583"/>
      <c r="AJ57" s="1979">
        <f t="shared" si="2"/>
        <v>9.4</v>
      </c>
      <c r="AK57" s="2580"/>
      <c r="AL57" s="3621">
        <f>ROUND(IF(AG57=0,1,AJ57/ABS(AG57)),3)</f>
        <v>1.649</v>
      </c>
    </row>
    <row r="58" spans="1:41">
      <c r="A58" s="2439"/>
      <c r="B58" s="2459" t="s">
        <v>989</v>
      </c>
      <c r="C58" s="2478"/>
      <c r="D58" s="2439"/>
      <c r="E58" s="1984">
        <v>2.4</v>
      </c>
      <c r="F58" s="1983"/>
      <c r="G58" s="1984">
        <v>1.9</v>
      </c>
      <c r="H58" s="1984"/>
      <c r="I58" s="1984">
        <v>11.7</v>
      </c>
      <c r="J58" s="1984"/>
      <c r="K58" s="1984">
        <v>1</v>
      </c>
      <c r="L58" s="2579"/>
      <c r="M58" s="1984">
        <v>6.5000000000000036</v>
      </c>
      <c r="N58" s="2579"/>
      <c r="O58" s="1984">
        <f t="shared" si="3"/>
        <v>4.3999999999999986</v>
      </c>
      <c r="P58" s="2579"/>
      <c r="Q58" s="1773"/>
      <c r="R58" s="2579"/>
      <c r="S58" s="1773"/>
      <c r="T58" s="2579"/>
      <c r="U58" s="1773"/>
      <c r="V58" s="2579"/>
      <c r="W58" s="1773"/>
      <c r="X58" s="2579"/>
      <c r="Y58" s="1773"/>
      <c r="Z58" s="2579"/>
      <c r="AA58" s="1773"/>
      <c r="AB58" s="1979"/>
      <c r="AC58" s="2023"/>
      <c r="AD58" s="1790">
        <v>27.9</v>
      </c>
      <c r="AE58" s="3157"/>
      <c r="AF58" s="1961"/>
      <c r="AG58" s="1790">
        <v>28.7</v>
      </c>
      <c r="AH58" s="1978"/>
      <c r="AI58" s="2583"/>
      <c r="AJ58" s="1979">
        <f t="shared" si="2"/>
        <v>-0.8</v>
      </c>
      <c r="AK58" s="2580"/>
      <c r="AL58" s="2179">
        <f>ROUND(IF(AG58=0,0,AJ58/ABS(AG58)),3)</f>
        <v>-2.8000000000000001E-2</v>
      </c>
    </row>
    <row r="59" spans="1:41">
      <c r="A59" s="2439"/>
      <c r="B59" s="2459" t="s">
        <v>961</v>
      </c>
      <c r="C59" s="2478"/>
      <c r="D59" s="2439"/>
      <c r="E59" s="1984">
        <v>0.1</v>
      </c>
      <c r="F59" s="1983"/>
      <c r="G59" s="1984">
        <v>0</v>
      </c>
      <c r="H59" s="1984"/>
      <c r="I59" s="1984">
        <v>0</v>
      </c>
      <c r="J59" s="1984"/>
      <c r="K59" s="1984">
        <v>0</v>
      </c>
      <c r="L59" s="2579"/>
      <c r="M59" s="1984">
        <v>0.1</v>
      </c>
      <c r="N59" s="2579"/>
      <c r="O59" s="1984">
        <f t="shared" si="3"/>
        <v>9.9999999999999978E-2</v>
      </c>
      <c r="P59" s="2579"/>
      <c r="Q59" s="1773"/>
      <c r="R59" s="2579"/>
      <c r="S59" s="1773"/>
      <c r="T59" s="2579"/>
      <c r="U59" s="1773"/>
      <c r="V59" s="2579"/>
      <c r="W59" s="1773"/>
      <c r="X59" s="2579"/>
      <c r="Y59" s="1773"/>
      <c r="Z59" s="2579"/>
      <c r="AA59" s="1773"/>
      <c r="AB59" s="1979"/>
      <c r="AC59" s="2023"/>
      <c r="AD59" s="1790">
        <v>0.3</v>
      </c>
      <c r="AE59" s="3157"/>
      <c r="AF59" s="1961"/>
      <c r="AG59" s="1790">
        <v>0.1</v>
      </c>
      <c r="AH59" s="1978"/>
      <c r="AI59" s="2583"/>
      <c r="AJ59" s="1979">
        <f t="shared" si="2"/>
        <v>0.2</v>
      </c>
      <c r="AK59" s="2580"/>
      <c r="AL59" s="1778">
        <f>ROUND(IF(AG59=0,1,AJ59/ABS(AG59)),3)</f>
        <v>2</v>
      </c>
      <c r="AN59" s="2591"/>
    </row>
    <row r="60" spans="1:41" s="2594" customFormat="1" collapsed="1">
      <c r="A60" s="2526"/>
      <c r="B60" s="2447" t="s">
        <v>1093</v>
      </c>
      <c r="C60" s="2526"/>
      <c r="D60" s="2526"/>
      <c r="E60" s="1446">
        <f>ROUND(SUM(E34:E59),1)</f>
        <v>181.3</v>
      </c>
      <c r="F60" s="2034"/>
      <c r="G60" s="1446">
        <f>ROUND(SUM(G34:G59),1)</f>
        <v>90.5</v>
      </c>
      <c r="H60" s="2592"/>
      <c r="I60" s="1446">
        <f>ROUND(SUM(I34:I59),1)</f>
        <v>117.4</v>
      </c>
      <c r="J60" s="2034"/>
      <c r="K60" s="1446">
        <f>ROUND(SUM(K34:K59),1)</f>
        <v>322.2</v>
      </c>
      <c r="L60" s="1984"/>
      <c r="M60" s="1446">
        <f>ROUND(SUM(M34:M59),1)</f>
        <v>114.5</v>
      </c>
      <c r="N60" s="1984"/>
      <c r="O60" s="1446">
        <f>ROUND(SUM(O34:O59),1)</f>
        <v>436.8</v>
      </c>
      <c r="P60" s="1979"/>
      <c r="Q60" s="1446">
        <f>ROUND(SUM(Q34:Q59),1)</f>
        <v>0</v>
      </c>
      <c r="R60" s="1979"/>
      <c r="S60" s="1446">
        <f>ROUND(SUM(S34:S59),1)</f>
        <v>0</v>
      </c>
      <c r="T60" s="1979"/>
      <c r="U60" s="1446">
        <f>ROUND(SUM(U34:U59),1)</f>
        <v>0</v>
      </c>
      <c r="V60" s="1979"/>
      <c r="W60" s="1446">
        <f>ROUND(SUM(W34:W59),1)</f>
        <v>0</v>
      </c>
      <c r="X60" s="1979"/>
      <c r="Y60" s="1446">
        <f>ROUND(SUM(Y34:Y59),1)</f>
        <v>0</v>
      </c>
      <c r="Z60" s="1979"/>
      <c r="AA60" s="1446">
        <f>ROUND(SUM(AA34:AA59),1)</f>
        <v>0</v>
      </c>
      <c r="AB60" s="2034"/>
      <c r="AC60" s="2527"/>
      <c r="AD60" s="1446">
        <f>ROUND(SUM(AD34:AD59),1)</f>
        <v>1262.7</v>
      </c>
      <c r="AE60" s="3166"/>
      <c r="AF60" s="1448"/>
      <c r="AG60" s="1446">
        <f>ROUND(SUM(AG34:AG59),1)</f>
        <v>2650.6</v>
      </c>
      <c r="AH60" s="2585"/>
      <c r="AI60" s="2583"/>
      <c r="AJ60" s="1446">
        <f>ROUND(SUM(AJ34:AJ59),1)</f>
        <v>-1387.9</v>
      </c>
      <c r="AK60" s="2593"/>
      <c r="AL60" s="2180">
        <f>ROUND(IF(AG60=0,0,AJ60/ABS(AG60)),3)</f>
        <v>-0.52400000000000002</v>
      </c>
    </row>
    <row r="61" spans="1:41" s="2594" customFormat="1">
      <c r="A61" s="2526"/>
      <c r="B61" s="2447"/>
      <c r="C61" s="2526"/>
      <c r="D61" s="2526"/>
      <c r="E61" s="1448"/>
      <c r="F61" s="2034"/>
      <c r="G61" s="1448"/>
      <c r="H61" s="2592"/>
      <c r="I61" s="1448"/>
      <c r="J61" s="2034"/>
      <c r="K61" s="1448"/>
      <c r="L61" s="2579"/>
      <c r="M61" s="1773"/>
      <c r="N61" s="2579"/>
      <c r="O61" s="1773"/>
      <c r="P61" s="2579"/>
      <c r="Q61" s="1773"/>
      <c r="R61" s="2579"/>
      <c r="S61" s="1773"/>
      <c r="T61" s="2579"/>
      <c r="U61" s="1773"/>
      <c r="V61" s="2579"/>
      <c r="W61" s="1773"/>
      <c r="X61" s="2579"/>
      <c r="Y61" s="1773"/>
      <c r="Z61" s="2579"/>
      <c r="AA61" s="1773"/>
      <c r="AB61" s="2034"/>
      <c r="AC61" s="2527"/>
      <c r="AD61" s="1448"/>
      <c r="AE61" s="3167"/>
      <c r="AF61" s="1448"/>
      <c r="AG61" s="1448"/>
      <c r="AH61" s="2585"/>
      <c r="AI61" s="2583"/>
      <c r="AJ61" s="1448"/>
      <c r="AK61" s="2593"/>
      <c r="AL61" s="2595"/>
    </row>
    <row r="62" spans="1:41">
      <c r="A62" s="2439"/>
      <c r="B62" s="2439" t="s">
        <v>148</v>
      </c>
      <c r="C62" s="2439"/>
      <c r="D62" s="2439"/>
      <c r="E62" s="1984">
        <v>0</v>
      </c>
      <c r="F62" s="1984"/>
      <c r="G62" s="1984">
        <v>0</v>
      </c>
      <c r="H62" s="1984"/>
      <c r="I62" s="1984">
        <v>0</v>
      </c>
      <c r="J62" s="1984"/>
      <c r="K62" s="1984">
        <v>2.2999999999999998</v>
      </c>
      <c r="L62" s="2579"/>
      <c r="M62" s="1984">
        <v>2.2000000000000002</v>
      </c>
      <c r="N62" s="2579"/>
      <c r="O62" s="1984">
        <f t="shared" ref="O62" si="4">$AD62-$E62-$G62-$I62-$K62-$M62</f>
        <v>14.8</v>
      </c>
      <c r="P62" s="2579"/>
      <c r="Q62" s="1984"/>
      <c r="R62" s="2579"/>
      <c r="S62" s="1773"/>
      <c r="T62" s="2579"/>
      <c r="U62" s="1773"/>
      <c r="V62" s="2579"/>
      <c r="W62" s="1773"/>
      <c r="X62" s="2579"/>
      <c r="Y62" s="1773"/>
      <c r="Z62" s="2579"/>
      <c r="AA62" s="1773"/>
      <c r="AB62" s="1979"/>
      <c r="AC62" s="2023"/>
      <c r="AD62" s="1984">
        <v>19.3</v>
      </c>
      <c r="AE62" s="3154"/>
      <c r="AF62" s="1961"/>
      <c r="AG62" s="1984">
        <v>2.1</v>
      </c>
      <c r="AH62" s="1978"/>
      <c r="AI62" s="2573"/>
      <c r="AJ62" s="1979">
        <f>ROUND(AD62-AG62,1)</f>
        <v>17.2</v>
      </c>
      <c r="AK62" s="2580"/>
      <c r="AL62" s="1634">
        <f>ROUND(IF(AG62=0,1,AJ62/ABS(AG62)),3)</f>
        <v>8.19</v>
      </c>
    </row>
    <row r="63" spans="1:41">
      <c r="A63" s="2439"/>
      <c r="B63" s="2439"/>
      <c r="C63" s="2439"/>
      <c r="D63" s="2439"/>
      <c r="E63" s="2467"/>
      <c r="F63" s="1984"/>
      <c r="G63" s="2467"/>
      <c r="H63" s="1984"/>
      <c r="I63" s="2467"/>
      <c r="J63" s="1984"/>
      <c r="K63" s="2596"/>
      <c r="L63" s="2579"/>
      <c r="M63" s="2597"/>
      <c r="N63" s="2598"/>
      <c r="O63" s="2597"/>
      <c r="P63" s="2598"/>
      <c r="Q63" s="2597"/>
      <c r="R63" s="2598"/>
      <c r="S63" s="2597"/>
      <c r="T63" s="2598"/>
      <c r="U63" s="2597"/>
      <c r="V63" s="2598"/>
      <c r="W63" s="2597"/>
      <c r="X63" s="2598"/>
      <c r="Y63" s="2597"/>
      <c r="Z63" s="2598"/>
      <c r="AA63" s="2597"/>
      <c r="AB63" s="1979"/>
      <c r="AC63" s="2023"/>
      <c r="AD63" s="2035"/>
      <c r="AE63" s="3154"/>
      <c r="AF63" s="1961"/>
      <c r="AG63" s="2035"/>
      <c r="AH63" s="1961"/>
      <c r="AI63" s="2573"/>
      <c r="AJ63" s="2035"/>
      <c r="AK63" s="2571"/>
      <c r="AL63" s="2153"/>
    </row>
    <row r="64" spans="1:41">
      <c r="A64" s="2439"/>
      <c r="B64" s="2526" t="s">
        <v>195</v>
      </c>
      <c r="C64" s="2439"/>
      <c r="D64" s="2439"/>
      <c r="E64" s="2038">
        <f>ROUND(SUM(E32+E60+E62),1)</f>
        <v>266.10000000000002</v>
      </c>
      <c r="F64" s="2034"/>
      <c r="G64" s="2599">
        <f>ROUND(SUM(G32+G60+G62),1)</f>
        <v>183.1</v>
      </c>
      <c r="H64" s="2034"/>
      <c r="I64" s="2599">
        <f>ROUND(SUM(I32+I60+I62),1)</f>
        <v>248.5</v>
      </c>
      <c r="J64" s="2034"/>
      <c r="K64" s="2599">
        <f>ROUND(SUM(K32+K60+K62),1)</f>
        <v>437.4</v>
      </c>
      <c r="L64" s="2034"/>
      <c r="M64" s="1544">
        <f>ROUND(SUM(M32+M60+M62),1)</f>
        <v>231.7</v>
      </c>
      <c r="N64" s="1448"/>
      <c r="O64" s="1544">
        <f>ROUND(SUM(O32+O60+O62),1)</f>
        <v>583</v>
      </c>
      <c r="P64" s="1448"/>
      <c r="Q64" s="1544">
        <f>ROUND(SUM(Q32+Q60+Q62),1)</f>
        <v>0</v>
      </c>
      <c r="R64" s="1448"/>
      <c r="S64" s="1544">
        <f>ROUND(SUM(S32+S60+S62),1)</f>
        <v>0</v>
      </c>
      <c r="T64" s="1448"/>
      <c r="U64" s="1544">
        <f>ROUND(SUM(U32+U60+U62),1)</f>
        <v>0</v>
      </c>
      <c r="V64" s="1448"/>
      <c r="W64" s="1544">
        <f>ROUND(SUM(W32+W60+W62),1)</f>
        <v>0</v>
      </c>
      <c r="X64" s="1448"/>
      <c r="Y64" s="1544">
        <f>ROUND(SUM(Y32+Y60+Y62),1)</f>
        <v>0</v>
      </c>
      <c r="Z64" s="1448"/>
      <c r="AA64" s="1544">
        <f>ROUND(SUM(AA32+AA60+AA62),1)</f>
        <v>0</v>
      </c>
      <c r="AB64" s="2034"/>
      <c r="AC64" s="2527"/>
      <c r="AD64" s="1544">
        <f>ROUND(SUM(AD32+AD60+AD62),1)</f>
        <v>1949.8</v>
      </c>
      <c r="AE64" s="3166"/>
      <c r="AF64" s="1448"/>
      <c r="AG64" s="1544">
        <f>ROUND(SUM(AG32+AG60+AG62),1)</f>
        <v>3223.4</v>
      </c>
      <c r="AH64" s="2585"/>
      <c r="AI64" s="2573"/>
      <c r="AJ64" s="1544">
        <f>ROUND(SUM(AJ32+AJ60+AJ62),1)</f>
        <v>-1273.5999999999999</v>
      </c>
      <c r="AK64" s="2600"/>
      <c r="AL64" s="2601">
        <f>ROUND(IF(AG64=0,0,AJ64/ABS(AG64)),3)</f>
        <v>-0.39500000000000002</v>
      </c>
      <c r="AM64" s="2594"/>
      <c r="AO64" s="2618"/>
    </row>
    <row r="65" spans="1:41">
      <c r="A65" s="2439"/>
      <c r="B65" s="2439"/>
      <c r="C65" s="2439"/>
      <c r="D65" s="2439"/>
      <c r="E65" s="2025"/>
      <c r="F65" s="1984"/>
      <c r="G65" s="2467"/>
      <c r="H65" s="1984"/>
      <c r="I65" s="2467"/>
      <c r="J65" s="1984"/>
      <c r="K65" s="2467"/>
      <c r="L65" s="2579"/>
      <c r="M65" s="1773"/>
      <c r="N65" s="2579"/>
      <c r="O65" s="1773"/>
      <c r="P65" s="2579"/>
      <c r="Q65" s="1773"/>
      <c r="R65" s="2579"/>
      <c r="S65" s="1773"/>
      <c r="T65" s="2579"/>
      <c r="U65" s="1773"/>
      <c r="V65" s="2579"/>
      <c r="W65" s="1773"/>
      <c r="X65" s="2579"/>
      <c r="Y65" s="1773"/>
      <c r="Z65" s="2579"/>
      <c r="AA65" s="1773"/>
      <c r="AB65" s="2165"/>
      <c r="AC65" s="1961"/>
      <c r="AD65" s="2035"/>
      <c r="AE65" s="2165"/>
      <c r="AF65" s="1961"/>
      <c r="AG65" s="2035"/>
      <c r="AH65" s="1961"/>
      <c r="AI65" s="2573"/>
      <c r="AJ65" s="2574"/>
      <c r="AK65" s="2571"/>
      <c r="AL65" s="1782"/>
    </row>
    <row r="66" spans="1:41">
      <c r="A66" s="2439"/>
      <c r="B66" s="2526" t="s">
        <v>22</v>
      </c>
      <c r="C66" s="2439"/>
      <c r="D66" s="2439"/>
      <c r="E66" s="1984"/>
      <c r="F66" s="1984"/>
      <c r="G66" s="1984"/>
      <c r="H66" s="1984"/>
      <c r="I66" s="1984"/>
      <c r="J66" s="1984"/>
      <c r="K66" s="1984"/>
      <c r="L66" s="2579"/>
      <c r="M66" s="1773"/>
      <c r="N66" s="2579"/>
      <c r="O66" s="1773"/>
      <c r="P66" s="2579"/>
      <c r="Q66" s="1773"/>
      <c r="R66" s="2579"/>
      <c r="S66" s="1773"/>
      <c r="T66" s="2579"/>
      <c r="U66" s="1773"/>
      <c r="V66" s="2579"/>
      <c r="W66" s="1773"/>
      <c r="X66" s="2579"/>
      <c r="Y66" s="1773"/>
      <c r="Z66" s="2579"/>
      <c r="AA66" s="1773"/>
      <c r="AB66" s="2165"/>
      <c r="AC66" s="1961"/>
      <c r="AD66" s="1979"/>
      <c r="AE66" s="2165"/>
      <c r="AF66" s="1961"/>
      <c r="AG66" s="1979"/>
      <c r="AH66" s="1979"/>
      <c r="AI66" s="2573"/>
      <c r="AJ66" s="2574"/>
      <c r="AK66" s="2571"/>
      <c r="AL66" s="1782"/>
    </row>
    <row r="67" spans="1:41">
      <c r="A67" s="2439"/>
      <c r="B67" s="2439" t="s">
        <v>150</v>
      </c>
      <c r="C67" s="2439"/>
      <c r="D67" s="2439"/>
      <c r="E67" s="1984"/>
      <c r="F67" s="1984"/>
      <c r="G67" s="1984"/>
      <c r="H67" s="1984"/>
      <c r="I67" s="1984"/>
      <c r="J67" s="1984"/>
      <c r="K67" s="1984"/>
      <c r="L67" s="2579"/>
      <c r="M67" s="1773"/>
      <c r="N67" s="2579"/>
      <c r="O67" s="1773"/>
      <c r="P67" s="2579"/>
      <c r="Q67" s="1773"/>
      <c r="R67" s="2579"/>
      <c r="S67" s="1773"/>
      <c r="T67" s="2579"/>
      <c r="U67" s="1773"/>
      <c r="V67" s="2579"/>
      <c r="W67" s="1773"/>
      <c r="X67" s="2579"/>
      <c r="Y67" s="1773"/>
      <c r="Z67" s="2579"/>
      <c r="AA67" s="1773"/>
      <c r="AB67" s="1979"/>
      <c r="AC67" s="2023"/>
      <c r="AD67" s="1979"/>
      <c r="AE67" s="3154"/>
      <c r="AF67" s="1961"/>
      <c r="AG67" s="1979"/>
      <c r="AH67" s="1979"/>
      <c r="AI67" s="2573"/>
      <c r="AJ67" s="2574"/>
      <c r="AK67" s="2571"/>
      <c r="AL67" s="1782"/>
    </row>
    <row r="68" spans="1:41">
      <c r="A68" s="2439"/>
      <c r="B68" s="2439" t="s">
        <v>24</v>
      </c>
      <c r="C68" s="2439"/>
      <c r="D68" s="2439"/>
      <c r="E68" s="1984">
        <v>13.5</v>
      </c>
      <c r="F68" s="1984"/>
      <c r="G68" s="1984">
        <v>25</v>
      </c>
      <c r="H68" s="1984"/>
      <c r="I68" s="1984">
        <v>45.5</v>
      </c>
      <c r="J68" s="1984"/>
      <c r="K68" s="1984">
        <v>13</v>
      </c>
      <c r="L68" s="2579"/>
      <c r="M68" s="1984">
        <v>10.400000000000006</v>
      </c>
      <c r="N68" s="2579"/>
      <c r="O68" s="1984">
        <f t="shared" ref="O68:O70" si="5">$AD68-$E68-$G68-$I68-$K68-$M68</f>
        <v>8.2999999999999972</v>
      </c>
      <c r="P68" s="2579"/>
      <c r="Q68" s="1984"/>
      <c r="R68" s="2579"/>
      <c r="S68" s="1773"/>
      <c r="T68" s="2579"/>
      <c r="U68" s="1773"/>
      <c r="V68" s="2579"/>
      <c r="W68" s="1773"/>
      <c r="X68" s="2579"/>
      <c r="Y68" s="1773"/>
      <c r="Z68" s="2579"/>
      <c r="AA68" s="1773"/>
      <c r="AB68" s="1979"/>
      <c r="AC68" s="2023"/>
      <c r="AD68" s="1984">
        <v>115.7</v>
      </c>
      <c r="AE68" s="3154"/>
      <c r="AF68" s="1961"/>
      <c r="AG68" s="1984">
        <v>20.3</v>
      </c>
      <c r="AH68" s="1978"/>
      <c r="AI68" s="2583"/>
      <c r="AJ68" s="1979">
        <f t="shared" ref="AJ68:AJ77" si="6">ROUND(AD68-AG68,1)</f>
        <v>95.4</v>
      </c>
      <c r="AK68" s="2580"/>
      <c r="AL68" s="3621">
        <f>ROUND(IF(AG68=0,1,AJ68/ABS(AG68)),3)</f>
        <v>4.7</v>
      </c>
    </row>
    <row r="69" spans="1:41">
      <c r="A69" s="2439"/>
      <c r="B69" s="2439" t="s">
        <v>25</v>
      </c>
      <c r="C69" s="2439"/>
      <c r="D69" s="2439"/>
      <c r="E69" s="1984">
        <v>29</v>
      </c>
      <c r="F69" s="1984"/>
      <c r="G69" s="1984">
        <v>7.6000000000000014</v>
      </c>
      <c r="H69" s="1984"/>
      <c r="I69" s="1984">
        <v>15.699999999999996</v>
      </c>
      <c r="J69" s="1984"/>
      <c r="K69" s="1984">
        <v>15.299999999999997</v>
      </c>
      <c r="L69" s="2579"/>
      <c r="M69" s="1984">
        <v>31.799999999999997</v>
      </c>
      <c r="N69" s="2579"/>
      <c r="O69" s="1984">
        <f t="shared" si="5"/>
        <v>15.600000000000016</v>
      </c>
      <c r="P69" s="2579"/>
      <c r="Q69" s="1773"/>
      <c r="R69" s="2579"/>
      <c r="S69" s="1773"/>
      <c r="T69" s="2579"/>
      <c r="U69" s="1773"/>
      <c r="V69" s="2579"/>
      <c r="W69" s="1773"/>
      <c r="X69" s="2579"/>
      <c r="Y69" s="1773"/>
      <c r="Z69" s="2579"/>
      <c r="AA69" s="1773"/>
      <c r="AB69" s="1979"/>
      <c r="AC69" s="2023"/>
      <c r="AD69" s="1984">
        <v>115</v>
      </c>
      <c r="AE69" s="3154"/>
      <c r="AF69" s="1961"/>
      <c r="AG69" s="1984">
        <v>70.099999999999994</v>
      </c>
      <c r="AH69" s="1978"/>
      <c r="AI69" s="2583"/>
      <c r="AJ69" s="1979">
        <f t="shared" si="6"/>
        <v>44.9</v>
      </c>
      <c r="AK69" s="2580"/>
      <c r="AL69" s="1634">
        <f>ROUND(IF(AG69=0,0,AJ69/ABS(AG69)),3)</f>
        <v>0.64100000000000001</v>
      </c>
    </row>
    <row r="70" spans="1:41">
      <c r="A70" s="2439"/>
      <c r="B70" s="2439" t="s">
        <v>26</v>
      </c>
      <c r="C70" s="2439"/>
      <c r="D70" s="2439"/>
      <c r="E70" s="1984">
        <v>12.7</v>
      </c>
      <c r="F70" s="1984"/>
      <c r="G70" s="1984">
        <v>41.7</v>
      </c>
      <c r="H70" s="1984"/>
      <c r="I70" s="1984">
        <v>37.899999999999991</v>
      </c>
      <c r="J70" s="1984"/>
      <c r="K70" s="1984">
        <v>22.200000000000003</v>
      </c>
      <c r="L70" s="2579"/>
      <c r="M70" s="1984">
        <v>30.800000000000026</v>
      </c>
      <c r="N70" s="2579"/>
      <c r="O70" s="1984">
        <f t="shared" si="5"/>
        <v>59.899999999999991</v>
      </c>
      <c r="P70" s="2579"/>
      <c r="Q70" s="1773"/>
      <c r="R70" s="2579"/>
      <c r="S70" s="1773"/>
      <c r="T70" s="2579"/>
      <c r="U70" s="1773"/>
      <c r="V70" s="2579"/>
      <c r="W70" s="1773"/>
      <c r="X70" s="2579"/>
      <c r="Y70" s="1773"/>
      <c r="Z70" s="2579"/>
      <c r="AA70" s="1773"/>
      <c r="AB70" s="1979"/>
      <c r="AC70" s="2023"/>
      <c r="AD70" s="1984">
        <v>205.2</v>
      </c>
      <c r="AE70" s="3154"/>
      <c r="AF70" s="1961"/>
      <c r="AG70" s="1984">
        <v>206.5</v>
      </c>
      <c r="AH70" s="1978"/>
      <c r="AI70" s="2583"/>
      <c r="AJ70" s="1979">
        <f t="shared" si="6"/>
        <v>-1.3</v>
      </c>
      <c r="AK70" s="2580"/>
      <c r="AL70" s="1634">
        <f>ROUND(IF(AG70=0,0,AJ70/ABS(AG70)),3)</f>
        <v>-6.0000000000000001E-3</v>
      </c>
      <c r="AM70" s="2571"/>
    </row>
    <row r="71" spans="1:41">
      <c r="A71" s="2439"/>
      <c r="B71" s="2439" t="s">
        <v>27</v>
      </c>
      <c r="C71" s="2439"/>
      <c r="D71" s="2439"/>
      <c r="E71" s="1984" t="s">
        <v>14</v>
      </c>
      <c r="F71" s="1984"/>
      <c r="G71" s="1984"/>
      <c r="H71" s="1984"/>
      <c r="I71" s="1984"/>
      <c r="J71" s="1984"/>
      <c r="K71" s="1984"/>
      <c r="L71" s="2579"/>
      <c r="M71" s="1984"/>
      <c r="N71" s="2579"/>
      <c r="O71" s="1984"/>
      <c r="P71" s="2579"/>
      <c r="Q71" s="1773"/>
      <c r="R71" s="2579"/>
      <c r="S71" s="1773"/>
      <c r="T71" s="2579"/>
      <c r="U71" s="1773"/>
      <c r="V71" s="2579"/>
      <c r="W71" s="1773"/>
      <c r="X71" s="2579"/>
      <c r="Y71" s="1773"/>
      <c r="Z71" s="2579"/>
      <c r="AA71" s="1773"/>
      <c r="AB71" s="1979"/>
      <c r="AC71" s="2023"/>
      <c r="AD71" s="1984"/>
      <c r="AE71" s="3154"/>
      <c r="AF71" s="1961"/>
      <c r="AG71" s="1984"/>
      <c r="AH71" s="1979"/>
      <c r="AI71" s="2573"/>
      <c r="AJ71" s="1984"/>
      <c r="AK71" s="2580"/>
      <c r="AL71" s="1782"/>
      <c r="AM71" s="2571"/>
    </row>
    <row r="72" spans="1:41">
      <c r="A72" s="2439"/>
      <c r="B72" s="2439" t="s">
        <v>28</v>
      </c>
      <c r="C72" s="2526"/>
      <c r="D72" s="2439"/>
      <c r="E72" s="1984">
        <v>0</v>
      </c>
      <c r="F72" s="1984"/>
      <c r="G72" s="1984">
        <v>0</v>
      </c>
      <c r="H72" s="1984"/>
      <c r="I72" s="1984">
        <v>0</v>
      </c>
      <c r="J72" s="1984"/>
      <c r="K72" s="1984">
        <v>0</v>
      </c>
      <c r="L72" s="2579"/>
      <c r="M72" s="1984">
        <v>0</v>
      </c>
      <c r="N72" s="2579"/>
      <c r="O72" s="1984">
        <f t="shared" ref="O72:O77" si="7">$AD72-$E72-$G72-$I72-$K72-$M72</f>
        <v>0</v>
      </c>
      <c r="P72" s="2579"/>
      <c r="Q72" s="1773"/>
      <c r="R72" s="2579"/>
      <c r="S72" s="1773"/>
      <c r="T72" s="2579"/>
      <c r="U72" s="1773"/>
      <c r="V72" s="2579"/>
      <c r="W72" s="1773"/>
      <c r="X72" s="2579"/>
      <c r="Y72" s="1773"/>
      <c r="Z72" s="2579"/>
      <c r="AA72" s="1773"/>
      <c r="AB72" s="1979"/>
      <c r="AC72" s="2023"/>
      <c r="AD72" s="1984">
        <v>0</v>
      </c>
      <c r="AE72" s="3154"/>
      <c r="AF72" s="1961"/>
      <c r="AG72" s="1984">
        <v>0</v>
      </c>
      <c r="AH72" s="1979"/>
      <c r="AI72" s="2573"/>
      <c r="AJ72" s="1979">
        <f t="shared" si="6"/>
        <v>0</v>
      </c>
      <c r="AK72" s="2571"/>
      <c r="AL72" s="2179">
        <f>ROUND(IF(AG72=0,0,AJ72/ABS(AG72)),3)</f>
        <v>0</v>
      </c>
      <c r="AM72" s="2571"/>
    </row>
    <row r="73" spans="1:41">
      <c r="A73" s="2439"/>
      <c r="B73" s="2439" t="s">
        <v>29</v>
      </c>
      <c r="C73" s="2439"/>
      <c r="D73" s="2439"/>
      <c r="E73" s="1984">
        <v>45.1</v>
      </c>
      <c r="F73" s="1984"/>
      <c r="G73" s="1984">
        <v>29.699999999999996</v>
      </c>
      <c r="H73" s="1984"/>
      <c r="I73" s="1984">
        <v>77.200000000000017</v>
      </c>
      <c r="J73" s="1984"/>
      <c r="K73" s="1984">
        <v>41.699999999999989</v>
      </c>
      <c r="L73" s="2579"/>
      <c r="M73" s="1984">
        <v>35</v>
      </c>
      <c r="N73" s="2579"/>
      <c r="O73" s="1984">
        <f t="shared" si="7"/>
        <v>36.199999999999989</v>
      </c>
      <c r="P73" s="2579"/>
      <c r="Q73" s="1773"/>
      <c r="R73" s="2579"/>
      <c r="S73" s="1773"/>
      <c r="T73" s="2579"/>
      <c r="U73" s="1773"/>
      <c r="V73" s="2579"/>
      <c r="W73" s="1773"/>
      <c r="X73" s="2579"/>
      <c r="Y73" s="1773"/>
      <c r="Z73" s="2579"/>
      <c r="AA73" s="1773"/>
      <c r="AB73" s="1979"/>
      <c r="AC73" s="2023"/>
      <c r="AD73" s="1984">
        <v>264.89999999999998</v>
      </c>
      <c r="AE73" s="3154"/>
      <c r="AF73" s="1961"/>
      <c r="AG73" s="1984">
        <v>256.8</v>
      </c>
      <c r="AH73" s="1978"/>
      <c r="AI73" s="2583"/>
      <c r="AJ73" s="1979">
        <f t="shared" si="6"/>
        <v>8.1</v>
      </c>
      <c r="AK73" s="2580"/>
      <c r="AL73" s="1634">
        <f>ROUND(IF(AG73=0,0,AJ73/ABS(AG73)),3)</f>
        <v>3.2000000000000001E-2</v>
      </c>
    </row>
    <row r="74" spans="1:41">
      <c r="A74" s="2439"/>
      <c r="B74" s="2439" t="s">
        <v>30</v>
      </c>
      <c r="C74" s="2439"/>
      <c r="D74" s="2439"/>
      <c r="E74" s="1984">
        <v>0.4</v>
      </c>
      <c r="F74" s="1984"/>
      <c r="G74" s="1984">
        <v>1.8000000000000003</v>
      </c>
      <c r="H74" s="1984"/>
      <c r="I74" s="1984">
        <v>7.1</v>
      </c>
      <c r="J74" s="1984"/>
      <c r="K74" s="1984">
        <v>5.3999999999999986</v>
      </c>
      <c r="L74" s="2579"/>
      <c r="M74" s="1984">
        <v>2.2000000000000011</v>
      </c>
      <c r="N74" s="2579"/>
      <c r="O74" s="1984">
        <f t="shared" si="7"/>
        <v>0.70000000000000284</v>
      </c>
      <c r="P74" s="2579"/>
      <c r="Q74" s="1773"/>
      <c r="R74" s="2579"/>
      <c r="S74" s="1773"/>
      <c r="T74" s="2579"/>
      <c r="U74" s="1773"/>
      <c r="V74" s="2579"/>
      <c r="W74" s="1773"/>
      <c r="X74" s="2579"/>
      <c r="Y74" s="1773"/>
      <c r="Z74" s="2579"/>
      <c r="AA74" s="1773"/>
      <c r="AB74" s="1979"/>
      <c r="AC74" s="2023"/>
      <c r="AD74" s="1984">
        <v>17.600000000000001</v>
      </c>
      <c r="AE74" s="3154"/>
      <c r="AF74" s="1961"/>
      <c r="AG74" s="1984">
        <v>3</v>
      </c>
      <c r="AH74" s="1978"/>
      <c r="AI74" s="2583"/>
      <c r="AJ74" s="1979">
        <f t="shared" si="6"/>
        <v>14.6</v>
      </c>
      <c r="AK74" s="2580"/>
      <c r="AL74" s="1713">
        <f>ROUND(IF(AG74=0,1,AJ74/ABS(AG74)),3)</f>
        <v>4.867</v>
      </c>
      <c r="AM74" s="2571"/>
    </row>
    <row r="75" spans="1:41">
      <c r="A75" s="2439"/>
      <c r="B75" s="2439" t="s">
        <v>31</v>
      </c>
      <c r="C75" s="2439"/>
      <c r="D75" s="2439"/>
      <c r="E75" s="1984">
        <v>28.2</v>
      </c>
      <c r="F75" s="1984"/>
      <c r="G75" s="1984">
        <v>55.8</v>
      </c>
      <c r="H75" s="1984"/>
      <c r="I75" s="1984">
        <v>124.60000000000001</v>
      </c>
      <c r="J75" s="1984"/>
      <c r="K75" s="1984">
        <v>54.59999999999998</v>
      </c>
      <c r="L75" s="2579"/>
      <c r="M75" s="1984">
        <v>12.5</v>
      </c>
      <c r="N75" s="2579"/>
      <c r="O75" s="1984">
        <f t="shared" si="7"/>
        <v>39.400000000000034</v>
      </c>
      <c r="P75" s="2579"/>
      <c r="Q75" s="1773"/>
      <c r="R75" s="2579"/>
      <c r="S75" s="1773"/>
      <c r="T75" s="2579"/>
      <c r="U75" s="1773"/>
      <c r="V75" s="2579"/>
      <c r="W75" s="1773"/>
      <c r="X75" s="2579"/>
      <c r="Y75" s="1773"/>
      <c r="Z75" s="2579"/>
      <c r="AA75" s="1773"/>
      <c r="AB75" s="1979"/>
      <c r="AC75" s="2023"/>
      <c r="AD75" s="1984">
        <v>315.10000000000002</v>
      </c>
      <c r="AE75" s="3154"/>
      <c r="AF75" s="1961"/>
      <c r="AG75" s="1984">
        <v>342.7</v>
      </c>
      <c r="AH75" s="1979"/>
      <c r="AI75" s="2573"/>
      <c r="AJ75" s="1979">
        <f t="shared" si="6"/>
        <v>-27.6</v>
      </c>
      <c r="AK75" s="2580"/>
      <c r="AL75" s="1778">
        <f>ROUND(IF(AG75=0,1,AJ75/ABS(AG75)),3)</f>
        <v>-8.1000000000000003E-2</v>
      </c>
      <c r="AM75" s="2571"/>
    </row>
    <row r="76" spans="1:41">
      <c r="A76" s="2439"/>
      <c r="B76" s="2439" t="s">
        <v>32</v>
      </c>
      <c r="C76" s="2526"/>
      <c r="D76" s="2439"/>
      <c r="E76" s="1984">
        <v>21.200000000000003</v>
      </c>
      <c r="F76" s="1984"/>
      <c r="G76" s="1984">
        <v>54.3</v>
      </c>
      <c r="H76" s="1984"/>
      <c r="I76" s="1984">
        <v>147.19999999999999</v>
      </c>
      <c r="J76" s="1984"/>
      <c r="K76" s="1984">
        <v>39.5</v>
      </c>
      <c r="L76" s="2579"/>
      <c r="M76" s="1984">
        <v>33.199999999999989</v>
      </c>
      <c r="N76" s="2579"/>
      <c r="O76" s="1984">
        <f t="shared" si="7"/>
        <v>104.80000000000001</v>
      </c>
      <c r="P76" s="2579"/>
      <c r="Q76" s="1773"/>
      <c r="R76" s="2579"/>
      <c r="S76" s="1773"/>
      <c r="T76" s="2579"/>
      <c r="U76" s="1773"/>
      <c r="V76" s="2579"/>
      <c r="W76" s="1773"/>
      <c r="X76" s="2579"/>
      <c r="Y76" s="1773"/>
      <c r="Z76" s="2579"/>
      <c r="AA76" s="1773"/>
      <c r="AB76" s="1979"/>
      <c r="AC76" s="2023"/>
      <c r="AD76" s="1984">
        <v>400.2</v>
      </c>
      <c r="AE76" s="3154"/>
      <c r="AF76" s="1961"/>
      <c r="AG76" s="1984">
        <v>179.6</v>
      </c>
      <c r="AH76" s="1979"/>
      <c r="AI76" s="2573"/>
      <c r="AJ76" s="1979">
        <f t="shared" si="6"/>
        <v>220.6</v>
      </c>
      <c r="AK76" s="2571"/>
      <c r="AL76" s="1778">
        <f>ROUND(IF(AG76=0,0,AJ76/ABS(AG76)),3)</f>
        <v>1.228</v>
      </c>
      <c r="AM76" s="2571"/>
    </row>
    <row r="77" spans="1:41">
      <c r="A77" s="2439"/>
      <c r="B77" s="2439" t="s">
        <v>33</v>
      </c>
      <c r="C77" s="2439"/>
      <c r="D77" s="2439"/>
      <c r="E77" s="1984">
        <v>175.8</v>
      </c>
      <c r="F77" s="1984"/>
      <c r="G77" s="1984">
        <v>21</v>
      </c>
      <c r="H77" s="1984"/>
      <c r="I77" s="1984">
        <v>224.39999999999998</v>
      </c>
      <c r="J77" s="1984"/>
      <c r="K77" s="1984">
        <v>215.40000000000003</v>
      </c>
      <c r="L77" s="2579"/>
      <c r="M77" s="1984">
        <v>184.2</v>
      </c>
      <c r="N77" s="2579"/>
      <c r="O77" s="1984">
        <f t="shared" si="7"/>
        <v>285.10000000000014</v>
      </c>
      <c r="P77" s="2579"/>
      <c r="Q77" s="1773"/>
      <c r="R77" s="2579"/>
      <c r="S77" s="1773"/>
      <c r="T77" s="2579"/>
      <c r="U77" s="1773"/>
      <c r="V77" s="2579"/>
      <c r="W77" s="1773"/>
      <c r="X77" s="2579"/>
      <c r="Y77" s="1773"/>
      <c r="Z77" s="2579"/>
      <c r="AA77" s="1773"/>
      <c r="AB77" s="1979"/>
      <c r="AC77" s="2023"/>
      <c r="AD77" s="1984">
        <v>1105.9000000000001</v>
      </c>
      <c r="AE77" s="3154"/>
      <c r="AF77" s="1961"/>
      <c r="AG77" s="1984">
        <v>492.5</v>
      </c>
      <c r="AH77" s="1961"/>
      <c r="AI77" s="2573"/>
      <c r="AJ77" s="1979">
        <f t="shared" si="6"/>
        <v>613.4</v>
      </c>
      <c r="AK77" s="2580"/>
      <c r="AL77" s="2179">
        <f>ROUND(IF(AG77=0,0,AJ77/ABS(AG77)),3)</f>
        <v>1.2450000000000001</v>
      </c>
      <c r="AM77" s="2571" t="s">
        <v>14</v>
      </c>
      <c r="AN77" s="2553" t="s">
        <v>14</v>
      </c>
      <c r="AO77" s="2553" t="s">
        <v>14</v>
      </c>
    </row>
    <row r="78" spans="1:41">
      <c r="A78" s="2439"/>
      <c r="B78" s="2526" t="s">
        <v>196</v>
      </c>
      <c r="C78" s="2439"/>
      <c r="D78" s="2439"/>
      <c r="E78" s="2154">
        <f>ROUND(SUM(E68:E77),1)</f>
        <v>325.89999999999998</v>
      </c>
      <c r="F78" s="2034"/>
      <c r="G78" s="2154">
        <f>ROUND(SUM(G68:G77),1)</f>
        <v>236.9</v>
      </c>
      <c r="H78" s="2034"/>
      <c r="I78" s="2154">
        <f>ROUND(SUM(I68:I77),1)</f>
        <v>679.6</v>
      </c>
      <c r="J78" s="1448"/>
      <c r="K78" s="2154">
        <f>ROUND(SUM(K68:K77),1)</f>
        <v>407.1</v>
      </c>
      <c r="L78" s="2034"/>
      <c r="M78" s="2154">
        <f>ROUND(SUM(M68:M77),1)</f>
        <v>340.1</v>
      </c>
      <c r="N78" s="1448"/>
      <c r="O78" s="2154">
        <f>ROUND(SUM(O68:O77),1)</f>
        <v>550</v>
      </c>
      <c r="P78" s="2034"/>
      <c r="Q78" s="2154">
        <f>ROUND(SUM(Q68:Q77),1)</f>
        <v>0</v>
      </c>
      <c r="R78" s="2034"/>
      <c r="S78" s="2154">
        <f>ROUND(SUM(S68:S77),1)</f>
        <v>0</v>
      </c>
      <c r="T78" s="2034"/>
      <c r="U78" s="2154">
        <f>ROUND(SUM(U68:U77),1)</f>
        <v>0</v>
      </c>
      <c r="V78" s="2034"/>
      <c r="W78" s="2154">
        <f>ROUND(SUM(W68:W77),1)</f>
        <v>0</v>
      </c>
      <c r="X78" s="2034"/>
      <c r="Y78" s="2154">
        <f>ROUND(SUM(Y68:Y77),1)</f>
        <v>0</v>
      </c>
      <c r="Z78" s="2034"/>
      <c r="AA78" s="2154">
        <f>ROUND(SUM(AA68:AA77),1)</f>
        <v>0</v>
      </c>
      <c r="AB78" s="2034"/>
      <c r="AC78" s="2527"/>
      <c r="AD78" s="2154">
        <f>ROUND(SUM(AD68:AD77),1)</f>
        <v>2539.6</v>
      </c>
      <c r="AE78" s="3166"/>
      <c r="AF78" s="1448"/>
      <c r="AG78" s="2154">
        <f>ROUND(SUM(AG68:AG77),1)</f>
        <v>1571.5</v>
      </c>
      <c r="AH78" s="1448"/>
      <c r="AI78" s="2573"/>
      <c r="AJ78" s="2154">
        <f>ROUND(SUM(AJ68:AJ77),1)</f>
        <v>968.1</v>
      </c>
      <c r="AK78" s="2602"/>
      <c r="AL78" s="2180">
        <f>ROUND(IF(AG78=0,0,AJ78/ABS(AG78)),3)</f>
        <v>0.61599999999999999</v>
      </c>
      <c r="AO78" s="2618"/>
    </row>
    <row r="79" spans="1:41">
      <c r="A79" s="2439"/>
      <c r="B79" s="2439" t="s">
        <v>197</v>
      </c>
      <c r="C79" s="2439"/>
      <c r="D79" s="2439"/>
      <c r="E79" s="1984"/>
      <c r="F79" s="1984"/>
      <c r="G79" s="1984"/>
      <c r="H79" s="1984"/>
      <c r="I79" s="1984"/>
      <c r="J79" s="1984"/>
      <c r="K79" s="1984"/>
      <c r="L79" s="1979"/>
      <c r="M79" s="1979"/>
      <c r="N79" s="1979"/>
      <c r="O79" s="1979"/>
      <c r="P79" s="1979"/>
      <c r="Q79" s="1979"/>
      <c r="R79" s="1979"/>
      <c r="S79" s="1979"/>
      <c r="T79" s="1979"/>
      <c r="U79" s="1979"/>
      <c r="V79" s="1979"/>
      <c r="W79" s="1979"/>
      <c r="X79" s="1979"/>
      <c r="Y79" s="1979"/>
      <c r="Z79" s="1979"/>
      <c r="AA79" s="1979"/>
      <c r="AB79" s="1979"/>
      <c r="AC79" s="2023"/>
      <c r="AD79" s="1979"/>
      <c r="AE79" s="3154"/>
      <c r="AF79" s="1961"/>
      <c r="AG79" s="1979"/>
      <c r="AH79" s="1979"/>
      <c r="AI79" s="2573"/>
      <c r="AJ79" s="2574"/>
      <c r="AK79" s="2571"/>
      <c r="AL79" s="1782"/>
    </row>
    <row r="80" spans="1:41">
      <c r="A80" s="2439"/>
      <c r="B80" s="2439" t="s">
        <v>198</v>
      </c>
      <c r="C80" s="2439"/>
      <c r="D80" s="2439"/>
      <c r="E80" s="1984">
        <v>0</v>
      </c>
      <c r="F80" s="1984"/>
      <c r="G80" s="1984">
        <v>0</v>
      </c>
      <c r="H80" s="1984"/>
      <c r="I80" s="1984">
        <v>0</v>
      </c>
      <c r="J80" s="1984"/>
      <c r="K80" s="1984">
        <v>0</v>
      </c>
      <c r="L80" s="2579"/>
      <c r="M80" s="1984">
        <v>0</v>
      </c>
      <c r="N80" s="2579"/>
      <c r="O80" s="1984">
        <f t="shared" ref="O80:O83" si="8">$AD80-$E80-$G80-$I80-$K80-$M80</f>
        <v>0</v>
      </c>
      <c r="P80" s="2579"/>
      <c r="Q80" s="1773"/>
      <c r="R80" s="2579"/>
      <c r="S80" s="1773"/>
      <c r="T80" s="2579"/>
      <c r="U80" s="1773"/>
      <c r="V80" s="2579"/>
      <c r="W80" s="1773"/>
      <c r="X80" s="2579"/>
      <c r="Y80" s="1773"/>
      <c r="Z80" s="2579"/>
      <c r="AA80" s="1773"/>
      <c r="AB80" s="1979"/>
      <c r="AC80" s="2023"/>
      <c r="AD80" s="1984">
        <v>0</v>
      </c>
      <c r="AE80" s="3154"/>
      <c r="AF80" s="1961"/>
      <c r="AG80" s="1984">
        <v>0</v>
      </c>
      <c r="AH80" s="2603"/>
      <c r="AI80" s="2604"/>
      <c r="AJ80" s="1979">
        <f>ROUND(AD80-AG80,1)</f>
        <v>0</v>
      </c>
      <c r="AK80" s="2571"/>
      <c r="AL80" s="1634">
        <f>ROUND(IF(AG80=0,0,AJ80/ABS(AG80)),3)</f>
        <v>0</v>
      </c>
    </row>
    <row r="81" spans="1:41">
      <c r="A81" s="2439"/>
      <c r="B81" s="2439" t="s">
        <v>199</v>
      </c>
      <c r="C81" s="2439"/>
      <c r="D81" s="2439"/>
      <c r="E81" s="1984">
        <v>0</v>
      </c>
      <c r="F81" s="1984"/>
      <c r="G81" s="1984">
        <v>0</v>
      </c>
      <c r="H81" s="1984"/>
      <c r="I81" s="1984">
        <v>0</v>
      </c>
      <c r="J81" s="1984"/>
      <c r="K81" s="1984">
        <v>0</v>
      </c>
      <c r="L81" s="2579"/>
      <c r="M81" s="1984">
        <v>0</v>
      </c>
      <c r="N81" s="2579"/>
      <c r="O81" s="1984">
        <f t="shared" si="8"/>
        <v>0</v>
      </c>
      <c r="P81" s="2579"/>
      <c r="Q81" s="1773"/>
      <c r="R81" s="2579"/>
      <c r="S81" s="1773"/>
      <c r="T81" s="2579"/>
      <c r="U81" s="1773"/>
      <c r="V81" s="2579"/>
      <c r="W81" s="1773"/>
      <c r="X81" s="2579"/>
      <c r="Y81" s="1773"/>
      <c r="Z81" s="2579"/>
      <c r="AA81" s="1773"/>
      <c r="AB81" s="1979"/>
      <c r="AC81" s="2023"/>
      <c r="AD81" s="3813">
        <v>0</v>
      </c>
      <c r="AE81" s="3154"/>
      <c r="AF81" s="1961"/>
      <c r="AG81" s="1984">
        <v>0</v>
      </c>
      <c r="AH81" s="2603"/>
      <c r="AI81" s="2604"/>
      <c r="AJ81" s="1979">
        <f>ROUND(AD81-AG81,1)</f>
        <v>0</v>
      </c>
      <c r="AK81" s="2571"/>
      <c r="AL81" s="1634">
        <f>ROUND(IF(AG81=0,0,AJ81/ABS(AG81)),3)</f>
        <v>0</v>
      </c>
    </row>
    <row r="82" spans="1:41">
      <c r="A82" s="2439"/>
      <c r="B82" s="2439" t="s">
        <v>200</v>
      </c>
      <c r="C82" s="2439"/>
      <c r="D82" s="2439"/>
      <c r="E82" s="1984">
        <v>0</v>
      </c>
      <c r="F82" s="1984"/>
      <c r="G82" s="1984">
        <v>0</v>
      </c>
      <c r="H82" s="1984"/>
      <c r="I82" s="1984">
        <v>0</v>
      </c>
      <c r="J82" s="1984"/>
      <c r="K82" s="1984">
        <v>0</v>
      </c>
      <c r="L82" s="2579"/>
      <c r="M82" s="1984">
        <v>0</v>
      </c>
      <c r="N82" s="2579"/>
      <c r="O82" s="1984">
        <f t="shared" si="8"/>
        <v>0</v>
      </c>
      <c r="P82" s="2579"/>
      <c r="Q82" s="1773"/>
      <c r="R82" s="2579"/>
      <c r="S82" s="1773"/>
      <c r="T82" s="2579"/>
      <c r="U82" s="1773"/>
      <c r="V82" s="2579"/>
      <c r="W82" s="1773"/>
      <c r="X82" s="2579"/>
      <c r="Y82" s="1773"/>
      <c r="Z82" s="2579"/>
      <c r="AA82" s="1773"/>
      <c r="AB82" s="2605"/>
      <c r="AC82" s="2606"/>
      <c r="AD82" s="1984">
        <v>0</v>
      </c>
      <c r="AE82" s="3154"/>
      <c r="AF82" s="1961"/>
      <c r="AG82" s="1984">
        <v>0</v>
      </c>
      <c r="AH82" s="2603"/>
      <c r="AI82" s="2604"/>
      <c r="AJ82" s="1979">
        <f>ROUND(AD82-AG82,1)</f>
        <v>0</v>
      </c>
      <c r="AK82" s="2571"/>
      <c r="AL82" s="1634">
        <f>ROUND(IF(AG82=0,0,AJ82/ABS(AG82)),3)</f>
        <v>0</v>
      </c>
    </row>
    <row r="83" spans="1:41">
      <c r="A83" s="2439"/>
      <c r="B83" s="3623" t="s">
        <v>171</v>
      </c>
      <c r="C83" s="2439"/>
      <c r="D83" s="2439"/>
      <c r="E83" s="1984">
        <v>351.1</v>
      </c>
      <c r="F83" s="1984"/>
      <c r="G83" s="1984">
        <v>407.1</v>
      </c>
      <c r="H83" s="1984"/>
      <c r="I83" s="1984">
        <v>463.40000000000009</v>
      </c>
      <c r="J83" s="1984"/>
      <c r="K83" s="1984">
        <v>418.5999999999998</v>
      </c>
      <c r="L83" s="2579"/>
      <c r="M83" s="1984">
        <v>558.4000000000002</v>
      </c>
      <c r="N83" s="2579"/>
      <c r="O83" s="1984">
        <f t="shared" si="8"/>
        <v>547.0999999999998</v>
      </c>
      <c r="P83" s="2579"/>
      <c r="Q83" s="1773"/>
      <c r="R83" s="2579"/>
      <c r="S83" s="1773"/>
      <c r="T83" s="2579"/>
      <c r="U83" s="1773"/>
      <c r="V83" s="2579"/>
      <c r="W83" s="1773"/>
      <c r="X83" s="2579"/>
      <c r="Y83" s="1773"/>
      <c r="Z83" s="2579"/>
      <c r="AA83" s="1773"/>
      <c r="AB83" s="1979"/>
      <c r="AC83" s="2023"/>
      <c r="AD83" s="3168">
        <v>2745.7</v>
      </c>
      <c r="AE83" s="3154"/>
      <c r="AF83" s="1961"/>
      <c r="AG83" s="3168">
        <v>2934.1</v>
      </c>
      <c r="AH83" s="2607"/>
      <c r="AI83" s="2583"/>
      <c r="AJ83" s="2608">
        <f>ROUND(AD83-AG83,1)</f>
        <v>-188.4</v>
      </c>
      <c r="AK83" s="2571"/>
      <c r="AL83" s="2581">
        <f>ROUND(IF(AG83=0,0,AJ83/ABS(AG83)),3)</f>
        <v>-6.4000000000000001E-2</v>
      </c>
      <c r="AM83" s="2553" t="s">
        <v>14</v>
      </c>
      <c r="AN83" s="3153" t="s">
        <v>14</v>
      </c>
    </row>
    <row r="84" spans="1:41">
      <c r="A84" s="2439"/>
      <c r="B84" s="2439"/>
      <c r="C84" s="2439"/>
      <c r="D84" s="2439"/>
      <c r="E84" s="2467"/>
      <c r="F84" s="1984"/>
      <c r="G84" s="2467"/>
      <c r="H84" s="1984"/>
      <c r="I84" s="2467"/>
      <c r="J84" s="1984"/>
      <c r="K84" s="2467"/>
      <c r="L84" s="1979"/>
      <c r="M84" s="2035"/>
      <c r="N84" s="1979"/>
      <c r="O84" s="2035"/>
      <c r="P84" s="1979"/>
      <c r="Q84" s="2035"/>
      <c r="R84" s="1979"/>
      <c r="S84" s="2035"/>
      <c r="T84" s="1979"/>
      <c r="U84" s="2035"/>
      <c r="V84" s="1979"/>
      <c r="W84" s="2035"/>
      <c r="X84" s="1979"/>
      <c r="Y84" s="2035"/>
      <c r="Z84" s="1979"/>
      <c r="AA84" s="2035"/>
      <c r="AB84" s="1979"/>
      <c r="AC84" s="2023"/>
      <c r="AD84" s="2574"/>
      <c r="AE84" s="3154"/>
      <c r="AF84" s="1961"/>
      <c r="AG84" s="2574"/>
      <c r="AH84" s="2574"/>
      <c r="AI84" s="2609"/>
      <c r="AJ84" s="2574"/>
      <c r="AK84" s="2571"/>
      <c r="AL84" s="1782"/>
    </row>
    <row r="85" spans="1:41">
      <c r="A85" s="2439"/>
      <c r="B85" s="2526" t="s">
        <v>201</v>
      </c>
      <c r="C85" s="2439"/>
      <c r="D85" s="2439"/>
      <c r="E85" s="2034">
        <f>ROUND(SUM(E78:E83),1)</f>
        <v>677</v>
      </c>
      <c r="F85" s="2034"/>
      <c r="G85" s="2034">
        <f>ROUND(SUM(G78:G83),1)</f>
        <v>644</v>
      </c>
      <c r="H85" s="2034"/>
      <c r="I85" s="2034">
        <f>ROUND(SUM(I78:I83),1)</f>
        <v>1143</v>
      </c>
      <c r="J85" s="2034"/>
      <c r="K85" s="2034">
        <f>ROUND(SUM(K78:K83),1)</f>
        <v>825.7</v>
      </c>
      <c r="L85" s="2034"/>
      <c r="M85" s="2034">
        <f>ROUND(SUM(M78:M83),1)</f>
        <v>898.5</v>
      </c>
      <c r="N85" s="2034"/>
      <c r="O85" s="2034">
        <f>ROUND(SUM(O78:O83),1)</f>
        <v>1097.0999999999999</v>
      </c>
      <c r="P85" s="2034"/>
      <c r="Q85" s="2034">
        <f>ROUND(SUM(Q78:Q83),1)</f>
        <v>0</v>
      </c>
      <c r="R85" s="2034"/>
      <c r="S85" s="2034">
        <f>ROUND(SUM(S78:S83),1)</f>
        <v>0</v>
      </c>
      <c r="T85" s="2034"/>
      <c r="U85" s="2034">
        <f>ROUND(SUM(U78:U83),1)</f>
        <v>0</v>
      </c>
      <c r="V85" s="2034"/>
      <c r="W85" s="2034">
        <f>ROUND(SUM(W78:W83),1)</f>
        <v>0</v>
      </c>
      <c r="X85" s="2034"/>
      <c r="Y85" s="2034">
        <f>ROUND(SUM(Y78:Y83),1)</f>
        <v>0</v>
      </c>
      <c r="Z85" s="2034"/>
      <c r="AA85" s="2034">
        <f>ROUND(SUM(AA78:AA83),1)</f>
        <v>0</v>
      </c>
      <c r="AB85" s="2034"/>
      <c r="AC85" s="2527"/>
      <c r="AD85" s="2034">
        <f>ROUND(SUM(AD78:AD83),1)</f>
        <v>5285.3</v>
      </c>
      <c r="AE85" s="3166"/>
      <c r="AF85" s="1448"/>
      <c r="AG85" s="2034">
        <f>ROUND(SUM(AG78:AG83),1)</f>
        <v>4505.6000000000004</v>
      </c>
      <c r="AH85" s="1448"/>
      <c r="AI85" s="2573"/>
      <c r="AJ85" s="2038">
        <f>ROUND(AD85-AG85,1)</f>
        <v>779.7</v>
      </c>
      <c r="AK85" s="2602"/>
      <c r="AL85" s="2601">
        <f>ROUND(IF(AG85=0,0,AJ85/ABS(AG85)),3)</f>
        <v>0.17299999999999999</v>
      </c>
      <c r="AM85" s="2594"/>
      <c r="AN85" s="2594"/>
      <c r="AO85" s="2594"/>
    </row>
    <row r="86" spans="1:41">
      <c r="A86" s="2439"/>
      <c r="B86" s="2439"/>
      <c r="C86" s="2439"/>
      <c r="D86" s="2439"/>
      <c r="E86" s="2467"/>
      <c r="F86" s="1984"/>
      <c r="G86" s="2467"/>
      <c r="H86" s="1984"/>
      <c r="I86" s="2467"/>
      <c r="J86" s="1984"/>
      <c r="K86" s="2467"/>
      <c r="L86" s="1979"/>
      <c r="M86" s="2035"/>
      <c r="N86" s="1979"/>
      <c r="O86" s="2035"/>
      <c r="P86" s="1979"/>
      <c r="Q86" s="2035"/>
      <c r="R86" s="1979"/>
      <c r="S86" s="2035"/>
      <c r="T86" s="1979"/>
      <c r="U86" s="2035"/>
      <c r="V86" s="1979"/>
      <c r="W86" s="2035"/>
      <c r="X86" s="1979"/>
      <c r="Y86" s="2035"/>
      <c r="Z86" s="1979"/>
      <c r="AA86" s="2035"/>
      <c r="AB86" s="1979"/>
      <c r="AC86" s="2023"/>
      <c r="AD86" s="2035"/>
      <c r="AE86" s="3154"/>
      <c r="AF86" s="1961"/>
      <c r="AG86" s="2035"/>
      <c r="AH86" s="1961"/>
      <c r="AI86" s="2573"/>
      <c r="AJ86" s="2574"/>
      <c r="AK86" s="2571"/>
      <c r="AL86" s="1782"/>
    </row>
    <row r="87" spans="1:41">
      <c r="A87" s="2439"/>
      <c r="B87" s="2526" t="s">
        <v>202</v>
      </c>
      <c r="C87" s="2439"/>
      <c r="D87" s="2439"/>
      <c r="E87" s="1984"/>
      <c r="F87" s="1984"/>
      <c r="G87" s="1984"/>
      <c r="H87" s="1984"/>
      <c r="I87" s="1984"/>
      <c r="J87" s="1984"/>
      <c r="K87" s="1984"/>
      <c r="L87" s="1979"/>
      <c r="M87" s="1979"/>
      <c r="N87" s="1979"/>
      <c r="O87" s="1979"/>
      <c r="P87" s="1979"/>
      <c r="Q87" s="1979"/>
      <c r="R87" s="1979"/>
      <c r="S87" s="1979"/>
      <c r="T87" s="1979"/>
      <c r="U87" s="1979"/>
      <c r="V87" s="1979"/>
      <c r="W87" s="1979"/>
      <c r="X87" s="1979"/>
      <c r="Y87" s="1979"/>
      <c r="Z87" s="1979"/>
      <c r="AA87" s="1979"/>
      <c r="AB87" s="1979"/>
      <c r="AC87" s="2023"/>
      <c r="AD87" s="2574"/>
      <c r="AE87" s="3154"/>
      <c r="AF87" s="1961"/>
      <c r="AG87" s="2574"/>
      <c r="AH87" s="2574"/>
      <c r="AI87" s="2609"/>
      <c r="AJ87" s="2574"/>
      <c r="AK87" s="2571"/>
      <c r="AL87" s="1782"/>
    </row>
    <row r="88" spans="1:41">
      <c r="A88" s="2439"/>
      <c r="B88" s="2526" t="s">
        <v>203</v>
      </c>
      <c r="C88" s="2439"/>
      <c r="D88" s="2439"/>
      <c r="E88" s="2034">
        <f>ROUND(SUM(E64-E85),1)</f>
        <v>-410.9</v>
      </c>
      <c r="F88" s="2034"/>
      <c r="G88" s="2034">
        <f>ROUND(SUM(G64-G85),1)</f>
        <v>-460.9</v>
      </c>
      <c r="H88" s="2034"/>
      <c r="I88" s="2034">
        <f>ROUND(SUM(I64-I85),1)</f>
        <v>-894.5</v>
      </c>
      <c r="J88" s="2034"/>
      <c r="K88" s="2034">
        <f>ROUND(SUM(K64-K85),1)</f>
        <v>-388.3</v>
      </c>
      <c r="L88" s="2034"/>
      <c r="M88" s="2034">
        <f>ROUND(SUM(M64-M85),1)</f>
        <v>-666.8</v>
      </c>
      <c r="N88" s="2034"/>
      <c r="O88" s="2034">
        <f>ROUND(SUM(O64-O85),1)</f>
        <v>-514.1</v>
      </c>
      <c r="P88" s="2034"/>
      <c r="Q88" s="2034">
        <f>ROUND(SUM(Q64-Q85),1)</f>
        <v>0</v>
      </c>
      <c r="R88" s="2034"/>
      <c r="S88" s="2034">
        <f>ROUND(SUM(S64-S85),1)</f>
        <v>0</v>
      </c>
      <c r="T88" s="2034"/>
      <c r="U88" s="2034">
        <f>ROUND(SUM(U64-U85),1)</f>
        <v>0</v>
      </c>
      <c r="V88" s="2034"/>
      <c r="W88" s="2034">
        <f>ROUND(SUM(W64-W85),1)</f>
        <v>0</v>
      </c>
      <c r="X88" s="2034"/>
      <c r="Y88" s="2034">
        <f>ROUND(SUM(Y64-Y85),1)</f>
        <v>0</v>
      </c>
      <c r="Z88" s="2034"/>
      <c r="AA88" s="2034">
        <f>ROUND(SUM(AA64-AA85),1)</f>
        <v>0</v>
      </c>
      <c r="AB88" s="2034"/>
      <c r="AC88" s="2527"/>
      <c r="AD88" s="2034">
        <f>ROUND(SUM(AD64-AD85),1)</f>
        <v>-3335.5</v>
      </c>
      <c r="AE88" s="3166"/>
      <c r="AF88" s="1448"/>
      <c r="AG88" s="2034">
        <f>ROUND(SUM(AG64-AG85),1)</f>
        <v>-1282.2</v>
      </c>
      <c r="AH88" s="1448"/>
      <c r="AI88" s="2573"/>
      <c r="AJ88" s="2038">
        <f>ROUND(AD88-AG88,1)</f>
        <v>-2053.3000000000002</v>
      </c>
      <c r="AK88" s="2602"/>
      <c r="AL88" s="3624">
        <f>ROUND(IF(AG88=0,0,AJ88/ABS(AG88)),3)</f>
        <v>-1.601</v>
      </c>
      <c r="AM88" s="2594"/>
      <c r="AN88" s="3625"/>
    </row>
    <row r="89" spans="1:41">
      <c r="A89" s="2439"/>
      <c r="B89" s="2439"/>
      <c r="C89" s="2439"/>
      <c r="D89" s="2439"/>
      <c r="E89" s="2467"/>
      <c r="F89" s="1984"/>
      <c r="G89" s="2467"/>
      <c r="H89" s="1984"/>
      <c r="I89" s="2467"/>
      <c r="J89" s="1984"/>
      <c r="K89" s="2467"/>
      <c r="L89" s="1979"/>
      <c r="M89" s="2035"/>
      <c r="N89" s="1979"/>
      <c r="O89" s="2035"/>
      <c r="P89" s="1979"/>
      <c r="Q89" s="2035"/>
      <c r="R89" s="1979"/>
      <c r="S89" s="2035"/>
      <c r="T89" s="1979"/>
      <c r="U89" s="2035"/>
      <c r="V89" s="1979"/>
      <c r="W89" s="2035"/>
      <c r="X89" s="1979"/>
      <c r="Y89" s="2035"/>
      <c r="Z89" s="1979"/>
      <c r="AA89" s="2035"/>
      <c r="AB89" s="1979"/>
      <c r="AC89" s="2023"/>
      <c r="AD89" s="2035"/>
      <c r="AE89" s="3154"/>
      <c r="AF89" s="1961"/>
      <c r="AG89" s="2035"/>
      <c r="AH89" s="1961"/>
      <c r="AI89" s="2573"/>
      <c r="AJ89" s="2574"/>
      <c r="AK89" s="2571"/>
      <c r="AL89" s="1782"/>
    </row>
    <row r="90" spans="1:41">
      <c r="A90" s="2439"/>
      <c r="B90" s="2526" t="s">
        <v>204</v>
      </c>
      <c r="C90" s="2439"/>
      <c r="D90" s="2439"/>
      <c r="E90" s="1984"/>
      <c r="F90" s="1984"/>
      <c r="G90" s="1984"/>
      <c r="H90" s="1984"/>
      <c r="I90" s="1984"/>
      <c r="J90" s="1984"/>
      <c r="K90" s="1984"/>
      <c r="L90" s="1979"/>
      <c r="M90" s="1979"/>
      <c r="N90" s="1979"/>
      <c r="O90" s="1979"/>
      <c r="P90" s="1979"/>
      <c r="Q90" s="1979"/>
      <c r="R90" s="1979"/>
      <c r="S90" s="1979"/>
      <c r="T90" s="1979"/>
      <c r="U90" s="1979"/>
      <c r="V90" s="1979"/>
      <c r="W90" s="1979"/>
      <c r="X90" s="1979"/>
      <c r="Y90" s="1979"/>
      <c r="Z90" s="1979"/>
      <c r="AA90" s="1979"/>
      <c r="AB90" s="1979"/>
      <c r="AC90" s="2023"/>
      <c r="AD90" s="2603"/>
      <c r="AE90" s="3154"/>
      <c r="AF90" s="1961"/>
      <c r="AG90" s="2603"/>
      <c r="AH90" s="2603"/>
      <c r="AI90" s="2604"/>
      <c r="AJ90" s="2574"/>
      <c r="AK90" s="2571"/>
      <c r="AL90" s="1782"/>
    </row>
    <row r="91" spans="1:41">
      <c r="A91" s="2439"/>
      <c r="B91" s="2478" t="s">
        <v>1383</v>
      </c>
      <c r="C91" s="2439"/>
      <c r="D91" s="2439"/>
      <c r="E91" s="1984">
        <v>0</v>
      </c>
      <c r="F91" s="1984"/>
      <c r="G91" s="1984">
        <v>0</v>
      </c>
      <c r="H91" s="1984"/>
      <c r="I91" s="1984">
        <v>0</v>
      </c>
      <c r="J91" s="1984"/>
      <c r="K91" s="1984">
        <v>0</v>
      </c>
      <c r="L91" s="2579"/>
      <c r="M91" s="1984">
        <v>0</v>
      </c>
      <c r="N91" s="2579"/>
      <c r="O91" s="1984">
        <f t="shared" ref="O91:O93" si="9">$AD91-$E91-$G91-$I91-$K91-$M91</f>
        <v>0</v>
      </c>
      <c r="P91" s="2579"/>
      <c r="Q91" s="1773"/>
      <c r="R91" s="2579"/>
      <c r="S91" s="1773"/>
      <c r="T91" s="2579"/>
      <c r="U91" s="1773"/>
      <c r="V91" s="2579"/>
      <c r="W91" s="1773"/>
      <c r="X91" s="2579"/>
      <c r="Y91" s="1773"/>
      <c r="Z91" s="2579"/>
      <c r="AA91" s="1773"/>
      <c r="AB91" s="1979"/>
      <c r="AC91" s="2023"/>
      <c r="AD91" s="1984">
        <v>0</v>
      </c>
      <c r="AE91" s="3154"/>
      <c r="AF91" s="1961"/>
      <c r="AG91" s="1984">
        <v>0</v>
      </c>
      <c r="AH91" s="2603"/>
      <c r="AI91" s="2604"/>
      <c r="AJ91" s="1979">
        <f>ROUND(AD91-AG91,1)</f>
        <v>0</v>
      </c>
      <c r="AK91" s="2580"/>
      <c r="AL91" s="1708">
        <f>ROUND(IF(AG91=0,0,AJ91/ABS(AG91)),3)</f>
        <v>0</v>
      </c>
    </row>
    <row r="92" spans="1:41">
      <c r="A92" s="2439"/>
      <c r="B92" s="3623" t="s">
        <v>172</v>
      </c>
      <c r="C92" s="2439"/>
      <c r="D92" s="2439"/>
      <c r="E92" s="1984">
        <v>488.9</v>
      </c>
      <c r="F92" s="1984"/>
      <c r="G92" s="1984">
        <v>344.30000000000007</v>
      </c>
      <c r="H92" s="1984"/>
      <c r="I92" s="1984">
        <v>830.89999999999975</v>
      </c>
      <c r="J92" s="1984"/>
      <c r="K92" s="1984">
        <v>298.89999999999998</v>
      </c>
      <c r="L92" s="2579"/>
      <c r="M92" s="1984">
        <v>586.59999999999991</v>
      </c>
      <c r="N92" s="2579"/>
      <c r="O92" s="1984">
        <f>$AD92-$E92-$G92-$I92-$K92-$M92</f>
        <v>434.1</v>
      </c>
      <c r="P92" s="2579"/>
      <c r="Q92" s="1773"/>
      <c r="R92" s="2579"/>
      <c r="S92" s="1773"/>
      <c r="T92" s="2579"/>
      <c r="U92" s="1773"/>
      <c r="V92" s="2579"/>
      <c r="W92" s="1773"/>
      <c r="X92" s="2579"/>
      <c r="Y92" s="1773"/>
      <c r="Z92" s="2579"/>
      <c r="AA92" s="1773"/>
      <c r="AB92" s="1979"/>
      <c r="AC92" s="2023"/>
      <c r="AD92" s="1984">
        <v>2983.7</v>
      </c>
      <c r="AE92" s="3154"/>
      <c r="AF92" s="1961"/>
      <c r="AG92" s="1984">
        <v>1093.2</v>
      </c>
      <c r="AH92" s="1978"/>
      <c r="AI92" s="2583"/>
      <c r="AJ92" s="1979">
        <f>ROUND(AD92-AG92,1)</f>
        <v>1890.5</v>
      </c>
      <c r="AK92" s="2571"/>
      <c r="AL92" s="1634">
        <f>ROUND(IF(AG92=0,0,AJ92/ABS(AG92)),3)</f>
        <v>1.7290000000000001</v>
      </c>
      <c r="AM92" s="2571"/>
    </row>
    <row r="93" spans="1:41">
      <c r="A93" s="2439"/>
      <c r="B93" s="3623" t="s">
        <v>205</v>
      </c>
      <c r="C93" s="2439"/>
      <c r="D93" s="2439"/>
      <c r="E93" s="1984">
        <v>-8.4</v>
      </c>
      <c r="F93" s="1984"/>
      <c r="G93" s="1984">
        <v>-8.1</v>
      </c>
      <c r="H93" s="1984"/>
      <c r="I93" s="1984">
        <v>-23.5</v>
      </c>
      <c r="J93" s="1984"/>
      <c r="K93" s="1984">
        <v>-8.7000000000000028</v>
      </c>
      <c r="L93" s="2579"/>
      <c r="M93" s="1984">
        <v>-8.8999999999999986</v>
      </c>
      <c r="N93" s="2579"/>
      <c r="O93" s="1984">
        <f t="shared" si="9"/>
        <v>-211.4</v>
      </c>
      <c r="P93" s="2579"/>
      <c r="Q93" s="1773"/>
      <c r="R93" s="2579"/>
      <c r="S93" s="1773"/>
      <c r="T93" s="2579"/>
      <c r="U93" s="1773"/>
      <c r="V93" s="2579"/>
      <c r="W93" s="1773"/>
      <c r="X93" s="2579"/>
      <c r="Y93" s="1773"/>
      <c r="Z93" s="2579"/>
      <c r="AA93" s="1773"/>
      <c r="AB93" s="1979"/>
      <c r="AC93" s="2023"/>
      <c r="AD93" s="3168">
        <v>-269</v>
      </c>
      <c r="AE93" s="3154"/>
      <c r="AF93" s="1961"/>
      <c r="AG93" s="3168">
        <v>-274.39999999999998</v>
      </c>
      <c r="AH93" s="1961"/>
      <c r="AI93" s="2573"/>
      <c r="AJ93" s="2608">
        <f>ROUND(-AD93+AG93,1)</f>
        <v>-5.4</v>
      </c>
      <c r="AK93" s="2571"/>
      <c r="AL93" s="2581">
        <f>ROUND(IF(AG93=0,0,AJ93/ABS(AG93)),3)</f>
        <v>-0.02</v>
      </c>
      <c r="AM93" s="2571"/>
    </row>
    <row r="94" spans="1:41">
      <c r="A94" s="2439"/>
      <c r="B94" s="2439"/>
      <c r="C94" s="2439"/>
      <c r="D94" s="2439"/>
      <c r="E94" s="2035"/>
      <c r="F94" s="1979"/>
      <c r="G94" s="2035"/>
      <c r="H94" s="1979"/>
      <c r="I94" s="2035"/>
      <c r="J94" s="1979"/>
      <c r="K94" s="2035"/>
      <c r="L94" s="1979"/>
      <c r="M94" s="2035"/>
      <c r="N94" s="1979"/>
      <c r="O94" s="2035"/>
      <c r="P94" s="1979"/>
      <c r="Q94" s="2035"/>
      <c r="R94" s="1979"/>
      <c r="S94" s="2035"/>
      <c r="T94" s="1979"/>
      <c r="U94" s="2035"/>
      <c r="V94" s="1979"/>
      <c r="W94" s="2035"/>
      <c r="X94" s="1979"/>
      <c r="Y94" s="2035"/>
      <c r="Z94" s="1979"/>
      <c r="AA94" s="2035"/>
      <c r="AB94" s="1979"/>
      <c r="AC94" s="2023"/>
      <c r="AD94" s="2574"/>
      <c r="AE94" s="3154"/>
      <c r="AF94" s="1961"/>
      <c r="AG94" s="2574"/>
      <c r="AH94" s="2574"/>
      <c r="AI94" s="2609"/>
      <c r="AJ94" s="2574"/>
      <c r="AK94" s="2571"/>
      <c r="AL94" s="1782"/>
    </row>
    <row r="95" spans="1:41">
      <c r="A95" s="2439"/>
      <c r="B95" s="2526" t="s">
        <v>1102</v>
      </c>
      <c r="C95" s="2439"/>
      <c r="D95" s="2439"/>
      <c r="E95" s="2034">
        <f>ROUND(SUM(E91:E93),1)</f>
        <v>480.5</v>
      </c>
      <c r="F95" s="2034"/>
      <c r="G95" s="2034">
        <f>ROUND(SUM(G91:G93),1)</f>
        <v>336.2</v>
      </c>
      <c r="H95" s="2034"/>
      <c r="I95" s="2034">
        <f>ROUND(SUM(I91:I93),1)</f>
        <v>807.4</v>
      </c>
      <c r="J95" s="2034"/>
      <c r="K95" s="2034">
        <f>ROUND(SUM(K91:K93),1)</f>
        <v>290.2</v>
      </c>
      <c r="L95" s="2034"/>
      <c r="M95" s="2034">
        <f>ROUND(SUM(M91:M93),1)</f>
        <v>577.70000000000005</v>
      </c>
      <c r="N95" s="2034"/>
      <c r="O95" s="2034">
        <f>ROUND(SUM(O91:O93),1)</f>
        <v>222.7</v>
      </c>
      <c r="P95" s="2034"/>
      <c r="Q95" s="2034">
        <f>ROUND(SUM(Q91:Q93),1)</f>
        <v>0</v>
      </c>
      <c r="R95" s="2034"/>
      <c r="S95" s="2034">
        <f>ROUND(SUM(S91:S93),1)</f>
        <v>0</v>
      </c>
      <c r="T95" s="2034"/>
      <c r="U95" s="2034">
        <f>ROUND(SUM(U91:U93),1)</f>
        <v>0</v>
      </c>
      <c r="V95" s="2034"/>
      <c r="W95" s="2034">
        <f>ROUND(SUM(W91:W93),1)</f>
        <v>0</v>
      </c>
      <c r="X95" s="2034"/>
      <c r="Y95" s="2034">
        <f>ROUND(SUM(Y91:Y93),1)</f>
        <v>0</v>
      </c>
      <c r="Z95" s="2034"/>
      <c r="AA95" s="2034">
        <f>ROUND(SUM(AA91:AA93),1)</f>
        <v>0</v>
      </c>
      <c r="AB95" s="2034"/>
      <c r="AC95" s="2527"/>
      <c r="AD95" s="1448">
        <f>ROUND(SUM(AD91:AD93),1)</f>
        <v>2714.7</v>
      </c>
      <c r="AE95" s="3166"/>
      <c r="AF95" s="1448"/>
      <c r="AG95" s="1448">
        <f>ROUND(SUM(AG91:AG93),1)</f>
        <v>818.8</v>
      </c>
      <c r="AH95" s="1448"/>
      <c r="AI95" s="2573"/>
      <c r="AJ95" s="2038">
        <f>ROUND(AD95-AG95,1)</f>
        <v>1895.9</v>
      </c>
      <c r="AK95" s="2602"/>
      <c r="AL95" s="3624">
        <f>ROUND(IF(AG95=0,0,AJ95/ABS(AG95)),3)</f>
        <v>2.3149999999999999</v>
      </c>
      <c r="AM95" s="2594"/>
      <c r="AN95" s="2594"/>
      <c r="AO95" s="3625"/>
    </row>
    <row r="96" spans="1:41">
      <c r="A96" s="2439"/>
      <c r="B96" s="2439"/>
      <c r="C96" s="2439"/>
      <c r="D96" s="2439"/>
      <c r="E96" s="2035"/>
      <c r="F96" s="1979"/>
      <c r="G96" s="2035"/>
      <c r="H96" s="1979"/>
      <c r="I96" s="2035"/>
      <c r="J96" s="1979"/>
      <c r="K96" s="2035"/>
      <c r="L96" s="1979"/>
      <c r="M96" s="2035"/>
      <c r="N96" s="1979"/>
      <c r="O96" s="2035"/>
      <c r="P96" s="1979"/>
      <c r="Q96" s="2035"/>
      <c r="R96" s="1979"/>
      <c r="S96" s="2035"/>
      <c r="T96" s="1979"/>
      <c r="U96" s="2035"/>
      <c r="V96" s="1979"/>
      <c r="W96" s="2035"/>
      <c r="X96" s="1979"/>
      <c r="Y96" s="2035"/>
      <c r="Z96" s="1979"/>
      <c r="AA96" s="2035"/>
      <c r="AB96" s="1979"/>
      <c r="AC96" s="2023"/>
      <c r="AD96" s="2035"/>
      <c r="AE96" s="3154"/>
      <c r="AF96" s="1961"/>
      <c r="AG96" s="2035"/>
      <c r="AH96" s="1961"/>
      <c r="AI96" s="2573"/>
      <c r="AJ96" s="2574"/>
      <c r="AK96" s="2571"/>
      <c r="AL96" s="1782"/>
      <c r="AO96" s="2618"/>
    </row>
    <row r="97" spans="1:41">
      <c r="A97" s="2439"/>
      <c r="B97" s="2439"/>
      <c r="C97" s="2439"/>
      <c r="D97" s="2439"/>
      <c r="E97" s="1979" t="s">
        <v>14</v>
      </c>
      <c r="F97" s="1979" t="s">
        <v>14</v>
      </c>
      <c r="G97" s="1979" t="s">
        <v>14</v>
      </c>
      <c r="H97" s="1979"/>
      <c r="I97" s="1979" t="s">
        <v>14</v>
      </c>
      <c r="J97" s="1979"/>
      <c r="K97" s="1979" t="s">
        <v>14</v>
      </c>
      <c r="L97" s="1979"/>
      <c r="M97" s="1979" t="s">
        <v>14</v>
      </c>
      <c r="N97" s="1979"/>
      <c r="O97" s="1979" t="s">
        <v>14</v>
      </c>
      <c r="P97" s="1979"/>
      <c r="Q97" s="1979" t="s">
        <v>14</v>
      </c>
      <c r="R97" s="1979"/>
      <c r="S97" s="1979" t="s">
        <v>14</v>
      </c>
      <c r="T97" s="1979"/>
      <c r="U97" s="1979" t="s">
        <v>14</v>
      </c>
      <c r="V97" s="1979"/>
      <c r="W97" s="1979" t="s">
        <v>14</v>
      </c>
      <c r="X97" s="1979"/>
      <c r="Y97" s="1979" t="s">
        <v>14</v>
      </c>
      <c r="Z97" s="1979"/>
      <c r="AA97" s="1979" t="s">
        <v>14</v>
      </c>
      <c r="AB97" s="1979"/>
      <c r="AC97" s="2023"/>
      <c r="AD97" s="1979"/>
      <c r="AE97" s="3154"/>
      <c r="AF97" s="1961"/>
      <c r="AG97" s="1979"/>
      <c r="AH97" s="1979"/>
      <c r="AI97" s="2573"/>
      <c r="AJ97" s="2574" t="s">
        <v>14</v>
      </c>
      <c r="AK97" s="2571"/>
      <c r="AL97" s="1782"/>
    </row>
    <row r="98" spans="1:41">
      <c r="A98" s="2439"/>
      <c r="B98" s="2526" t="s">
        <v>207</v>
      </c>
      <c r="C98" s="2439"/>
      <c r="D98" s="2439"/>
      <c r="E98" s="1979"/>
      <c r="F98" s="1979"/>
      <c r="G98" s="1979" t="s">
        <v>14</v>
      </c>
      <c r="H98" s="1979"/>
      <c r="I98" s="1979" t="s">
        <v>14</v>
      </c>
      <c r="J98" s="1979"/>
      <c r="K98" s="1979" t="s">
        <v>14</v>
      </c>
      <c r="L98" s="1979"/>
      <c r="M98" s="1979" t="s">
        <v>14</v>
      </c>
      <c r="N98" s="1979"/>
      <c r="O98" s="1979" t="s">
        <v>14</v>
      </c>
      <c r="P98" s="1979"/>
      <c r="Q98" s="1979" t="s">
        <v>14</v>
      </c>
      <c r="R98" s="1979"/>
      <c r="S98" s="1979" t="s">
        <v>14</v>
      </c>
      <c r="T98" s="1979"/>
      <c r="U98" s="1979" t="s">
        <v>14</v>
      </c>
      <c r="V98" s="1979"/>
      <c r="W98" s="1979" t="s">
        <v>14</v>
      </c>
      <c r="X98" s="1979"/>
      <c r="Y98" s="1979" t="s">
        <v>14</v>
      </c>
      <c r="Z98" s="1979"/>
      <c r="AA98" s="1979" t="s">
        <v>14</v>
      </c>
      <c r="AB98" s="1979"/>
      <c r="AC98" s="2023"/>
      <c r="AD98" s="1979"/>
      <c r="AE98" s="3154"/>
      <c r="AF98" s="1961"/>
      <c r="AG98" s="1979"/>
      <c r="AH98" s="1979"/>
      <c r="AI98" s="2573"/>
      <c r="AJ98" s="2574"/>
      <c r="AK98" s="2571"/>
      <c r="AL98" s="1782"/>
    </row>
    <row r="99" spans="1:41">
      <c r="A99" s="2439"/>
      <c r="B99" s="2526" t="s">
        <v>208</v>
      </c>
      <c r="C99" s="2439"/>
      <c r="D99" s="2439"/>
      <c r="E99" s="1979" t="s">
        <v>14</v>
      </c>
      <c r="F99" s="1979"/>
      <c r="G99" s="1979"/>
      <c r="H99" s="1979"/>
      <c r="I99" s="1979"/>
      <c r="J99" s="1979"/>
      <c r="K99" s="1979"/>
      <c r="L99" s="1979"/>
      <c r="M99" s="1979"/>
      <c r="N99" s="1979"/>
      <c r="O99" s="1979"/>
      <c r="P99" s="1979"/>
      <c r="Q99" s="1979"/>
      <c r="R99" s="1979"/>
      <c r="S99" s="1979"/>
      <c r="T99" s="1979"/>
      <c r="U99" s="1979"/>
      <c r="V99" s="1979"/>
      <c r="W99" s="1979"/>
      <c r="X99" s="1979"/>
      <c r="Y99" s="1979"/>
      <c r="Z99" s="1979"/>
      <c r="AA99" s="1979"/>
      <c r="AB99" s="1979"/>
      <c r="AC99" s="2023"/>
      <c r="AD99" s="2574"/>
      <c r="AE99" s="3154"/>
      <c r="AF99" s="1961"/>
      <c r="AG99" s="2574"/>
      <c r="AH99" s="2574"/>
      <c r="AI99" s="2609"/>
      <c r="AJ99" s="2574"/>
      <c r="AK99" s="2571"/>
      <c r="AL99" s="1782"/>
      <c r="AO99" s="3626"/>
    </row>
    <row r="100" spans="1:41" s="3153" customFormat="1">
      <c r="A100" s="1979"/>
      <c r="B100" s="2034" t="s">
        <v>1103</v>
      </c>
      <c r="C100" s="1979"/>
      <c r="D100" s="1979"/>
      <c r="E100" s="2610">
        <f>ROUND(SUM(E88+E95),1)</f>
        <v>69.599999999999994</v>
      </c>
      <c r="F100" s="2611"/>
      <c r="G100" s="2610">
        <f>ROUND(SUM(G88+G95),1)</f>
        <v>-124.7</v>
      </c>
      <c r="H100" s="2611"/>
      <c r="I100" s="2610">
        <f>ROUND(SUM(I88+I95),1)</f>
        <v>-87.1</v>
      </c>
      <c r="J100" s="2611"/>
      <c r="K100" s="2610">
        <f>ROUND(SUM(K88+K95),1)</f>
        <v>-98.1</v>
      </c>
      <c r="L100" s="2611"/>
      <c r="M100" s="2610">
        <f>ROUND(SUM(M88+M95),1)</f>
        <v>-89.1</v>
      </c>
      <c r="N100" s="2611"/>
      <c r="O100" s="2610">
        <f>ROUND(SUM(O88+O95),1)</f>
        <v>-291.39999999999998</v>
      </c>
      <c r="P100" s="2611"/>
      <c r="Q100" s="2610">
        <f>ROUND(SUM(Q88+Q95),1)</f>
        <v>0</v>
      </c>
      <c r="R100" s="2611"/>
      <c r="S100" s="2610">
        <f>ROUND(SUM(S88+S95),1)</f>
        <v>0</v>
      </c>
      <c r="T100" s="2611"/>
      <c r="U100" s="2610">
        <f>ROUND(SUM(U88+U95),1)</f>
        <v>0</v>
      </c>
      <c r="V100" s="2611"/>
      <c r="W100" s="2610">
        <f>ROUND(SUM(W88+W95),1)</f>
        <v>0</v>
      </c>
      <c r="X100" s="3627"/>
      <c r="Y100" s="2610">
        <f>ROUND(SUM(Y88+Y95),1)</f>
        <v>0</v>
      </c>
      <c r="Z100" s="2611"/>
      <c r="AA100" s="2610">
        <f>ROUND(SUM(AA88+AA95),1)</f>
        <v>0</v>
      </c>
      <c r="AB100" s="2611"/>
      <c r="AC100" s="2612"/>
      <c r="AD100" s="2610">
        <f>ROUND(SUM(AD88+AD95),1)</f>
        <v>-620.79999999999995</v>
      </c>
      <c r="AE100" s="3169"/>
      <c r="AF100" s="1448"/>
      <c r="AG100" s="2610">
        <f>ROUND(SUM(AG88+AG95),1)</f>
        <v>-463.4</v>
      </c>
      <c r="AH100" s="2613"/>
      <c r="AI100" s="2609"/>
      <c r="AJ100" s="2610">
        <f>ROUND(SUM(AJ88+AJ95),1)</f>
        <v>-157.4</v>
      </c>
      <c r="AK100" s="2613"/>
      <c r="AL100" s="3624">
        <f>ROUND(IF(AG100=0,0,AJ100/ABS(AG100)),3)</f>
        <v>-0.34</v>
      </c>
      <c r="AM100" s="3628"/>
    </row>
    <row r="101" spans="1:41">
      <c r="B101" s="3629"/>
      <c r="X101" s="3630"/>
      <c r="AC101" s="2614"/>
      <c r="AF101" s="2614"/>
      <c r="AI101" s="2615"/>
    </row>
    <row r="102" spans="1:41" ht="16" thickBot="1">
      <c r="B102" s="2526" t="s">
        <v>1101</v>
      </c>
      <c r="C102" s="3631"/>
      <c r="D102" s="3631"/>
      <c r="E102" s="2616">
        <f>ROUND(SUM(E14+E100),1)</f>
        <v>-494.1</v>
      </c>
      <c r="F102" s="2617"/>
      <c r="G102" s="2616">
        <f>ROUND(SUM(G14+G100),1)</f>
        <v>-618.79999999999995</v>
      </c>
      <c r="I102" s="2616">
        <f>ROUND(SUM(I14+I100),1)</f>
        <v>-705.9</v>
      </c>
      <c r="K102" s="2616">
        <f>ROUND(SUM(K14+K100),1)</f>
        <v>-804</v>
      </c>
      <c r="M102" s="2616">
        <f>ROUND(SUM(M14+M100),1)</f>
        <v>-893.1</v>
      </c>
      <c r="O102" s="2616">
        <f>ROUND(SUM(O14+O100),1)</f>
        <v>-1184.5</v>
      </c>
      <c r="Q102" s="2616">
        <f>ROUND(SUM(Q14+Q100),1)</f>
        <v>0</v>
      </c>
      <c r="S102" s="2616">
        <f>ROUND(SUM(S14+S100),1)</f>
        <v>0</v>
      </c>
      <c r="U102" s="2616">
        <f>ROUND(SUM(U14+U100),1)</f>
        <v>0</v>
      </c>
      <c r="W102" s="2616">
        <f>ROUND(SUM(W14+W100),1)</f>
        <v>0</v>
      </c>
      <c r="Y102" s="2616">
        <f>ROUND(SUM(Y14+Y100),1)</f>
        <v>0</v>
      </c>
      <c r="AA102" s="2616">
        <f>ROUND(SUM(AA14+AA100),1)</f>
        <v>0</v>
      </c>
      <c r="AC102" s="2614"/>
      <c r="AD102" s="2616">
        <f>ROUND(SUM(AD14+AD100),1)</f>
        <v>-1184.5</v>
      </c>
      <c r="AF102" s="2614"/>
      <c r="AG102" s="2616">
        <f>ROUND(SUM(AG14+AG100),1)</f>
        <v>-935.6</v>
      </c>
      <c r="AI102" s="2615"/>
      <c r="AJ102" s="2616">
        <f>ROUND(SUM(AJ14+AJ100),1)</f>
        <v>-248.9</v>
      </c>
      <c r="AL102" s="3632">
        <f>ROUND(IF(AG102=0,0,AJ102/ABS(AG102)),3)</f>
        <v>-0.26600000000000001</v>
      </c>
    </row>
    <row r="103" spans="1:41" ht="16" thickTop="1">
      <c r="B103" s="3633"/>
      <c r="C103" s="3631"/>
      <c r="D103" s="3631"/>
      <c r="E103" s="2617"/>
      <c r="F103" s="2617"/>
      <c r="G103" s="2617"/>
      <c r="AG103" s="3422"/>
      <c r="AJ103" s="2618"/>
    </row>
    <row r="104" spans="1:41">
      <c r="B104" s="3634"/>
    </row>
    <row r="105" spans="1:41">
      <c r="B105" s="3634"/>
      <c r="AD105" s="3153"/>
    </row>
    <row r="106" spans="1:41">
      <c r="B106" s="3635"/>
    </row>
    <row r="107" spans="1:41">
      <c r="B107" s="3634"/>
    </row>
    <row r="108" spans="1:41">
      <c r="B108" s="3634"/>
    </row>
    <row r="109" spans="1:41">
      <c r="B109" s="3635"/>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7 AL64 AL63 AL72:AL73 AL69:AL70 AL71 AL65:AL67 AL61 AL52" formula="1" unlockedFormula="1"/>
    <ignoredError sqref="AL49:AL50 AL53:AL54 AL51 AL60 AL57:AL58 AL56 AL59 AL25"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1:AO90"/>
  <sheetViews>
    <sheetView showGridLines="0" zoomScale="80" zoomScaleNormal="50" workbookViewId="0"/>
  </sheetViews>
  <sheetFormatPr defaultColWidth="8.84375" defaultRowHeight="15.5"/>
  <cols>
    <col min="1" max="1" width="2.53515625" style="1079" customWidth="1"/>
    <col min="2" max="2" width="14.07421875" style="1079" customWidth="1"/>
    <col min="3" max="3" width="26.53515625" style="1079" customWidth="1"/>
    <col min="4" max="4" width="2.07421875" style="1079" customWidth="1"/>
    <col min="5" max="5" width="11.07421875" style="1079" customWidth="1"/>
    <col min="6" max="6" width="1.84375" style="1079" customWidth="1"/>
    <col min="7" max="7" width="11" style="1079" bestFit="1" customWidth="1"/>
    <col min="8" max="8" width="1.84375" style="1079" customWidth="1"/>
    <col min="9" max="9" width="11" style="1079" bestFit="1" customWidth="1"/>
    <col min="10" max="10" width="1.84375" style="1079" customWidth="1"/>
    <col min="11" max="11" width="12.07421875" style="1079" customWidth="1"/>
    <col min="12" max="12" width="1.84375" style="1079" customWidth="1"/>
    <col min="13" max="13" width="11" style="1079" customWidth="1"/>
    <col min="14" max="14" width="1.84375" style="1079" customWidth="1"/>
    <col min="15" max="15" width="13.84375" style="1079" customWidth="1"/>
    <col min="16" max="16" width="1.84375" style="1079" customWidth="1"/>
    <col min="17" max="17" width="12.4609375" style="1079" customWidth="1"/>
    <col min="18" max="18" width="1.84375" style="1079" customWidth="1"/>
    <col min="19" max="19" width="12.53515625" style="1079" customWidth="1"/>
    <col min="20" max="20" width="1.84375" style="1079" customWidth="1"/>
    <col min="21" max="21" width="10.84375" style="1079" customWidth="1"/>
    <col min="22" max="22" width="1.84375" style="1079" customWidth="1"/>
    <col min="23" max="23" width="10.53515625" style="1079" customWidth="1"/>
    <col min="24" max="24" width="1.84375" style="1079" customWidth="1"/>
    <col min="25" max="25" width="10.84375" style="1079" customWidth="1"/>
    <col min="26" max="26" width="1.84375" style="1079" customWidth="1"/>
    <col min="27" max="27" width="11.84375" style="1079" customWidth="1"/>
    <col min="28" max="29" width="1.84375" style="1079" customWidth="1"/>
    <col min="30" max="30" width="10.53515625" style="1079" customWidth="1"/>
    <col min="31" max="32" width="1" style="1079" customWidth="1"/>
    <col min="33" max="33" width="12.84375" style="1079" customWidth="1"/>
    <col min="34" max="35" width="1" style="1079" customWidth="1"/>
    <col min="36" max="36" width="13.07421875" style="1079" bestFit="1" customWidth="1"/>
    <col min="37" max="37" width="1.07421875" style="1079" customWidth="1"/>
    <col min="38" max="38" width="11.53515625" style="1079" customWidth="1"/>
    <col min="39" max="16384" width="8.84375" style="1079"/>
  </cols>
  <sheetData>
    <row r="1" spans="1:39">
      <c r="B1" s="1486" t="s">
        <v>882</v>
      </c>
    </row>
    <row r="2" spans="1:39">
      <c r="B2" s="3648"/>
    </row>
    <row r="3" spans="1:39" ht="19.5" customHeight="1">
      <c r="A3" s="3649"/>
      <c r="B3" s="188" t="s">
        <v>0</v>
      </c>
      <c r="C3" s="1080"/>
      <c r="D3" s="1080"/>
      <c r="E3" s="1080"/>
      <c r="F3" s="1081"/>
      <c r="G3" s="1081"/>
      <c r="H3" s="1081"/>
      <c r="I3" s="1081"/>
      <c r="J3" s="1081"/>
      <c r="K3" s="1081"/>
      <c r="L3" s="1081"/>
      <c r="M3" s="1081"/>
      <c r="N3" s="1081"/>
      <c r="O3" s="1081"/>
      <c r="P3" s="1081"/>
      <c r="Q3" s="1081"/>
      <c r="R3" s="1081"/>
      <c r="S3" s="3650"/>
      <c r="T3" s="1081"/>
      <c r="U3" s="1081"/>
      <c r="V3" s="1081"/>
      <c r="W3" s="1081"/>
      <c r="X3" s="1081"/>
      <c r="Y3" s="1081"/>
      <c r="Z3" s="1081"/>
      <c r="AA3" s="1081"/>
      <c r="AB3" s="1081"/>
      <c r="AC3" s="1081"/>
      <c r="AD3" s="1081"/>
      <c r="AE3" s="1081"/>
      <c r="AF3" s="1081"/>
      <c r="AG3" s="1081"/>
      <c r="AH3" s="1081"/>
      <c r="AI3" s="1081"/>
      <c r="AL3" s="3214" t="s">
        <v>193</v>
      </c>
    </row>
    <row r="4" spans="1:39" ht="19.5" customHeight="1">
      <c r="A4" s="3649"/>
      <c r="B4" s="188" t="s">
        <v>210</v>
      </c>
      <c r="C4" s="1080"/>
      <c r="D4" s="1080"/>
      <c r="E4" s="1080"/>
      <c r="F4" s="1081"/>
      <c r="G4" s="1081"/>
      <c r="H4" s="1081"/>
      <c r="I4" s="1081"/>
      <c r="J4" s="1081"/>
      <c r="K4" s="1081"/>
      <c r="L4" s="1081"/>
      <c r="M4" s="1081"/>
      <c r="N4" s="1081"/>
      <c r="O4" s="1081"/>
      <c r="P4" s="1081"/>
      <c r="Q4" s="1081"/>
      <c r="R4" s="1081"/>
      <c r="S4" s="1081"/>
      <c r="T4" s="1081"/>
      <c r="U4" s="1081"/>
      <c r="V4" s="1081"/>
      <c r="W4" s="1081"/>
      <c r="X4" s="1081"/>
      <c r="Y4" s="1081"/>
      <c r="Z4" s="1081"/>
      <c r="AA4" s="1081"/>
      <c r="AB4" s="1081"/>
      <c r="AC4" s="1081"/>
      <c r="AE4" s="3170"/>
      <c r="AF4" s="3170"/>
    </row>
    <row r="5" spans="1:39" ht="19.5" customHeight="1">
      <c r="A5" s="3649"/>
      <c r="B5" s="3651" t="s">
        <v>147</v>
      </c>
      <c r="C5" s="1080"/>
      <c r="D5" s="1080"/>
      <c r="E5" s="1080"/>
      <c r="F5" s="1081"/>
      <c r="G5" s="1081"/>
      <c r="H5" s="1081"/>
      <c r="I5" s="1081"/>
      <c r="J5" s="1081"/>
      <c r="K5" s="1081"/>
      <c r="L5" s="1081"/>
      <c r="M5" s="1081"/>
      <c r="N5" s="1081"/>
      <c r="O5" s="1081"/>
      <c r="P5" s="1081"/>
      <c r="Q5" s="1081"/>
      <c r="R5" s="1081"/>
      <c r="S5" s="1081"/>
      <c r="T5" s="1081"/>
      <c r="U5" s="1081"/>
      <c r="V5" s="1081"/>
      <c r="W5" s="1081"/>
      <c r="X5" s="1081"/>
      <c r="Y5" s="1081"/>
      <c r="Z5" s="1081"/>
      <c r="AA5" s="1081"/>
      <c r="AB5" s="1081"/>
      <c r="AC5" s="1081"/>
      <c r="AD5" s="1081"/>
      <c r="AE5" s="1081"/>
      <c r="AF5" s="1081"/>
      <c r="AG5" s="1081"/>
      <c r="AH5" s="1081"/>
      <c r="AI5" s="1081"/>
      <c r="AL5" s="3214"/>
    </row>
    <row r="6" spans="1:39" ht="19.5" customHeight="1">
      <c r="A6" s="3649"/>
      <c r="B6" s="3651" t="str">
        <f>'Cashflow Governmental'!A6</f>
        <v xml:space="preserve">FISCAL YEAR 2021-2022   </v>
      </c>
      <c r="C6" s="3652"/>
      <c r="D6" s="1080"/>
      <c r="E6" s="1080"/>
      <c r="F6" s="1081"/>
      <c r="G6" s="1081"/>
      <c r="H6" s="1082"/>
      <c r="I6" s="1081"/>
      <c r="J6" s="1081"/>
      <c r="K6" s="1081"/>
      <c r="L6" s="1081"/>
      <c r="M6" s="1081"/>
      <c r="N6" s="1081"/>
      <c r="O6" s="1081"/>
      <c r="P6" s="1081"/>
      <c r="Q6" s="1081"/>
      <c r="R6" s="1081"/>
      <c r="S6" s="1081"/>
      <c r="T6" s="1081"/>
      <c r="U6" s="1081"/>
      <c r="V6" s="1081"/>
      <c r="W6" s="1081"/>
      <c r="X6" s="1081"/>
      <c r="Y6" s="1081"/>
      <c r="Z6" s="1081"/>
      <c r="AA6" s="1081"/>
      <c r="AB6" s="1081"/>
      <c r="AC6" s="1081"/>
      <c r="AD6" s="1081"/>
      <c r="AE6" s="1086"/>
      <c r="AF6" s="1086"/>
      <c r="AG6" s="1086"/>
      <c r="AH6" s="1086"/>
      <c r="AI6" s="1086"/>
    </row>
    <row r="7" spans="1:39" ht="19.5" customHeight="1">
      <c r="A7" s="3649"/>
      <c r="B7" s="188" t="s">
        <v>1278</v>
      </c>
      <c r="C7" s="1080"/>
      <c r="D7" s="1080"/>
      <c r="E7" s="1080"/>
      <c r="F7" s="1081"/>
      <c r="G7" s="1081"/>
      <c r="H7" s="1082"/>
      <c r="I7" s="1081"/>
      <c r="J7" s="1081"/>
      <c r="K7" s="1081"/>
      <c r="L7" s="1081"/>
      <c r="M7" s="1081"/>
      <c r="N7" s="1081"/>
      <c r="O7" s="1081"/>
      <c r="P7" s="1081"/>
      <c r="Q7" s="1081"/>
      <c r="R7" s="1081"/>
      <c r="S7" s="1081"/>
      <c r="T7" s="1081"/>
      <c r="U7" s="1081"/>
      <c r="V7" s="1081"/>
      <c r="W7" s="1081"/>
      <c r="X7" s="1081"/>
      <c r="Y7" s="1081"/>
      <c r="Z7" s="1081"/>
      <c r="AA7" s="1081"/>
      <c r="AB7" s="1081"/>
      <c r="AC7" s="1081"/>
      <c r="AD7" s="1081"/>
      <c r="AE7" s="1086"/>
      <c r="AF7" s="1086"/>
      <c r="AG7" s="1086"/>
      <c r="AH7" s="1086"/>
      <c r="AI7" s="1086"/>
    </row>
    <row r="8" spans="1:39" ht="19.5" customHeight="1">
      <c r="A8" s="3649"/>
      <c r="B8" s="3653"/>
      <c r="C8" s="1080"/>
      <c r="D8" s="1080"/>
      <c r="E8" s="1080"/>
      <c r="F8" s="1081"/>
      <c r="G8" s="1081"/>
      <c r="H8" s="1082"/>
      <c r="I8" s="1081"/>
      <c r="J8" s="1081"/>
      <c r="K8" s="1081"/>
      <c r="L8" s="1081"/>
      <c r="M8" s="1081"/>
      <c r="N8" s="1081"/>
      <c r="O8" s="1081"/>
      <c r="P8" s="1081"/>
      <c r="Q8" s="1081"/>
      <c r="R8" s="1081"/>
      <c r="S8" s="1081"/>
      <c r="T8" s="1081"/>
      <c r="U8" s="1081"/>
      <c r="V8" s="1081"/>
      <c r="W8" s="1081"/>
      <c r="X8" s="1081"/>
      <c r="Y8" s="1081"/>
      <c r="Z8" s="1081"/>
      <c r="AA8" s="1081"/>
      <c r="AB8" s="1081"/>
      <c r="AC8" s="1081"/>
      <c r="AD8" s="1081"/>
      <c r="AE8" s="1086"/>
      <c r="AF8" s="1086"/>
      <c r="AG8" s="1086"/>
      <c r="AH8" s="1086"/>
      <c r="AI8" s="1086"/>
    </row>
    <row r="9" spans="1:39" ht="15.75" customHeight="1">
      <c r="A9" s="3649"/>
      <c r="B9" s="188"/>
      <c r="C9" s="1080"/>
      <c r="D9" s="1080"/>
      <c r="E9" s="1080"/>
      <c r="F9" s="1081"/>
      <c r="G9" s="1081"/>
      <c r="H9" s="1081"/>
      <c r="I9" s="1081"/>
      <c r="J9" s="1081"/>
      <c r="K9" s="1081"/>
      <c r="L9" s="1081"/>
      <c r="M9" s="1081"/>
      <c r="N9" s="1081"/>
      <c r="O9" s="1081"/>
      <c r="P9" s="1081"/>
      <c r="Q9" s="1081"/>
      <c r="R9" s="1081"/>
      <c r="S9" s="1081"/>
      <c r="T9" s="1081"/>
      <c r="U9" s="1081"/>
      <c r="V9" s="1081"/>
      <c r="W9" s="1081"/>
      <c r="X9" s="1081"/>
      <c r="Y9" s="1081"/>
      <c r="Z9" s="1081"/>
      <c r="AA9" s="1081"/>
      <c r="AB9" s="1081"/>
      <c r="AC9" s="1087"/>
    </row>
    <row r="10" spans="1:39" ht="22.5">
      <c r="A10" s="3649"/>
      <c r="B10" s="188"/>
      <c r="C10" s="1080"/>
      <c r="D10" s="1080"/>
      <c r="E10" s="1080"/>
      <c r="F10" s="1081"/>
      <c r="G10" s="1081"/>
      <c r="H10" s="1081"/>
      <c r="I10" s="1081"/>
      <c r="J10" s="1081"/>
      <c r="K10" s="1081"/>
      <c r="L10" s="1081"/>
      <c r="M10" s="1081"/>
      <c r="N10" s="1081"/>
      <c r="O10" s="1081"/>
      <c r="P10" s="1081"/>
      <c r="Q10" s="1081"/>
      <c r="R10" s="1081"/>
      <c r="S10" s="1081"/>
      <c r="T10" s="1081"/>
      <c r="U10" s="1081"/>
      <c r="V10" s="1081"/>
      <c r="W10" s="1081"/>
      <c r="X10" s="1081"/>
      <c r="Y10" s="1081"/>
      <c r="Z10" s="1081"/>
      <c r="AA10" s="1081"/>
      <c r="AB10" s="1081"/>
      <c r="AC10" s="1087"/>
      <c r="AD10" s="3974" t="s">
        <v>1563</v>
      </c>
      <c r="AE10" s="3975"/>
      <c r="AF10" s="3975"/>
      <c r="AG10" s="3975"/>
      <c r="AH10" s="3975"/>
      <c r="AI10" s="3975"/>
      <c r="AJ10" s="3975"/>
      <c r="AK10" s="3975"/>
      <c r="AL10" s="3975"/>
    </row>
    <row r="11" spans="1:39">
      <c r="A11" s="1099"/>
      <c r="B11" s="1099"/>
      <c r="C11" s="1099"/>
      <c r="D11" s="1099"/>
      <c r="E11" s="730" t="str">
        <f>'Cashflow Governmental'!C13</f>
        <v>2021</v>
      </c>
      <c r="F11" s="1083"/>
      <c r="G11" s="1083"/>
      <c r="H11" s="1083"/>
      <c r="I11" s="1083"/>
      <c r="J11" s="1083"/>
      <c r="K11" s="1083"/>
      <c r="L11" s="1083"/>
      <c r="M11" s="1083"/>
      <c r="N11" s="1083"/>
      <c r="O11" s="1083"/>
      <c r="P11" s="1083"/>
      <c r="Q11" s="1083"/>
      <c r="R11" s="1083"/>
      <c r="S11" s="1083"/>
      <c r="T11" s="1083"/>
      <c r="U11" s="1083"/>
      <c r="V11" s="1083"/>
      <c r="W11" s="730">
        <f>'Cashflow Governmental'!U13</f>
        <v>2022</v>
      </c>
      <c r="X11" s="1083"/>
      <c r="Y11" s="1083"/>
      <c r="Z11" s="1083"/>
      <c r="AA11" s="1083"/>
      <c r="AB11" s="1083"/>
      <c r="AC11" s="1083"/>
      <c r="AD11" s="1088"/>
      <c r="AE11" s="1088"/>
      <c r="AF11" s="1088"/>
      <c r="AG11" s="1088"/>
      <c r="AH11" s="1088"/>
      <c r="AI11" s="1088"/>
      <c r="AJ11" s="1089" t="s">
        <v>7</v>
      </c>
      <c r="AK11" s="1089"/>
      <c r="AL11" s="3654" t="s">
        <v>8</v>
      </c>
      <c r="AM11" s="3655"/>
    </row>
    <row r="12" spans="1:39">
      <c r="A12" s="104"/>
      <c r="B12" s="104"/>
      <c r="C12" s="104"/>
      <c r="D12" s="104"/>
      <c r="E12" s="750" t="s">
        <v>123</v>
      </c>
      <c r="F12" s="102"/>
      <c r="G12" s="750" t="s">
        <v>124</v>
      </c>
      <c r="H12" s="102"/>
      <c r="I12" s="750" t="s">
        <v>125</v>
      </c>
      <c r="J12" s="102"/>
      <c r="K12" s="750" t="s">
        <v>126</v>
      </c>
      <c r="L12" s="102"/>
      <c r="M12" s="750" t="s">
        <v>127</v>
      </c>
      <c r="N12" s="102"/>
      <c r="O12" s="750" t="s">
        <v>142</v>
      </c>
      <c r="P12" s="102"/>
      <c r="Q12" s="750" t="s">
        <v>143</v>
      </c>
      <c r="R12" s="102"/>
      <c r="S12" s="750" t="s">
        <v>130</v>
      </c>
      <c r="T12" s="102"/>
      <c r="U12" s="750" t="s">
        <v>131</v>
      </c>
      <c r="V12" s="102"/>
      <c r="W12" s="750" t="s">
        <v>132</v>
      </c>
      <c r="X12" s="102"/>
      <c r="Y12" s="750" t="s">
        <v>133</v>
      </c>
      <c r="Z12" s="102"/>
      <c r="AA12" s="750" t="s">
        <v>184</v>
      </c>
      <c r="AB12" s="102"/>
      <c r="AC12" s="102"/>
      <c r="AD12" s="750">
        <f>'Cashflow Governmental'!AB14</f>
        <v>2021</v>
      </c>
      <c r="AE12" s="102" t="s">
        <v>14</v>
      </c>
      <c r="AF12" s="102"/>
      <c r="AG12" s="750">
        <f>'Cashflow Governmental'!AE14</f>
        <v>2020</v>
      </c>
      <c r="AH12" s="751"/>
      <c r="AI12" s="751"/>
      <c r="AJ12" s="1090" t="s">
        <v>11</v>
      </c>
      <c r="AK12" s="3656"/>
      <c r="AL12" s="1090" t="s">
        <v>12</v>
      </c>
      <c r="AM12" s="3655"/>
    </row>
    <row r="13" spans="1:39" ht="5.25" customHeight="1">
      <c r="A13" s="104"/>
      <c r="B13" s="102"/>
      <c r="C13" s="102"/>
      <c r="D13" s="104"/>
      <c r="E13" s="137"/>
      <c r="F13" s="137"/>
      <c r="G13" s="137"/>
      <c r="H13" s="137"/>
      <c r="I13" s="137"/>
      <c r="J13" s="137"/>
      <c r="K13" s="137"/>
      <c r="L13" s="137"/>
      <c r="M13" s="137"/>
      <c r="N13" s="137"/>
      <c r="O13" s="137"/>
      <c r="P13" s="137"/>
      <c r="Q13" s="137"/>
      <c r="R13" s="137"/>
      <c r="S13" s="137"/>
      <c r="T13" s="137"/>
      <c r="U13" s="137"/>
      <c r="V13" s="137"/>
      <c r="W13" s="137"/>
      <c r="X13" s="137"/>
      <c r="Y13" s="137"/>
      <c r="Z13" s="137"/>
      <c r="AA13" s="137"/>
      <c r="AB13" s="137"/>
      <c r="AC13" s="1060"/>
      <c r="AD13" s="137"/>
      <c r="AE13" s="137"/>
      <c r="AF13" s="3147"/>
      <c r="AG13" s="137"/>
      <c r="AH13" s="137"/>
      <c r="AI13" s="979"/>
      <c r="AJ13" s="1091"/>
      <c r="AK13" s="1091"/>
      <c r="AL13" s="1091"/>
    </row>
    <row r="14" spans="1:39">
      <c r="A14" s="104"/>
      <c r="B14" s="258" t="s">
        <v>1138</v>
      </c>
      <c r="C14" s="102"/>
      <c r="D14" s="1831"/>
      <c r="E14" s="303">
        <v>-580.29999999999995</v>
      </c>
      <c r="F14" s="137"/>
      <c r="G14" s="303">
        <f>E82</f>
        <v>-627.70000000000005</v>
      </c>
      <c r="H14" s="137"/>
      <c r="I14" s="303">
        <f>G82</f>
        <v>-728.1</v>
      </c>
      <c r="J14" s="137"/>
      <c r="K14" s="303">
        <f>I82</f>
        <v>-855.8</v>
      </c>
      <c r="L14" s="137"/>
      <c r="M14" s="303">
        <f>K82</f>
        <v>-902.2</v>
      </c>
      <c r="N14" s="137"/>
      <c r="O14" s="303">
        <f>M82</f>
        <v>-905.5</v>
      </c>
      <c r="P14" s="137"/>
      <c r="Q14" s="132"/>
      <c r="R14" s="883"/>
      <c r="S14" s="132"/>
      <c r="T14" s="1863"/>
      <c r="U14" s="132"/>
      <c r="V14" s="883"/>
      <c r="W14" s="132"/>
      <c r="X14" s="883"/>
      <c r="Y14" s="132"/>
      <c r="Z14" s="1863"/>
      <c r="AA14" s="132"/>
      <c r="AB14" s="137"/>
      <c r="AC14" s="1060"/>
      <c r="AD14" s="1836">
        <f>E14</f>
        <v>-580.29999999999995</v>
      </c>
      <c r="AE14" s="137"/>
      <c r="AF14" s="3147"/>
      <c r="AG14" s="1836">
        <v>-562.70000000000005</v>
      </c>
      <c r="AH14" s="137"/>
      <c r="AI14" s="979"/>
      <c r="AJ14" s="1837">
        <f>+AD14-AG14</f>
        <v>-17.599999999999909</v>
      </c>
      <c r="AK14" s="1091"/>
      <c r="AL14" s="3657">
        <f>-ROUND((+AJ14/AG14),3)</f>
        <v>-3.1E-2</v>
      </c>
    </row>
    <row r="15" spans="1:39">
      <c r="A15" s="104"/>
      <c r="B15" s="102"/>
      <c r="C15" s="102"/>
      <c r="D15" s="104"/>
      <c r="E15" s="137"/>
      <c r="F15" s="137"/>
      <c r="G15" s="137"/>
      <c r="H15" s="137"/>
      <c r="I15" s="137"/>
      <c r="J15" s="137"/>
      <c r="K15" s="137"/>
      <c r="L15" s="137"/>
      <c r="M15" s="137"/>
      <c r="N15" s="137"/>
      <c r="O15" s="137"/>
      <c r="P15" s="137"/>
      <c r="Q15" s="137"/>
      <c r="R15" s="137"/>
      <c r="S15" s="137"/>
      <c r="T15" s="137"/>
      <c r="U15" s="137"/>
      <c r="V15" s="137"/>
      <c r="W15" s="137"/>
      <c r="X15" s="137"/>
      <c r="Y15" s="137"/>
      <c r="Z15" s="137"/>
      <c r="AA15" s="137"/>
      <c r="AB15" s="137"/>
      <c r="AC15" s="1060"/>
      <c r="AD15" s="137"/>
      <c r="AE15" s="137"/>
      <c r="AF15" s="3147"/>
      <c r="AG15" s="137"/>
      <c r="AH15" s="137"/>
      <c r="AI15" s="979"/>
      <c r="AJ15" s="1091"/>
      <c r="AK15" s="1091"/>
      <c r="AL15" s="1091"/>
    </row>
    <row r="16" spans="1:39">
      <c r="A16" s="104"/>
      <c r="B16" s="102" t="s">
        <v>194</v>
      </c>
      <c r="C16" s="104"/>
      <c r="D16" s="104"/>
      <c r="E16" s="137"/>
      <c r="F16" s="137"/>
      <c r="G16" s="137"/>
      <c r="H16" s="137"/>
      <c r="I16" s="137"/>
      <c r="J16" s="137"/>
      <c r="K16" s="137"/>
      <c r="L16" s="137"/>
      <c r="M16" s="137"/>
      <c r="N16" s="137"/>
      <c r="O16" s="137"/>
      <c r="P16" s="137"/>
      <c r="Q16" s="137"/>
      <c r="R16" s="137"/>
      <c r="S16" s="137"/>
      <c r="T16" s="137"/>
      <c r="U16" s="137"/>
      <c r="V16" s="137"/>
      <c r="W16" s="137"/>
      <c r="X16" s="137"/>
      <c r="Y16" s="137"/>
      <c r="Z16" s="137"/>
      <c r="AA16" s="137"/>
      <c r="AB16" s="137"/>
      <c r="AC16" s="1060"/>
      <c r="AD16" s="137"/>
      <c r="AE16" s="114"/>
      <c r="AF16" s="3147"/>
      <c r="AG16" s="137"/>
      <c r="AH16" s="137"/>
      <c r="AI16" s="979"/>
      <c r="AJ16" s="1091"/>
      <c r="AK16" s="1091"/>
      <c r="AL16" s="1091"/>
    </row>
    <row r="17" spans="1:38">
      <c r="A17" s="104"/>
      <c r="B17" s="881" t="s">
        <v>930</v>
      </c>
      <c r="C17" s="104"/>
      <c r="D17" s="104"/>
      <c r="E17" s="1069"/>
      <c r="F17" s="115"/>
      <c r="G17" s="1069"/>
      <c r="H17" s="115"/>
      <c r="I17" s="1069"/>
      <c r="J17" s="115"/>
      <c r="K17" s="1069"/>
      <c r="L17" s="115"/>
      <c r="M17" s="115"/>
      <c r="N17" s="115"/>
      <c r="O17" s="1069"/>
      <c r="P17" s="115"/>
      <c r="Q17" s="1069"/>
      <c r="R17" s="115"/>
      <c r="S17" s="1069"/>
      <c r="T17" s="115"/>
      <c r="U17" s="1069"/>
      <c r="V17" s="115"/>
      <c r="W17" s="1069"/>
      <c r="X17" s="115"/>
      <c r="Y17" s="1069"/>
      <c r="Z17" s="115"/>
      <c r="AA17" s="1069"/>
      <c r="AB17" s="115"/>
      <c r="AC17" s="668"/>
      <c r="AD17" s="3171"/>
      <c r="AE17" s="1070"/>
      <c r="AF17" s="64"/>
      <c r="AG17" s="115"/>
      <c r="AH17" s="116"/>
      <c r="AI17" s="1071"/>
      <c r="AJ17" s="116"/>
      <c r="AK17" s="1072"/>
      <c r="AL17" s="1073"/>
    </row>
    <row r="18" spans="1:38">
      <c r="A18" s="104"/>
      <c r="B18" s="881" t="s">
        <v>1049</v>
      </c>
      <c r="C18" s="104"/>
      <c r="D18" s="104"/>
      <c r="E18" s="1069"/>
      <c r="F18" s="115"/>
      <c r="G18" s="1069"/>
      <c r="H18" s="115"/>
      <c r="I18" s="1069"/>
      <c r="J18" s="115"/>
      <c r="K18" s="1069"/>
      <c r="L18" s="115"/>
      <c r="M18" s="115"/>
      <c r="N18" s="115"/>
      <c r="O18" s="1069"/>
      <c r="P18" s="115"/>
      <c r="Q18" s="1069"/>
      <c r="R18" s="115"/>
      <c r="S18" s="1069"/>
      <c r="T18" s="115"/>
      <c r="U18" s="1069"/>
      <c r="V18" s="115"/>
      <c r="W18" s="1069"/>
      <c r="X18" s="115"/>
      <c r="Y18" s="1069"/>
      <c r="Z18" s="115"/>
      <c r="AA18" s="1069"/>
      <c r="AB18" s="115"/>
      <c r="AC18" s="668"/>
      <c r="AD18" s="3171"/>
      <c r="AE18" s="1074"/>
      <c r="AF18" s="64"/>
      <c r="AG18" s="115"/>
      <c r="AH18" s="116"/>
      <c r="AI18" s="1071"/>
      <c r="AJ18" s="116"/>
      <c r="AK18" s="1072"/>
      <c r="AL18" s="1711"/>
    </row>
    <row r="19" spans="1:38" s="982" customFormat="1">
      <c r="A19" s="983"/>
      <c r="B19" s="881" t="s">
        <v>964</v>
      </c>
      <c r="C19" s="983"/>
      <c r="D19" s="983"/>
      <c r="E19" s="1524">
        <v>0</v>
      </c>
      <c r="F19" s="884"/>
      <c r="G19" s="1524">
        <v>0</v>
      </c>
      <c r="H19" s="884"/>
      <c r="I19" s="1524">
        <v>0</v>
      </c>
      <c r="J19" s="884"/>
      <c r="K19" s="1524">
        <v>0</v>
      </c>
      <c r="L19" s="884"/>
      <c r="M19" s="1524">
        <v>0</v>
      </c>
      <c r="N19" s="884"/>
      <c r="O19" s="1524">
        <f>$AD19-$E19-$G19-$I19-$K19-$M19</f>
        <v>0</v>
      </c>
      <c r="P19" s="884"/>
      <c r="Q19" s="1524"/>
      <c r="R19" s="884"/>
      <c r="S19" s="1524"/>
      <c r="T19" s="1401"/>
      <c r="U19" s="1524"/>
      <c r="V19" s="884"/>
      <c r="W19" s="1524"/>
      <c r="X19" s="884"/>
      <c r="Y19" s="1524"/>
      <c r="Z19" s="884"/>
      <c r="AA19" s="1524"/>
      <c r="AB19" s="884"/>
      <c r="AC19" s="1402"/>
      <c r="AD19" s="1524">
        <v>0</v>
      </c>
      <c r="AE19" s="3172"/>
      <c r="AF19" s="1013"/>
      <c r="AG19" s="1524">
        <v>0</v>
      </c>
      <c r="AH19" s="673"/>
      <c r="AI19" s="1916"/>
      <c r="AJ19" s="673">
        <f>ROUND(AD19-AG19,1)</f>
        <v>0</v>
      </c>
      <c r="AK19" s="1707"/>
      <c r="AL19" s="1708">
        <f>ROUND(IF(AG19=0,0,AJ19/ABS(AG19)),3)</f>
        <v>0</v>
      </c>
    </row>
    <row r="20" spans="1:38" s="982" customFormat="1">
      <c r="A20" s="983"/>
      <c r="B20" s="881" t="s">
        <v>1050</v>
      </c>
      <c r="C20" s="983"/>
      <c r="D20" s="983"/>
      <c r="E20" s="1524" t="s">
        <v>14</v>
      </c>
      <c r="F20" s="884"/>
      <c r="G20" s="1524"/>
      <c r="H20" s="884"/>
      <c r="I20" s="1524"/>
      <c r="J20" s="884"/>
      <c r="K20" s="1524"/>
      <c r="L20" s="884"/>
      <c r="M20" s="1524"/>
      <c r="N20" s="884"/>
      <c r="O20" s="1524"/>
      <c r="P20" s="884"/>
      <c r="Q20" s="1524"/>
      <c r="R20" s="884"/>
      <c r="S20" s="1524"/>
      <c r="T20" s="884"/>
      <c r="U20" s="1524"/>
      <c r="V20" s="884"/>
      <c r="W20" s="1524"/>
      <c r="X20" s="884"/>
      <c r="Y20" s="1524"/>
      <c r="Z20" s="884"/>
      <c r="AA20" s="1524"/>
      <c r="AB20" s="884"/>
      <c r="AC20" s="1402"/>
      <c r="AD20" s="884"/>
      <c r="AE20" s="3172"/>
      <c r="AF20" s="1013"/>
      <c r="AG20" s="884"/>
      <c r="AH20" s="673"/>
      <c r="AI20" s="1071"/>
      <c r="AJ20" s="673" t="s">
        <v>14</v>
      </c>
      <c r="AK20" s="1707"/>
      <c r="AL20" s="1709" t="s">
        <v>14</v>
      </c>
    </row>
    <row r="21" spans="1:38" s="982" customFormat="1">
      <c r="A21" s="983"/>
      <c r="B21" s="881" t="s">
        <v>965</v>
      </c>
      <c r="C21" s="983"/>
      <c r="D21" s="983"/>
      <c r="E21" s="1524">
        <v>0</v>
      </c>
      <c r="F21" s="884"/>
      <c r="G21" s="1524">
        <v>0</v>
      </c>
      <c r="H21" s="884"/>
      <c r="I21" s="1524">
        <v>0</v>
      </c>
      <c r="J21" s="884"/>
      <c r="K21" s="1524">
        <v>0</v>
      </c>
      <c r="L21" s="884"/>
      <c r="M21" s="1524">
        <v>0</v>
      </c>
      <c r="N21" s="884"/>
      <c r="O21" s="1524">
        <f t="shared" ref="O21:O41" si="0">$AD21-$E21-$G21-$I21-$K21-$M21</f>
        <v>0</v>
      </c>
      <c r="P21" s="884"/>
      <c r="Q21" s="1524"/>
      <c r="R21" s="884"/>
      <c r="S21" s="1524"/>
      <c r="T21" s="1524"/>
      <c r="U21" s="1524"/>
      <c r="V21" s="884"/>
      <c r="W21" s="1524"/>
      <c r="X21" s="884"/>
      <c r="Y21" s="1524"/>
      <c r="Z21" s="884"/>
      <c r="AA21" s="1524"/>
      <c r="AB21" s="884"/>
      <c r="AC21" s="1402"/>
      <c r="AD21" s="1524">
        <v>0</v>
      </c>
      <c r="AE21" s="3172"/>
      <c r="AF21" s="1013"/>
      <c r="AG21" s="1524">
        <v>0</v>
      </c>
      <c r="AH21" s="673"/>
      <c r="AI21" s="1071"/>
      <c r="AJ21" s="673">
        <f t="shared" ref="AJ21:AJ41" si="1">ROUND(AD21-AG21,1)</f>
        <v>0</v>
      </c>
      <c r="AK21" s="1707"/>
      <c r="AL21" s="1709">
        <f>ROUND(IF(AG21=0,0,AJ21/ABS(AG21)),3)</f>
        <v>0</v>
      </c>
    </row>
    <row r="22" spans="1:38" s="982" customFormat="1">
      <c r="A22" s="983"/>
      <c r="B22" s="881" t="s">
        <v>1055</v>
      </c>
      <c r="C22" s="983"/>
      <c r="D22" s="983"/>
      <c r="E22" s="1524" t="s">
        <v>14</v>
      </c>
      <c r="F22" s="884"/>
      <c r="G22" s="1524"/>
      <c r="H22" s="884"/>
      <c r="I22" s="1524"/>
      <c r="J22" s="884"/>
      <c r="K22" s="1524"/>
      <c r="L22" s="884"/>
      <c r="M22" s="1524"/>
      <c r="N22" s="884"/>
      <c r="O22" s="1524"/>
      <c r="P22" s="884"/>
      <c r="Q22" s="1524"/>
      <c r="R22" s="884"/>
      <c r="S22" s="1524"/>
      <c r="T22" s="884"/>
      <c r="U22" s="1524"/>
      <c r="V22" s="884"/>
      <c r="W22" s="1524"/>
      <c r="X22" s="884"/>
      <c r="Y22" s="1524"/>
      <c r="Z22" s="884"/>
      <c r="AA22" s="1524"/>
      <c r="AB22" s="884"/>
      <c r="AC22" s="1402"/>
      <c r="AD22" s="884"/>
      <c r="AE22" s="3172"/>
      <c r="AF22" s="1013"/>
      <c r="AG22" s="884"/>
      <c r="AH22" s="673"/>
      <c r="AI22" s="1071"/>
      <c r="AJ22" s="673" t="s">
        <v>14</v>
      </c>
      <c r="AK22" s="1707"/>
      <c r="AL22" s="1709" t="s">
        <v>14</v>
      </c>
    </row>
    <row r="23" spans="1:38" s="982" customFormat="1">
      <c r="A23" s="983"/>
      <c r="B23" s="881" t="s">
        <v>969</v>
      </c>
      <c r="C23" s="983"/>
      <c r="D23" s="983"/>
      <c r="E23" s="1524">
        <v>0</v>
      </c>
      <c r="F23" s="884"/>
      <c r="G23" s="1524">
        <v>0</v>
      </c>
      <c r="H23" s="884"/>
      <c r="I23" s="1524">
        <v>0</v>
      </c>
      <c r="J23" s="884"/>
      <c r="K23" s="1524">
        <v>0</v>
      </c>
      <c r="L23" s="884"/>
      <c r="M23" s="1524">
        <v>0</v>
      </c>
      <c r="N23" s="884"/>
      <c r="O23" s="1524">
        <f t="shared" si="0"/>
        <v>0</v>
      </c>
      <c r="P23" s="884"/>
      <c r="Q23" s="1524"/>
      <c r="R23" s="884"/>
      <c r="S23" s="1524"/>
      <c r="T23" s="1524"/>
      <c r="U23" s="1524"/>
      <c r="V23" s="884"/>
      <c r="W23" s="1524"/>
      <c r="X23" s="884"/>
      <c r="Y23" s="1524"/>
      <c r="Z23" s="884"/>
      <c r="AA23" s="1524"/>
      <c r="AB23" s="884"/>
      <c r="AC23" s="1402"/>
      <c r="AD23" s="1524">
        <v>0</v>
      </c>
      <c r="AE23" s="3172"/>
      <c r="AF23" s="1013"/>
      <c r="AG23" s="1524">
        <v>0</v>
      </c>
      <c r="AH23" s="673"/>
      <c r="AI23" s="1071"/>
      <c r="AJ23" s="673">
        <f t="shared" si="1"/>
        <v>0</v>
      </c>
      <c r="AK23" s="1707"/>
      <c r="AL23" s="1709">
        <f t="shared" ref="AL23:AL28" si="2">ROUND(IF(AG23=0,0,AJ23/ABS(AG23)),3)</f>
        <v>0</v>
      </c>
    </row>
    <row r="24" spans="1:38" s="982" customFormat="1">
      <c r="A24" s="983"/>
      <c r="B24" s="881" t="s">
        <v>1112</v>
      </c>
      <c r="C24" s="983"/>
      <c r="D24" s="983"/>
      <c r="E24" s="1524">
        <v>0</v>
      </c>
      <c r="F24" s="884"/>
      <c r="G24" s="1524">
        <v>0</v>
      </c>
      <c r="H24" s="884"/>
      <c r="I24" s="1524">
        <v>0</v>
      </c>
      <c r="J24" s="884"/>
      <c r="K24" s="1524">
        <v>0</v>
      </c>
      <c r="L24" s="884"/>
      <c r="M24" s="1524">
        <v>0</v>
      </c>
      <c r="N24" s="884"/>
      <c r="O24" s="1524">
        <f t="shared" si="0"/>
        <v>0</v>
      </c>
      <c r="P24" s="884"/>
      <c r="Q24" s="1524"/>
      <c r="R24" s="884"/>
      <c r="S24" s="1524"/>
      <c r="T24" s="1524"/>
      <c r="U24" s="1524"/>
      <c r="V24" s="884"/>
      <c r="W24" s="1524"/>
      <c r="X24" s="884"/>
      <c r="Y24" s="1524"/>
      <c r="Z24" s="884"/>
      <c r="AA24" s="1524"/>
      <c r="AB24" s="884"/>
      <c r="AC24" s="1402"/>
      <c r="AD24" s="1524">
        <v>0</v>
      </c>
      <c r="AE24" s="3172"/>
      <c r="AF24" s="1013"/>
      <c r="AG24" s="1524">
        <v>0</v>
      </c>
      <c r="AH24" s="673"/>
      <c r="AI24" s="1071"/>
      <c r="AJ24" s="673">
        <f>ROUND(AD24-AG24,1)</f>
        <v>0</v>
      </c>
      <c r="AK24" s="1707"/>
      <c r="AL24" s="1709">
        <f t="shared" si="2"/>
        <v>0</v>
      </c>
    </row>
    <row r="25" spans="1:38" s="982" customFormat="1">
      <c r="A25" s="983"/>
      <c r="B25" s="881" t="s">
        <v>972</v>
      </c>
      <c r="C25" s="983"/>
      <c r="D25" s="983"/>
      <c r="E25" s="1524">
        <v>0</v>
      </c>
      <c r="F25" s="884"/>
      <c r="G25" s="1524">
        <v>0</v>
      </c>
      <c r="H25" s="884"/>
      <c r="I25" s="1524">
        <v>0</v>
      </c>
      <c r="J25" s="884"/>
      <c r="K25" s="1524">
        <v>0</v>
      </c>
      <c r="L25" s="884"/>
      <c r="M25" s="1524">
        <v>0</v>
      </c>
      <c r="N25" s="884"/>
      <c r="O25" s="1524">
        <f t="shared" si="0"/>
        <v>0</v>
      </c>
      <c r="P25" s="884"/>
      <c r="Q25" s="1524"/>
      <c r="R25" s="884"/>
      <c r="S25" s="1524"/>
      <c r="T25" s="1524"/>
      <c r="U25" s="1524"/>
      <c r="V25" s="884"/>
      <c r="W25" s="1524"/>
      <c r="X25" s="884"/>
      <c r="Y25" s="1524"/>
      <c r="Z25" s="884"/>
      <c r="AA25" s="1524"/>
      <c r="AB25" s="884"/>
      <c r="AC25" s="1402"/>
      <c r="AD25" s="1524">
        <v>0</v>
      </c>
      <c r="AE25" s="3172"/>
      <c r="AF25" s="1013"/>
      <c r="AG25" s="1524">
        <v>0</v>
      </c>
      <c r="AH25" s="673"/>
      <c r="AI25" s="1071"/>
      <c r="AJ25" s="673">
        <f t="shared" si="1"/>
        <v>0</v>
      </c>
      <c r="AK25" s="1707"/>
      <c r="AL25" s="1709">
        <f t="shared" si="2"/>
        <v>0</v>
      </c>
    </row>
    <row r="26" spans="1:38" s="982" customFormat="1">
      <c r="A26" s="983"/>
      <c r="B26" s="881" t="s">
        <v>973</v>
      </c>
      <c r="C26" s="983"/>
      <c r="D26" s="983"/>
      <c r="E26" s="1524">
        <v>0</v>
      </c>
      <c r="F26" s="884"/>
      <c r="G26" s="1524">
        <v>0</v>
      </c>
      <c r="H26" s="884"/>
      <c r="I26" s="1524">
        <v>0</v>
      </c>
      <c r="J26" s="884"/>
      <c r="K26" s="1524">
        <v>0</v>
      </c>
      <c r="L26" s="884"/>
      <c r="M26" s="1524">
        <v>0</v>
      </c>
      <c r="N26" s="884"/>
      <c r="O26" s="1524">
        <f t="shared" si="0"/>
        <v>0</v>
      </c>
      <c r="P26" s="884"/>
      <c r="Q26" s="1524"/>
      <c r="R26" s="884"/>
      <c r="S26" s="1524"/>
      <c r="T26" s="1524"/>
      <c r="U26" s="1524"/>
      <c r="V26" s="884"/>
      <c r="W26" s="1524"/>
      <c r="X26" s="884"/>
      <c r="Y26" s="1524"/>
      <c r="Z26" s="884"/>
      <c r="AA26" s="1524"/>
      <c r="AB26" s="884"/>
      <c r="AC26" s="1402"/>
      <c r="AD26" s="1524">
        <v>0</v>
      </c>
      <c r="AE26" s="3172"/>
      <c r="AF26" s="1013"/>
      <c r="AG26" s="1524">
        <v>0</v>
      </c>
      <c r="AH26" s="673"/>
      <c r="AI26" s="1071"/>
      <c r="AJ26" s="673">
        <f t="shared" si="1"/>
        <v>0</v>
      </c>
      <c r="AK26" s="1707"/>
      <c r="AL26" s="1709">
        <f t="shared" si="2"/>
        <v>0</v>
      </c>
    </row>
    <row r="27" spans="1:38" s="982" customFormat="1">
      <c r="A27" s="983"/>
      <c r="B27" s="881" t="s">
        <v>931</v>
      </c>
      <c r="C27" s="983"/>
      <c r="D27" s="983"/>
      <c r="E27" s="1524">
        <v>0</v>
      </c>
      <c r="F27" s="884"/>
      <c r="G27" s="1524">
        <v>0</v>
      </c>
      <c r="H27" s="884"/>
      <c r="I27" s="1524">
        <v>0</v>
      </c>
      <c r="J27" s="884"/>
      <c r="K27" s="1524">
        <v>0</v>
      </c>
      <c r="L27" s="884"/>
      <c r="M27" s="1524">
        <v>0</v>
      </c>
      <c r="N27" s="884"/>
      <c r="O27" s="1524">
        <f t="shared" si="0"/>
        <v>0</v>
      </c>
      <c r="P27" s="884"/>
      <c r="Q27" s="1524"/>
      <c r="R27" s="884"/>
      <c r="S27" s="1524"/>
      <c r="T27" s="1524"/>
      <c r="U27" s="1524"/>
      <c r="V27" s="884"/>
      <c r="W27" s="1524"/>
      <c r="X27" s="884"/>
      <c r="Y27" s="1524"/>
      <c r="Z27" s="884"/>
      <c r="AA27" s="1524"/>
      <c r="AB27" s="884"/>
      <c r="AC27" s="1402"/>
      <c r="AD27" s="1524">
        <v>0</v>
      </c>
      <c r="AE27" s="3172"/>
      <c r="AF27" s="1013"/>
      <c r="AG27" s="1524">
        <v>0</v>
      </c>
      <c r="AH27" s="673"/>
      <c r="AI27" s="1071"/>
      <c r="AJ27" s="673">
        <f t="shared" si="1"/>
        <v>0</v>
      </c>
      <c r="AK27" s="1707"/>
      <c r="AL27" s="1709">
        <f t="shared" si="2"/>
        <v>0</v>
      </c>
    </row>
    <row r="28" spans="1:38" s="982" customFormat="1">
      <c r="A28" s="983"/>
      <c r="B28" s="881" t="s">
        <v>932</v>
      </c>
      <c r="C28" s="983"/>
      <c r="D28" s="983"/>
      <c r="E28" s="1524">
        <v>0</v>
      </c>
      <c r="F28" s="884"/>
      <c r="G28" s="1524">
        <v>0</v>
      </c>
      <c r="H28" s="884"/>
      <c r="I28" s="1524">
        <v>0</v>
      </c>
      <c r="J28" s="884"/>
      <c r="K28" s="1524">
        <v>0</v>
      </c>
      <c r="L28" s="884"/>
      <c r="M28" s="1524">
        <v>0</v>
      </c>
      <c r="N28" s="884"/>
      <c r="O28" s="1524">
        <f t="shared" si="0"/>
        <v>0</v>
      </c>
      <c r="P28" s="884"/>
      <c r="Q28" s="1524"/>
      <c r="R28" s="884"/>
      <c r="S28" s="1524"/>
      <c r="T28" s="1524"/>
      <c r="U28" s="1524"/>
      <c r="V28" s="884"/>
      <c r="W28" s="1524"/>
      <c r="X28" s="884"/>
      <c r="Y28" s="1524"/>
      <c r="Z28" s="884"/>
      <c r="AA28" s="1524"/>
      <c r="AB28" s="884"/>
      <c r="AC28" s="1402"/>
      <c r="AD28" s="1524">
        <v>0</v>
      </c>
      <c r="AE28" s="3172"/>
      <c r="AF28" s="1013"/>
      <c r="AG28" s="1524">
        <v>0</v>
      </c>
      <c r="AH28" s="673"/>
      <c r="AI28" s="1071"/>
      <c r="AJ28" s="673">
        <f t="shared" si="1"/>
        <v>0</v>
      </c>
      <c r="AK28" s="1707"/>
      <c r="AL28" s="1709">
        <f t="shared" si="2"/>
        <v>0</v>
      </c>
    </row>
    <row r="29" spans="1:38">
      <c r="A29" s="104"/>
      <c r="B29" s="881" t="s">
        <v>950</v>
      </c>
      <c r="C29" s="104"/>
      <c r="D29" s="104"/>
      <c r="E29" s="1524">
        <v>0</v>
      </c>
      <c r="F29" s="884"/>
      <c r="G29" s="1524">
        <v>0</v>
      </c>
      <c r="H29" s="884"/>
      <c r="I29" s="1524">
        <v>0</v>
      </c>
      <c r="J29" s="884"/>
      <c r="K29" s="1524">
        <v>0</v>
      </c>
      <c r="L29" s="884"/>
      <c r="M29" s="1524">
        <v>0</v>
      </c>
      <c r="N29" s="884"/>
      <c r="O29" s="1524">
        <f t="shared" si="0"/>
        <v>0</v>
      </c>
      <c r="P29" s="884"/>
      <c r="Q29" s="1524"/>
      <c r="R29" s="884"/>
      <c r="S29" s="1524"/>
      <c r="T29" s="1524"/>
      <c r="U29" s="1524"/>
      <c r="V29" s="884"/>
      <c r="W29" s="1524"/>
      <c r="X29" s="884"/>
      <c r="Y29" s="1524"/>
      <c r="Z29" s="884"/>
      <c r="AA29" s="1524"/>
      <c r="AB29" s="884"/>
      <c r="AC29" s="1402"/>
      <c r="AD29" s="1524">
        <v>0</v>
      </c>
      <c r="AE29" s="3172"/>
      <c r="AF29" s="1013"/>
      <c r="AG29" s="1524">
        <v>0</v>
      </c>
      <c r="AH29" s="116"/>
      <c r="AI29" s="1071"/>
      <c r="AJ29" s="116">
        <f>ROUND(AD29-AG29,1)</f>
        <v>0</v>
      </c>
      <c r="AK29" s="1072"/>
      <c r="AL29" s="1634">
        <f>ROUND(IF(AG29=0,0,AJ29/ABS(AG29)),3)</f>
        <v>0</v>
      </c>
    </row>
    <row r="30" spans="1:38" s="982" customFormat="1">
      <c r="A30" s="983"/>
      <c r="B30" s="881" t="s">
        <v>1053</v>
      </c>
      <c r="C30" s="983"/>
      <c r="D30" s="983"/>
      <c r="E30" s="1524" t="s">
        <v>14</v>
      </c>
      <c r="F30" s="884"/>
      <c r="G30" s="1524"/>
      <c r="H30" s="884"/>
      <c r="I30" s="1524"/>
      <c r="J30" s="884"/>
      <c r="K30" s="1524"/>
      <c r="L30" s="884"/>
      <c r="M30" s="1524"/>
      <c r="N30" s="884"/>
      <c r="O30" s="1524"/>
      <c r="P30" s="884"/>
      <c r="Q30" s="1524"/>
      <c r="R30" s="884"/>
      <c r="S30" s="1524"/>
      <c r="T30" s="884"/>
      <c r="U30" s="1524"/>
      <c r="V30" s="884"/>
      <c r="W30" s="1524"/>
      <c r="X30" s="884"/>
      <c r="Y30" s="1524"/>
      <c r="Z30" s="884"/>
      <c r="AA30" s="1524"/>
      <c r="AB30" s="884"/>
      <c r="AC30" s="1402"/>
      <c r="AD30" s="884"/>
      <c r="AE30" s="3172"/>
      <c r="AF30" s="1013"/>
      <c r="AG30" s="884"/>
      <c r="AH30" s="673"/>
      <c r="AI30" s="1071"/>
      <c r="AJ30" s="673" t="s">
        <v>14</v>
      </c>
      <c r="AK30" s="1707"/>
      <c r="AL30" s="1709" t="s">
        <v>14</v>
      </c>
    </row>
    <row r="31" spans="1:38" s="982" customFormat="1">
      <c r="A31" s="983"/>
      <c r="B31" s="881" t="s">
        <v>977</v>
      </c>
      <c r="C31" s="983"/>
      <c r="D31" s="983"/>
      <c r="E31" s="1524">
        <v>0</v>
      </c>
      <c r="F31" s="884"/>
      <c r="G31" s="1524">
        <v>0</v>
      </c>
      <c r="H31" s="884"/>
      <c r="I31" s="1524">
        <v>0</v>
      </c>
      <c r="J31" s="884"/>
      <c r="K31" s="1524">
        <v>0</v>
      </c>
      <c r="L31" s="884"/>
      <c r="M31" s="1524">
        <v>0</v>
      </c>
      <c r="N31" s="884"/>
      <c r="O31" s="1524">
        <f t="shared" si="0"/>
        <v>0</v>
      </c>
      <c r="P31" s="884"/>
      <c r="Q31" s="1524"/>
      <c r="R31" s="884"/>
      <c r="S31" s="1524"/>
      <c r="T31" s="1524"/>
      <c r="U31" s="1524"/>
      <c r="V31" s="884"/>
      <c r="W31" s="1524"/>
      <c r="X31" s="884"/>
      <c r="Y31" s="1524"/>
      <c r="Z31" s="884"/>
      <c r="AA31" s="1524"/>
      <c r="AB31" s="884"/>
      <c r="AC31" s="1402"/>
      <c r="AD31" s="1524">
        <v>0</v>
      </c>
      <c r="AE31" s="3172"/>
      <c r="AF31" s="1013"/>
      <c r="AG31" s="1524">
        <v>0</v>
      </c>
      <c r="AH31" s="673"/>
      <c r="AI31" s="1071"/>
      <c r="AJ31" s="673">
        <f t="shared" si="1"/>
        <v>0</v>
      </c>
      <c r="AK31" s="1707"/>
      <c r="AL31" s="1709">
        <f>ROUND(IF(AG31=0,0,AJ31/ABS(AG31)),3)</f>
        <v>0</v>
      </c>
    </row>
    <row r="32" spans="1:38" s="982" customFormat="1">
      <c r="A32" s="983"/>
      <c r="B32" s="881" t="s">
        <v>979</v>
      </c>
      <c r="C32" s="983"/>
      <c r="D32" s="983"/>
      <c r="E32" s="1524">
        <v>0</v>
      </c>
      <c r="F32" s="1524"/>
      <c r="G32" s="1524">
        <v>0</v>
      </c>
      <c r="H32" s="1524"/>
      <c r="I32" s="1524">
        <v>0</v>
      </c>
      <c r="J32" s="1524"/>
      <c r="K32" s="1524">
        <v>0</v>
      </c>
      <c r="L32" s="1524"/>
      <c r="M32" s="1524">
        <v>0</v>
      </c>
      <c r="N32" s="884"/>
      <c r="O32" s="1524">
        <f t="shared" si="0"/>
        <v>0</v>
      </c>
      <c r="P32" s="884"/>
      <c r="Q32" s="1524"/>
      <c r="R32" s="884"/>
      <c r="S32" s="1524"/>
      <c r="T32" s="1524"/>
      <c r="U32" s="1524"/>
      <c r="V32" s="884"/>
      <c r="W32" s="1524"/>
      <c r="X32" s="884"/>
      <c r="Y32" s="1524"/>
      <c r="Z32" s="884"/>
      <c r="AA32" s="1524"/>
      <c r="AB32" s="884"/>
      <c r="AC32" s="1402"/>
      <c r="AD32" s="1524">
        <v>0</v>
      </c>
      <c r="AE32" s="3172"/>
      <c r="AF32" s="1013"/>
      <c r="AG32" s="1524">
        <v>0</v>
      </c>
      <c r="AH32" s="673"/>
      <c r="AI32" s="1071"/>
      <c r="AJ32" s="673">
        <f t="shared" si="1"/>
        <v>0</v>
      </c>
      <c r="AK32" s="1707"/>
      <c r="AL32" s="1709">
        <f>ROUND(IF(AG32=0,0,AJ32/ABS(AG32)),3)</f>
        <v>0</v>
      </c>
    </row>
    <row r="33" spans="1:39" s="982" customFormat="1">
      <c r="A33" s="983"/>
      <c r="B33" s="881" t="s">
        <v>980</v>
      </c>
      <c r="C33" s="983"/>
      <c r="D33" s="983"/>
      <c r="E33" s="1524">
        <v>0</v>
      </c>
      <c r="F33" s="884"/>
      <c r="G33" s="1524">
        <v>0</v>
      </c>
      <c r="H33" s="884"/>
      <c r="I33" s="1524">
        <v>0</v>
      </c>
      <c r="J33" s="884"/>
      <c r="K33" s="1524">
        <v>0</v>
      </c>
      <c r="L33" s="884"/>
      <c r="M33" s="1524">
        <v>0</v>
      </c>
      <c r="N33" s="884"/>
      <c r="O33" s="1524">
        <f t="shared" si="0"/>
        <v>0</v>
      </c>
      <c r="P33" s="884"/>
      <c r="Q33" s="1524"/>
      <c r="R33" s="884"/>
      <c r="S33" s="1524"/>
      <c r="T33" s="1524"/>
      <c r="U33" s="1524"/>
      <c r="V33" s="884"/>
      <c r="W33" s="1524"/>
      <c r="X33" s="884"/>
      <c r="Y33" s="1524"/>
      <c r="Z33" s="884"/>
      <c r="AA33" s="1524"/>
      <c r="AB33" s="884"/>
      <c r="AC33" s="1402"/>
      <c r="AD33" s="1524">
        <v>0</v>
      </c>
      <c r="AE33" s="3172"/>
      <c r="AF33" s="1013"/>
      <c r="AG33" s="1524">
        <v>0</v>
      </c>
      <c r="AH33" s="673"/>
      <c r="AI33" s="1071"/>
      <c r="AJ33" s="673">
        <f>ROUND(AD33-AG33,1)</f>
        <v>0</v>
      </c>
      <c r="AK33" s="1707"/>
      <c r="AL33" s="1709">
        <f>ROUND(IF(AG33=0,0,AJ33/ABS(AG33)),3)</f>
        <v>0</v>
      </c>
    </row>
    <row r="34" spans="1:39">
      <c r="A34" s="104"/>
      <c r="B34" s="881" t="s">
        <v>951</v>
      </c>
      <c r="C34" s="104"/>
      <c r="D34" s="104"/>
      <c r="E34" s="1524">
        <v>0</v>
      </c>
      <c r="F34" s="884"/>
      <c r="G34" s="1524">
        <v>0</v>
      </c>
      <c r="H34" s="884"/>
      <c r="I34" s="1524">
        <v>0</v>
      </c>
      <c r="J34" s="884"/>
      <c r="K34" s="1524">
        <v>0</v>
      </c>
      <c r="L34" s="884"/>
      <c r="M34" s="1524">
        <v>0</v>
      </c>
      <c r="N34" s="884"/>
      <c r="O34" s="1524">
        <f t="shared" si="0"/>
        <v>0</v>
      </c>
      <c r="P34" s="884"/>
      <c r="Q34" s="1524"/>
      <c r="R34" s="884"/>
      <c r="S34" s="1524"/>
      <c r="T34" s="1524"/>
      <c r="U34" s="1524"/>
      <c r="V34" s="884"/>
      <c r="W34" s="1524"/>
      <c r="X34" s="884"/>
      <c r="Y34" s="1524"/>
      <c r="Z34" s="884"/>
      <c r="AA34" s="1524"/>
      <c r="AB34" s="884"/>
      <c r="AC34" s="1402"/>
      <c r="AD34" s="1524">
        <v>0</v>
      </c>
      <c r="AE34" s="3172"/>
      <c r="AF34" s="1013"/>
      <c r="AG34" s="1524">
        <v>0.4</v>
      </c>
      <c r="AH34" s="116"/>
      <c r="AI34" s="1071"/>
      <c r="AJ34" s="116">
        <f t="shared" si="1"/>
        <v>-0.4</v>
      </c>
      <c r="AK34" s="1072"/>
      <c r="AL34" s="1634">
        <f>ROUND(IF(AG34=0,1,AJ34/ABS(AG34)),3)</f>
        <v>-1</v>
      </c>
    </row>
    <row r="35" spans="1:39">
      <c r="A35" s="104"/>
      <c r="B35" s="881" t="s">
        <v>1054</v>
      </c>
      <c r="C35" s="104"/>
      <c r="D35" s="104"/>
      <c r="E35" s="1524" t="s">
        <v>14</v>
      </c>
      <c r="F35" s="884"/>
      <c r="G35" s="1524"/>
      <c r="H35" s="884"/>
      <c r="I35" s="1524"/>
      <c r="J35" s="884"/>
      <c r="K35" s="1524"/>
      <c r="L35" s="884"/>
      <c r="M35" s="1524"/>
      <c r="N35" s="115"/>
      <c r="O35" s="1524"/>
      <c r="P35" s="115"/>
      <c r="Q35" s="1524"/>
      <c r="R35" s="115"/>
      <c r="S35" s="1524"/>
      <c r="T35" s="115"/>
      <c r="U35" s="1524"/>
      <c r="V35" s="115"/>
      <c r="W35" s="1524"/>
      <c r="X35" s="115"/>
      <c r="Y35" s="1524"/>
      <c r="Z35" s="115"/>
      <c r="AA35" s="1524"/>
      <c r="AB35" s="115"/>
      <c r="AC35" s="668"/>
      <c r="AD35" s="115"/>
      <c r="AE35" s="1074"/>
      <c r="AF35" s="64"/>
      <c r="AG35" s="115"/>
      <c r="AH35" s="116"/>
      <c r="AI35" s="1071"/>
      <c r="AJ35" s="673" t="s">
        <v>14</v>
      </c>
      <c r="AK35" s="1072"/>
      <c r="AL35" s="1709" t="s">
        <v>14</v>
      </c>
    </row>
    <row r="36" spans="1:39">
      <c r="A36" s="104"/>
      <c r="B36" s="881" t="s">
        <v>981</v>
      </c>
      <c r="C36" s="104"/>
      <c r="D36" s="104"/>
      <c r="E36" s="1524">
        <v>0</v>
      </c>
      <c r="F36" s="884"/>
      <c r="G36" s="1524">
        <v>0</v>
      </c>
      <c r="H36" s="884"/>
      <c r="I36" s="1524">
        <v>0</v>
      </c>
      <c r="J36" s="884"/>
      <c r="K36" s="1524">
        <v>0</v>
      </c>
      <c r="L36" s="884"/>
      <c r="M36" s="1524">
        <v>0</v>
      </c>
      <c r="N36" s="884"/>
      <c r="O36" s="1524">
        <f t="shared" si="0"/>
        <v>0</v>
      </c>
      <c r="P36" s="884"/>
      <c r="Q36" s="1524"/>
      <c r="R36" s="884"/>
      <c r="S36" s="1524"/>
      <c r="T36" s="1524"/>
      <c r="U36" s="1524"/>
      <c r="V36" s="884"/>
      <c r="W36" s="1524"/>
      <c r="X36" s="884"/>
      <c r="Y36" s="1524"/>
      <c r="Z36" s="884"/>
      <c r="AA36" s="1524"/>
      <c r="AB36" s="884"/>
      <c r="AC36" s="1402"/>
      <c r="AD36" s="1524">
        <v>0</v>
      </c>
      <c r="AE36" s="3172"/>
      <c r="AF36" s="1013"/>
      <c r="AG36" s="1524">
        <v>0</v>
      </c>
      <c r="AH36" s="116"/>
      <c r="AI36" s="1071"/>
      <c r="AJ36" s="116">
        <f t="shared" si="1"/>
        <v>0</v>
      </c>
      <c r="AK36" s="1072"/>
      <c r="AL36" s="1711">
        <f t="shared" ref="AL36:AL42" si="3">ROUND(IF(AG36=0,0,AJ36/ABS(AG36)),3)</f>
        <v>0</v>
      </c>
    </row>
    <row r="37" spans="1:39">
      <c r="A37" s="104"/>
      <c r="B37" s="881" t="s">
        <v>983</v>
      </c>
      <c r="C37" s="104"/>
      <c r="D37" s="104"/>
      <c r="E37" s="1524">
        <v>0</v>
      </c>
      <c r="F37" s="884"/>
      <c r="G37" s="1524">
        <v>0</v>
      </c>
      <c r="H37" s="884"/>
      <c r="I37" s="1524">
        <v>0</v>
      </c>
      <c r="J37" s="884"/>
      <c r="K37" s="1524">
        <v>0</v>
      </c>
      <c r="L37" s="884"/>
      <c r="M37" s="1524">
        <v>0</v>
      </c>
      <c r="N37" s="884"/>
      <c r="O37" s="1524">
        <f t="shared" si="0"/>
        <v>0</v>
      </c>
      <c r="P37" s="884"/>
      <c r="Q37" s="1524"/>
      <c r="R37" s="884"/>
      <c r="S37" s="1524"/>
      <c r="T37" s="1524"/>
      <c r="U37" s="1524"/>
      <c r="V37" s="884"/>
      <c r="W37" s="1524"/>
      <c r="X37" s="884"/>
      <c r="Y37" s="1524"/>
      <c r="Z37" s="884"/>
      <c r="AA37" s="1524"/>
      <c r="AB37" s="884"/>
      <c r="AC37" s="1402"/>
      <c r="AD37" s="1524">
        <v>0</v>
      </c>
      <c r="AE37" s="3172"/>
      <c r="AF37" s="1013"/>
      <c r="AG37" s="1524">
        <v>0</v>
      </c>
      <c r="AH37" s="116"/>
      <c r="AI37" s="1071"/>
      <c r="AJ37" s="116">
        <f t="shared" si="1"/>
        <v>0</v>
      </c>
      <c r="AK37" s="1072"/>
      <c r="AL37" s="1711">
        <f t="shared" si="3"/>
        <v>0</v>
      </c>
    </row>
    <row r="38" spans="1:39">
      <c r="A38" s="104"/>
      <c r="B38" s="881" t="s">
        <v>984</v>
      </c>
      <c r="C38" s="104"/>
      <c r="D38" s="104"/>
      <c r="E38" s="1524">
        <v>0</v>
      </c>
      <c r="F38" s="884"/>
      <c r="G38" s="1524">
        <v>0</v>
      </c>
      <c r="H38" s="884"/>
      <c r="I38" s="1524">
        <v>0</v>
      </c>
      <c r="J38" s="884"/>
      <c r="K38" s="1524">
        <v>0</v>
      </c>
      <c r="L38" s="884"/>
      <c r="M38" s="1524">
        <v>0</v>
      </c>
      <c r="N38" s="884"/>
      <c r="O38" s="1524">
        <f t="shared" si="0"/>
        <v>-0.1</v>
      </c>
      <c r="P38" s="884"/>
      <c r="Q38" s="1524"/>
      <c r="R38" s="884"/>
      <c r="S38" s="1524"/>
      <c r="T38" s="1524"/>
      <c r="U38" s="1524"/>
      <c r="V38" s="884"/>
      <c r="W38" s="1524"/>
      <c r="X38" s="884"/>
      <c r="Y38" s="1524"/>
      <c r="Z38" s="884"/>
      <c r="AA38" s="1524"/>
      <c r="AB38" s="884"/>
      <c r="AC38" s="1402"/>
      <c r="AD38" s="1524">
        <v>-0.1</v>
      </c>
      <c r="AE38" s="3172"/>
      <c r="AF38" s="1013"/>
      <c r="AG38" s="1524">
        <v>0</v>
      </c>
      <c r="AH38" s="116"/>
      <c r="AI38" s="1071"/>
      <c r="AJ38" s="116">
        <f t="shared" si="1"/>
        <v>-0.1</v>
      </c>
      <c r="AK38" s="1072"/>
      <c r="AL38" s="1634">
        <f>-ROUND(IF(AG38=0,1,AJ38/ABS(AG38)),3)</f>
        <v>-1</v>
      </c>
    </row>
    <row r="39" spans="1:39">
      <c r="A39" s="104"/>
      <c r="B39" s="881" t="s">
        <v>987</v>
      </c>
      <c r="C39" s="104"/>
      <c r="D39" s="104"/>
      <c r="E39" s="1524">
        <v>0</v>
      </c>
      <c r="F39" s="884"/>
      <c r="G39" s="1524">
        <v>0</v>
      </c>
      <c r="H39" s="884"/>
      <c r="I39" s="1524">
        <v>0</v>
      </c>
      <c r="J39" s="884"/>
      <c r="K39" s="1524">
        <v>0</v>
      </c>
      <c r="L39" s="884"/>
      <c r="M39" s="1524">
        <v>0</v>
      </c>
      <c r="N39" s="884"/>
      <c r="O39" s="1524">
        <f t="shared" si="0"/>
        <v>0</v>
      </c>
      <c r="P39" s="884"/>
      <c r="Q39" s="1524"/>
      <c r="R39" s="884"/>
      <c r="S39" s="1524"/>
      <c r="T39" s="1524"/>
      <c r="U39" s="1524"/>
      <c r="V39" s="884"/>
      <c r="W39" s="1524"/>
      <c r="X39" s="884"/>
      <c r="Y39" s="1524"/>
      <c r="Z39" s="884"/>
      <c r="AA39" s="1524"/>
      <c r="AB39" s="884"/>
      <c r="AC39" s="1402"/>
      <c r="AD39" s="1524">
        <v>0</v>
      </c>
      <c r="AE39" s="3172"/>
      <c r="AF39" s="1013"/>
      <c r="AG39" s="1524">
        <v>0</v>
      </c>
      <c r="AH39" s="116"/>
      <c r="AI39" s="1071"/>
      <c r="AJ39" s="116">
        <f t="shared" si="1"/>
        <v>0</v>
      </c>
      <c r="AK39" s="1072"/>
      <c r="AL39" s="1711">
        <f t="shared" si="3"/>
        <v>0</v>
      </c>
    </row>
    <row r="40" spans="1:39">
      <c r="A40" s="104"/>
      <c r="B40" s="881" t="s">
        <v>989</v>
      </c>
      <c r="C40" s="104"/>
      <c r="D40" s="104"/>
      <c r="E40" s="1524">
        <v>0</v>
      </c>
      <c r="F40" s="884"/>
      <c r="G40" s="1524">
        <v>0</v>
      </c>
      <c r="H40" s="884"/>
      <c r="I40" s="1524">
        <v>0</v>
      </c>
      <c r="J40" s="884"/>
      <c r="K40" s="1524">
        <v>0</v>
      </c>
      <c r="L40" s="884"/>
      <c r="M40" s="1524">
        <v>0</v>
      </c>
      <c r="N40" s="884"/>
      <c r="O40" s="1524">
        <f t="shared" si="0"/>
        <v>0</v>
      </c>
      <c r="P40" s="884"/>
      <c r="Q40" s="1524"/>
      <c r="R40" s="884"/>
      <c r="S40" s="1524"/>
      <c r="T40" s="1524"/>
      <c r="U40" s="1524"/>
      <c r="V40" s="884"/>
      <c r="W40" s="1524"/>
      <c r="X40" s="884"/>
      <c r="Y40" s="1524"/>
      <c r="Z40" s="884"/>
      <c r="AA40" s="1524"/>
      <c r="AB40" s="884"/>
      <c r="AC40" s="1402"/>
      <c r="AD40" s="1524">
        <v>0</v>
      </c>
      <c r="AE40" s="3172"/>
      <c r="AF40" s="1013"/>
      <c r="AG40" s="1524">
        <v>0</v>
      </c>
      <c r="AH40" s="116"/>
      <c r="AI40" s="1071"/>
      <c r="AJ40" s="116">
        <f t="shared" si="1"/>
        <v>0</v>
      </c>
      <c r="AK40" s="1072"/>
      <c r="AL40" s="1711">
        <f t="shared" si="3"/>
        <v>0</v>
      </c>
    </row>
    <row r="41" spans="1:39">
      <c r="A41" s="104"/>
      <c r="B41" s="881" t="s">
        <v>961</v>
      </c>
      <c r="C41" s="104"/>
      <c r="D41" s="104"/>
      <c r="E41" s="1524">
        <v>0</v>
      </c>
      <c r="F41" s="884"/>
      <c r="G41" s="1524">
        <v>0</v>
      </c>
      <c r="H41" s="884"/>
      <c r="I41" s="1524">
        <v>0</v>
      </c>
      <c r="J41" s="884"/>
      <c r="K41" s="1524">
        <v>0</v>
      </c>
      <c r="L41" s="884"/>
      <c r="M41" s="1524">
        <v>0</v>
      </c>
      <c r="N41" s="1520"/>
      <c r="O41" s="1524">
        <f t="shared" si="0"/>
        <v>0</v>
      </c>
      <c r="P41" s="1520"/>
      <c r="Q41" s="1524"/>
      <c r="R41" s="1520"/>
      <c r="S41" s="1524"/>
      <c r="T41" s="1520"/>
      <c r="U41" s="1524"/>
      <c r="V41" s="1520"/>
      <c r="W41" s="1524"/>
      <c r="X41" s="1520"/>
      <c r="Y41" s="1524"/>
      <c r="Z41" s="1520"/>
      <c r="AA41" s="1524"/>
      <c r="AB41" s="115"/>
      <c r="AC41" s="668"/>
      <c r="AD41" s="1773">
        <v>0</v>
      </c>
      <c r="AE41" s="3157"/>
      <c r="AF41" s="1961"/>
      <c r="AG41" s="1790">
        <v>0.1</v>
      </c>
      <c r="AH41" s="116"/>
      <c r="AI41" s="1071"/>
      <c r="AJ41" s="116">
        <f t="shared" si="1"/>
        <v>-0.1</v>
      </c>
      <c r="AK41" s="1072"/>
      <c r="AL41" s="1708">
        <f>ROUND(IF(AG41=0,0,AJ41/ABS(AG41)),3)</f>
        <v>-1</v>
      </c>
    </row>
    <row r="42" spans="1:39" s="3659" customFormat="1" collapsed="1">
      <c r="A42" s="102"/>
      <c r="B42" s="307" t="s">
        <v>996</v>
      </c>
      <c r="C42" s="102"/>
      <c r="D42" s="102"/>
      <c r="E42" s="1523">
        <f>ROUND(SUM(E19:E41),1)</f>
        <v>0</v>
      </c>
      <c r="F42" s="109"/>
      <c r="G42" s="1523">
        <f>ROUND(SUM(G19:G41),1)</f>
        <v>0</v>
      </c>
      <c r="H42" s="1084"/>
      <c r="I42" s="1523">
        <f>ROUND(SUM(I19:I41),1)</f>
        <v>0</v>
      </c>
      <c r="J42" s="109"/>
      <c r="K42" s="1523">
        <f>ROUND(SUM(K19:K41),1)</f>
        <v>0</v>
      </c>
      <c r="L42" s="109"/>
      <c r="M42" s="1523">
        <f>ROUND(SUM(M19:M41),1)</f>
        <v>0</v>
      </c>
      <c r="N42" s="109"/>
      <c r="O42" s="1523">
        <f>ROUND(SUM(O19:O41),1)</f>
        <v>-0.1</v>
      </c>
      <c r="P42" s="109"/>
      <c r="Q42" s="1523">
        <f>ROUND(SUM(Q19:Q41),1)</f>
        <v>0</v>
      </c>
      <c r="R42" s="109"/>
      <c r="S42" s="1523">
        <f>ROUND(SUM(S19:S41),1)</f>
        <v>0</v>
      </c>
      <c r="T42" s="109"/>
      <c r="U42" s="1523">
        <f>ROUND(SUM(U19:U41),1)</f>
        <v>0</v>
      </c>
      <c r="V42" s="109"/>
      <c r="W42" s="1523">
        <f>ROUND(SUM(W19:W41),1)</f>
        <v>0</v>
      </c>
      <c r="X42" s="109"/>
      <c r="Y42" s="1523">
        <f>ROUND(SUM(Y19:Y41),1)</f>
        <v>0</v>
      </c>
      <c r="Z42" s="109"/>
      <c r="AA42" s="1523">
        <f>ROUND(SUM(AA19:AA41),1)</f>
        <v>0</v>
      </c>
      <c r="AB42" s="109"/>
      <c r="AC42" s="669"/>
      <c r="AD42" s="1523">
        <f>ROUND(SUM(AD19:AD41),1)</f>
        <v>-0.1</v>
      </c>
      <c r="AE42" s="1075"/>
      <c r="AF42" s="112"/>
      <c r="AG42" s="1523">
        <f>ROUND(SUM(AG19:AG41),1)</f>
        <v>0.5</v>
      </c>
      <c r="AH42" s="1094"/>
      <c r="AI42" s="1071"/>
      <c r="AJ42" s="1523">
        <f>ROUND(SUM(AJ19:AJ41),1)</f>
        <v>-0.6</v>
      </c>
      <c r="AK42" s="3658"/>
      <c r="AL42" s="3294">
        <f t="shared" si="3"/>
        <v>-1.2</v>
      </c>
    </row>
    <row r="43" spans="1:39" s="3176" customFormat="1">
      <c r="A43" s="115"/>
      <c r="B43" s="3660"/>
      <c r="C43" s="115"/>
      <c r="D43" s="115"/>
      <c r="E43" s="1524"/>
      <c r="F43" s="884"/>
      <c r="G43" s="1111"/>
      <c r="H43" s="884"/>
      <c r="I43" s="1524"/>
      <c r="J43" s="884"/>
      <c r="K43" s="1111"/>
      <c r="L43" s="115"/>
      <c r="M43" s="1069"/>
      <c r="N43" s="115"/>
      <c r="O43" s="666"/>
      <c r="P43" s="115"/>
      <c r="Q43" s="1069"/>
      <c r="R43" s="115"/>
      <c r="S43" s="666"/>
      <c r="T43" s="115"/>
      <c r="U43" s="666"/>
      <c r="V43" s="115"/>
      <c r="W43" s="1069"/>
      <c r="X43" s="115"/>
      <c r="Y43" s="1069"/>
      <c r="Z43" s="115"/>
      <c r="AA43" s="1069"/>
      <c r="AB43" s="115"/>
      <c r="AC43" s="668"/>
      <c r="AD43" s="1069"/>
      <c r="AE43" s="1070"/>
      <c r="AF43" s="668"/>
      <c r="AG43" s="1069"/>
      <c r="AH43" s="116"/>
      <c r="AI43" s="1071"/>
      <c r="AJ43" s="355"/>
      <c r="AK43" s="355"/>
      <c r="AL43" s="1073"/>
      <c r="AM43" s="355"/>
    </row>
    <row r="44" spans="1:39">
      <c r="A44" s="104"/>
      <c r="B44" s="104" t="s">
        <v>148</v>
      </c>
      <c r="C44" s="104"/>
      <c r="D44" s="104"/>
      <c r="E44" s="3864">
        <v>5.6</v>
      </c>
      <c r="F44" s="884"/>
      <c r="G44" s="1524">
        <v>23.299999999999997</v>
      </c>
      <c r="H44" s="884"/>
      <c r="I44" s="1524">
        <v>110.10000000000001</v>
      </c>
      <c r="J44" s="884"/>
      <c r="K44" s="1524">
        <v>140.89999999999992</v>
      </c>
      <c r="L44" s="884"/>
      <c r="M44" s="1524">
        <v>167.20000000000005</v>
      </c>
      <c r="N44" s="884"/>
      <c r="O44" s="1524">
        <f t="shared" ref="O44" si="4">$AD44-$E44-$G44-$I44-$K44-$M44</f>
        <v>125.09999999999997</v>
      </c>
      <c r="P44" s="884"/>
      <c r="Q44" s="1524"/>
      <c r="R44" s="884"/>
      <c r="S44" s="1524"/>
      <c r="T44" s="1524"/>
      <c r="U44" s="1524"/>
      <c r="V44" s="884"/>
      <c r="W44" s="1524"/>
      <c r="X44" s="884"/>
      <c r="Y44" s="1524"/>
      <c r="Z44" s="884"/>
      <c r="AA44" s="1524"/>
      <c r="AB44" s="884"/>
      <c r="AC44" s="1402"/>
      <c r="AD44" s="1524">
        <v>572.19999999999993</v>
      </c>
      <c r="AE44" s="3172"/>
      <c r="AF44" s="1013"/>
      <c r="AG44" s="1524">
        <v>927.2</v>
      </c>
      <c r="AH44" s="116"/>
      <c r="AI44" s="1093"/>
      <c r="AJ44" s="1101">
        <f>ROUND(AD44-AG44,1)</f>
        <v>-355</v>
      </c>
      <c r="AK44" s="1072"/>
      <c r="AL44" s="1712">
        <f>ROUND(IF(AG44=0,0,AJ44/ABS(AG44)),3)</f>
        <v>-0.38300000000000001</v>
      </c>
    </row>
    <row r="45" spans="1:39">
      <c r="A45" s="104"/>
      <c r="B45" s="104"/>
      <c r="C45" s="104"/>
      <c r="D45" s="104"/>
      <c r="E45" s="1031"/>
      <c r="F45" s="884"/>
      <c r="G45" s="1031"/>
      <c r="H45" s="884"/>
      <c r="I45" s="1031"/>
      <c r="J45" s="884"/>
      <c r="K45" s="1031"/>
      <c r="L45" s="115"/>
      <c r="M45" s="123"/>
      <c r="N45" s="115"/>
      <c r="O45" s="123"/>
      <c r="P45" s="115"/>
      <c r="Q45" s="123"/>
      <c r="R45" s="115"/>
      <c r="S45" s="123"/>
      <c r="T45" s="115"/>
      <c r="U45" s="123"/>
      <c r="V45" s="115"/>
      <c r="W45" s="123"/>
      <c r="X45" s="115"/>
      <c r="Y45" s="123"/>
      <c r="Z45" s="115"/>
      <c r="AA45" s="123"/>
      <c r="AB45" s="115"/>
      <c r="AC45" s="668"/>
      <c r="AD45" s="123"/>
      <c r="AE45" s="1070"/>
      <c r="AF45" s="668"/>
      <c r="AG45" s="123"/>
      <c r="AH45" s="64"/>
      <c r="AI45" s="1093"/>
      <c r="AJ45" s="355"/>
      <c r="AK45" s="1091"/>
      <c r="AL45" s="1073"/>
    </row>
    <row r="46" spans="1:39">
      <c r="A46" s="104"/>
      <c r="B46" s="102" t="s">
        <v>195</v>
      </c>
      <c r="C46" s="104"/>
      <c r="D46" s="104"/>
      <c r="E46" s="109">
        <f>ROUND(SUM(E42+E44),1)</f>
        <v>5.6</v>
      </c>
      <c r="F46" s="109"/>
      <c r="G46" s="109">
        <f>ROUND(SUM(G42+G44),1)</f>
        <v>23.3</v>
      </c>
      <c r="H46" s="109"/>
      <c r="I46" s="109">
        <f>ROUND(SUM(I42+I44),1)</f>
        <v>110.1</v>
      </c>
      <c r="J46" s="109"/>
      <c r="K46" s="109">
        <f>ROUND(SUM(K42+K44),1)</f>
        <v>140.9</v>
      </c>
      <c r="L46" s="109"/>
      <c r="M46" s="109">
        <f>ROUND(SUM(M42+M44),1)</f>
        <v>167.2</v>
      </c>
      <c r="N46" s="109"/>
      <c r="O46" s="109">
        <f>ROUND(SUM(O42+O44),1)</f>
        <v>125</v>
      </c>
      <c r="P46" s="109"/>
      <c r="Q46" s="109">
        <f>ROUND(SUM(Q42+Q44),1)</f>
        <v>0</v>
      </c>
      <c r="R46" s="109"/>
      <c r="S46" s="109">
        <f>ROUND(SUM(S42+S44),1)</f>
        <v>0</v>
      </c>
      <c r="T46" s="109"/>
      <c r="U46" s="109">
        <f>ROUND(SUM(U42+U44),1)</f>
        <v>0</v>
      </c>
      <c r="V46" s="109"/>
      <c r="W46" s="109">
        <f>ROUND(SUM(W42+W44),1)</f>
        <v>0</v>
      </c>
      <c r="X46" s="109"/>
      <c r="Y46" s="109">
        <f>ROUND(SUM(Y42+Y44),1)</f>
        <v>0</v>
      </c>
      <c r="Z46" s="109"/>
      <c r="AA46" s="109">
        <f>ROUND(SUM(AA42+AA44),1)</f>
        <v>0</v>
      </c>
      <c r="AB46" s="109"/>
      <c r="AC46" s="669"/>
      <c r="AD46" s="109">
        <f>ROUND(SUM(AD42+AD44),1)</f>
        <v>572.1</v>
      </c>
      <c r="AE46" s="1075"/>
      <c r="AF46" s="669"/>
      <c r="AG46" s="109">
        <f>ROUND(SUM(AG42+AG44),1)</f>
        <v>927.7</v>
      </c>
      <c r="AH46" s="1094"/>
      <c r="AI46" s="1093"/>
      <c r="AJ46" s="1096">
        <f>ROUND(SUM(AJ42+AJ44),1)</f>
        <v>-355.6</v>
      </c>
      <c r="AK46" s="1106"/>
      <c r="AL46" s="3661">
        <f>ROUND(SUM(AD46-AG46)/ABS(AG46),3)</f>
        <v>-0.38300000000000001</v>
      </c>
      <c r="AM46" s="3659"/>
    </row>
    <row r="47" spans="1:39">
      <c r="A47" s="104"/>
      <c r="B47" s="104"/>
      <c r="C47" s="104"/>
      <c r="D47" s="104"/>
      <c r="E47" s="1031"/>
      <c r="F47" s="884"/>
      <c r="G47" s="1031"/>
      <c r="H47" s="884"/>
      <c r="I47" s="1031"/>
      <c r="J47" s="884"/>
      <c r="K47" s="1031"/>
      <c r="L47" s="115"/>
      <c r="M47" s="123"/>
      <c r="N47" s="115"/>
      <c r="O47" s="123"/>
      <c r="P47" s="115"/>
      <c r="Q47" s="123"/>
      <c r="R47" s="115"/>
      <c r="S47" s="123"/>
      <c r="T47" s="115"/>
      <c r="U47" s="123"/>
      <c r="V47" s="115"/>
      <c r="W47" s="123"/>
      <c r="X47" s="115"/>
      <c r="Y47" s="123"/>
      <c r="Z47" s="115"/>
      <c r="AA47" s="123"/>
      <c r="AB47" s="115"/>
      <c r="AC47" s="668"/>
      <c r="AD47" s="123"/>
      <c r="AE47" s="1070"/>
      <c r="AF47" s="668"/>
      <c r="AG47" s="123"/>
      <c r="AH47" s="64"/>
      <c r="AI47" s="1093"/>
      <c r="AJ47" s="355"/>
      <c r="AK47" s="1091"/>
      <c r="AL47" s="1073"/>
    </row>
    <row r="48" spans="1:39">
      <c r="A48" s="104"/>
      <c r="B48" s="102" t="s">
        <v>22</v>
      </c>
      <c r="C48" s="104"/>
      <c r="D48" s="104"/>
      <c r="E48" s="884"/>
      <c r="F48" s="884"/>
      <c r="G48" s="884"/>
      <c r="H48" s="884"/>
      <c r="I48" s="884"/>
      <c r="J48" s="884"/>
      <c r="K48" s="884"/>
      <c r="L48" s="115"/>
      <c r="M48" s="115"/>
      <c r="N48" s="115"/>
      <c r="O48" s="115"/>
      <c r="P48" s="115"/>
      <c r="Q48" s="115"/>
      <c r="R48" s="115"/>
      <c r="S48" s="115"/>
      <c r="T48" s="115"/>
      <c r="U48" s="115"/>
      <c r="V48" s="115"/>
      <c r="W48" s="115"/>
      <c r="X48" s="115"/>
      <c r="Y48" s="115"/>
      <c r="Z48" s="115"/>
      <c r="AA48" s="115"/>
      <c r="AB48" s="115"/>
      <c r="AC48" s="668"/>
      <c r="AD48" s="115"/>
      <c r="AE48" s="1070"/>
      <c r="AF48" s="668"/>
      <c r="AG48" s="115"/>
      <c r="AH48" s="115"/>
      <c r="AI48" s="1093"/>
      <c r="AJ48" s="355"/>
      <c r="AK48" s="1091"/>
      <c r="AL48" s="1073"/>
    </row>
    <row r="49" spans="1:41">
      <c r="A49" s="104"/>
      <c r="B49" s="104" t="s">
        <v>150</v>
      </c>
      <c r="C49" s="104"/>
      <c r="D49" s="104"/>
      <c r="E49" s="1524"/>
      <c r="F49" s="884"/>
      <c r="G49" s="884"/>
      <c r="H49" s="884"/>
      <c r="I49" s="884"/>
      <c r="J49" s="884"/>
      <c r="K49" s="884"/>
      <c r="L49" s="115"/>
      <c r="M49" s="115"/>
      <c r="N49" s="115"/>
      <c r="O49" s="115"/>
      <c r="P49" s="115"/>
      <c r="Q49" s="1069"/>
      <c r="R49" s="115"/>
      <c r="S49" s="115"/>
      <c r="T49" s="115"/>
      <c r="U49" s="115"/>
      <c r="V49" s="115"/>
      <c r="W49" s="115"/>
      <c r="X49" s="115"/>
      <c r="Y49" s="115"/>
      <c r="Z49" s="115"/>
      <c r="AA49" s="115"/>
      <c r="AB49" s="115"/>
      <c r="AC49" s="668"/>
      <c r="AD49" s="115"/>
      <c r="AE49" s="1070"/>
      <c r="AF49" s="668"/>
      <c r="AG49" s="115"/>
      <c r="AH49" s="115"/>
      <c r="AI49" s="1093"/>
      <c r="AJ49" s="355"/>
      <c r="AK49" s="1072"/>
      <c r="AL49" s="1073"/>
    </row>
    <row r="50" spans="1:41">
      <c r="A50" s="104"/>
      <c r="B50" s="104" t="s">
        <v>24</v>
      </c>
      <c r="C50" s="104"/>
      <c r="D50" s="104"/>
      <c r="E50" s="1524">
        <v>0</v>
      </c>
      <c r="F50" s="884"/>
      <c r="G50" s="1524">
        <v>0</v>
      </c>
      <c r="H50" s="884"/>
      <c r="I50" s="1524">
        <v>0</v>
      </c>
      <c r="J50" s="884"/>
      <c r="K50" s="1524">
        <v>0</v>
      </c>
      <c r="L50" s="884"/>
      <c r="M50" s="1524">
        <v>0</v>
      </c>
      <c r="N50" s="884"/>
      <c r="O50" s="1524">
        <f t="shared" ref="O50:O59" si="5">$AD50-$E50-$G50-$I50-$K50-$M50</f>
        <v>0</v>
      </c>
      <c r="P50" s="884"/>
      <c r="Q50" s="1524"/>
      <c r="R50" s="884"/>
      <c r="S50" s="1524"/>
      <c r="T50" s="1524"/>
      <c r="U50" s="1524"/>
      <c r="V50" s="884"/>
      <c r="W50" s="1524"/>
      <c r="X50" s="1524"/>
      <c r="Y50" s="1524"/>
      <c r="Z50" s="884"/>
      <c r="AA50" s="1524"/>
      <c r="AB50" s="884"/>
      <c r="AC50" s="1402"/>
      <c r="AD50" s="1524">
        <v>0</v>
      </c>
      <c r="AE50" s="3172"/>
      <c r="AF50" s="1013"/>
      <c r="AG50" s="1524">
        <v>0</v>
      </c>
      <c r="AH50" s="116"/>
      <c r="AI50" s="1071"/>
      <c r="AJ50" s="1102">
        <f>ROUND(AD50-AG50,1)</f>
        <v>0</v>
      </c>
      <c r="AK50" s="1072"/>
      <c r="AL50" s="1711">
        <f>ROUND(IF(AG50=0,0,AJ50/ABS(AG50)),3)</f>
        <v>0</v>
      </c>
    </row>
    <row r="51" spans="1:41">
      <c r="A51" s="104"/>
      <c r="B51" s="104" t="s">
        <v>25</v>
      </c>
      <c r="C51" s="104"/>
      <c r="D51" s="104"/>
      <c r="E51" s="1524">
        <v>0</v>
      </c>
      <c r="F51" s="884"/>
      <c r="G51" s="1524">
        <v>0</v>
      </c>
      <c r="H51" s="884"/>
      <c r="I51" s="1524">
        <v>0</v>
      </c>
      <c r="J51" s="884"/>
      <c r="K51" s="1524">
        <v>0</v>
      </c>
      <c r="L51" s="884"/>
      <c r="M51" s="1524">
        <v>0</v>
      </c>
      <c r="N51" s="884"/>
      <c r="O51" s="1524">
        <f t="shared" si="5"/>
        <v>0</v>
      </c>
      <c r="P51" s="884"/>
      <c r="Q51" s="1524"/>
      <c r="R51" s="884"/>
      <c r="S51" s="1524"/>
      <c r="T51" s="1524"/>
      <c r="U51" s="1524"/>
      <c r="V51" s="884"/>
      <c r="W51" s="1524"/>
      <c r="X51" s="1524"/>
      <c r="Y51" s="1524"/>
      <c r="Z51" s="884"/>
      <c r="AA51" s="1524"/>
      <c r="AB51" s="884"/>
      <c r="AC51" s="1402"/>
      <c r="AD51" s="1524">
        <v>0</v>
      </c>
      <c r="AE51" s="3172"/>
      <c r="AF51" s="1013"/>
      <c r="AG51" s="1524">
        <v>0</v>
      </c>
      <c r="AH51" s="116"/>
      <c r="AI51" s="1071"/>
      <c r="AJ51" s="1102">
        <f>ROUND(AD51-AG51,1)</f>
        <v>0</v>
      </c>
      <c r="AK51" s="1072"/>
      <c r="AL51" s="1713">
        <f>ROUND(IF(AG51=0,0,AJ51/ABS(AG51)),3)</f>
        <v>0</v>
      </c>
    </row>
    <row r="52" spans="1:41">
      <c r="A52" s="104"/>
      <c r="B52" s="104" t="s">
        <v>26</v>
      </c>
      <c r="C52" s="104"/>
      <c r="D52" s="104"/>
      <c r="E52" s="1524">
        <v>0</v>
      </c>
      <c r="F52" s="884"/>
      <c r="G52" s="1524">
        <v>0</v>
      </c>
      <c r="H52" s="884"/>
      <c r="I52" s="1524">
        <v>0</v>
      </c>
      <c r="J52" s="884"/>
      <c r="K52" s="1524">
        <v>0</v>
      </c>
      <c r="L52" s="884"/>
      <c r="M52" s="1524">
        <v>0</v>
      </c>
      <c r="N52" s="884"/>
      <c r="O52" s="1524">
        <f t="shared" si="5"/>
        <v>0</v>
      </c>
      <c r="P52" s="884"/>
      <c r="Q52" s="1524"/>
      <c r="R52" s="884"/>
      <c r="S52" s="1524"/>
      <c r="T52" s="1524"/>
      <c r="U52" s="1524"/>
      <c r="V52" s="884"/>
      <c r="W52" s="1524"/>
      <c r="X52" s="1524"/>
      <c r="Y52" s="1524"/>
      <c r="Z52" s="884"/>
      <c r="AA52" s="1524"/>
      <c r="AB52" s="884"/>
      <c r="AC52" s="1402"/>
      <c r="AD52" s="1524">
        <v>0</v>
      </c>
      <c r="AE52" s="3172"/>
      <c r="AF52" s="1013"/>
      <c r="AG52" s="1524">
        <v>0</v>
      </c>
      <c r="AH52" s="116"/>
      <c r="AI52" s="1071"/>
      <c r="AJ52" s="1102">
        <f>ROUND(AD52-AG52,1)</f>
        <v>0</v>
      </c>
      <c r="AK52" s="1091"/>
      <c r="AL52" s="1711">
        <f>ROUND(IF(AG52=0,0,AJ52/ABS(AG52)),3)</f>
        <v>0</v>
      </c>
    </row>
    <row r="53" spans="1:41">
      <c r="A53" s="104"/>
      <c r="B53" s="104" t="s">
        <v>27</v>
      </c>
      <c r="C53" s="104"/>
      <c r="D53" s="104"/>
      <c r="E53" s="1524" t="s">
        <v>14</v>
      </c>
      <c r="F53" s="884"/>
      <c r="G53" s="1524"/>
      <c r="H53" s="884"/>
      <c r="I53" s="1524"/>
      <c r="J53" s="884"/>
      <c r="K53" s="1524"/>
      <c r="L53" s="884"/>
      <c r="M53" s="1524"/>
      <c r="N53" s="884"/>
      <c r="O53" s="1524"/>
      <c r="P53" s="884"/>
      <c r="Q53" s="1524"/>
      <c r="R53" s="884"/>
      <c r="S53" s="1524"/>
      <c r="T53" s="1524"/>
      <c r="U53" s="1524"/>
      <c r="V53" s="884"/>
      <c r="W53" s="1524"/>
      <c r="X53" s="1524"/>
      <c r="Y53" s="1524"/>
      <c r="Z53" s="884"/>
      <c r="AA53" s="1524"/>
      <c r="AB53" s="884"/>
      <c r="AC53" s="1402"/>
      <c r="AD53" s="1524"/>
      <c r="AE53" s="3172"/>
      <c r="AF53" s="1013"/>
      <c r="AG53" s="1524"/>
      <c r="AH53" s="115"/>
      <c r="AI53" s="1093"/>
      <c r="AJ53" s="1103"/>
      <c r="AK53" s="1072"/>
      <c r="AL53" s="1714" t="s">
        <v>14</v>
      </c>
    </row>
    <row r="54" spans="1:41">
      <c r="A54" s="104"/>
      <c r="B54" s="104" t="s">
        <v>28</v>
      </c>
      <c r="C54" s="102"/>
      <c r="D54" s="104"/>
      <c r="E54" s="1524">
        <v>0</v>
      </c>
      <c r="F54" s="884"/>
      <c r="G54" s="1524">
        <v>0</v>
      </c>
      <c r="H54" s="884"/>
      <c r="I54" s="1524">
        <v>0</v>
      </c>
      <c r="J54" s="884"/>
      <c r="K54" s="1524">
        <v>0</v>
      </c>
      <c r="L54" s="884"/>
      <c r="M54" s="1524">
        <v>0</v>
      </c>
      <c r="N54" s="884"/>
      <c r="O54" s="1524">
        <f t="shared" si="5"/>
        <v>0</v>
      </c>
      <c r="P54" s="884"/>
      <c r="Q54" s="1524"/>
      <c r="R54" s="884"/>
      <c r="S54" s="1524"/>
      <c r="T54" s="1524"/>
      <c r="U54" s="1524"/>
      <c r="V54" s="884"/>
      <c r="W54" s="1524"/>
      <c r="X54" s="1524"/>
      <c r="Y54" s="1524"/>
      <c r="Z54" s="884"/>
      <c r="AA54" s="1524"/>
      <c r="AB54" s="884"/>
      <c r="AC54" s="1402"/>
      <c r="AD54" s="1524">
        <v>0</v>
      </c>
      <c r="AE54" s="3172"/>
      <c r="AF54" s="1013"/>
      <c r="AG54" s="1524">
        <v>0</v>
      </c>
      <c r="AH54" s="115"/>
      <c r="AI54" s="1093"/>
      <c r="AJ54" s="1102">
        <f t="shared" ref="AJ54:AJ59" si="6">ROUND(AD54-AG54,1)</f>
        <v>0</v>
      </c>
      <c r="AK54" s="1091"/>
      <c r="AL54" s="1711">
        <f>ROUND(IF(AG54=0,0,AJ54/ABS(AG54)),3)</f>
        <v>0</v>
      </c>
      <c r="AM54" s="1091"/>
    </row>
    <row r="55" spans="1:41">
      <c r="A55" s="104"/>
      <c r="B55" s="104" t="s">
        <v>29</v>
      </c>
      <c r="C55" s="104"/>
      <c r="D55" s="104"/>
      <c r="E55" s="1524">
        <v>0</v>
      </c>
      <c r="F55" s="884"/>
      <c r="G55" s="1524">
        <v>0</v>
      </c>
      <c r="H55" s="884"/>
      <c r="I55" s="1524">
        <v>3.7</v>
      </c>
      <c r="J55" s="884"/>
      <c r="K55" s="1524">
        <v>0</v>
      </c>
      <c r="L55" s="884"/>
      <c r="M55" s="1524">
        <v>0</v>
      </c>
      <c r="N55" s="884"/>
      <c r="O55" s="1524">
        <f t="shared" si="5"/>
        <v>0.59999999999999964</v>
      </c>
      <c r="P55" s="884"/>
      <c r="Q55" s="1524"/>
      <c r="R55" s="884"/>
      <c r="S55" s="1524"/>
      <c r="T55" s="1524"/>
      <c r="U55" s="1524"/>
      <c r="V55" s="884"/>
      <c r="W55" s="1524"/>
      <c r="X55" s="1524"/>
      <c r="Y55" s="1524"/>
      <c r="Z55" s="884"/>
      <c r="AA55" s="1524"/>
      <c r="AB55" s="884"/>
      <c r="AC55" s="1402"/>
      <c r="AD55" s="1524">
        <v>4.3</v>
      </c>
      <c r="AE55" s="3172"/>
      <c r="AF55" s="1013"/>
      <c r="AG55" s="1524">
        <v>1.8</v>
      </c>
      <c r="AH55" s="116"/>
      <c r="AI55" s="1071"/>
      <c r="AJ55" s="1102">
        <f t="shared" si="6"/>
        <v>2.5</v>
      </c>
      <c r="AK55" s="1072"/>
      <c r="AL55" s="2179">
        <f>ROUND(IF(AG55=0,1,AJ55/ABS(AG55)),3)</f>
        <v>1.389</v>
      </c>
    </row>
    <row r="56" spans="1:41">
      <c r="A56" s="104"/>
      <c r="B56" s="104" t="s">
        <v>30</v>
      </c>
      <c r="C56" s="104"/>
      <c r="D56" s="104"/>
      <c r="E56" s="1524">
        <v>0</v>
      </c>
      <c r="F56" s="884"/>
      <c r="G56" s="1524">
        <v>0</v>
      </c>
      <c r="H56" s="884"/>
      <c r="I56" s="1524">
        <v>21.2</v>
      </c>
      <c r="J56" s="884"/>
      <c r="K56" s="1524">
        <v>0</v>
      </c>
      <c r="L56" s="884"/>
      <c r="M56" s="1524">
        <v>0</v>
      </c>
      <c r="N56" s="884"/>
      <c r="O56" s="1524">
        <f t="shared" si="5"/>
        <v>0</v>
      </c>
      <c r="P56" s="884"/>
      <c r="Q56" s="1524"/>
      <c r="R56" s="884"/>
      <c r="S56" s="1524"/>
      <c r="T56" s="1524"/>
      <c r="U56" s="1524"/>
      <c r="V56" s="884"/>
      <c r="W56" s="1524"/>
      <c r="X56" s="1524"/>
      <c r="Y56" s="1524"/>
      <c r="Z56" s="884"/>
      <c r="AA56" s="1524"/>
      <c r="AB56" s="884"/>
      <c r="AC56" s="1402"/>
      <c r="AD56" s="1524">
        <v>21.2</v>
      </c>
      <c r="AE56" s="3172"/>
      <c r="AF56" s="1013"/>
      <c r="AG56" s="1524">
        <v>3.5</v>
      </c>
      <c r="AH56" s="116"/>
      <c r="AI56" s="1071"/>
      <c r="AJ56" s="1102">
        <f t="shared" si="6"/>
        <v>17.7</v>
      </c>
      <c r="AK56" s="1091"/>
      <c r="AL56" s="2179">
        <f>ROUND(IF(AG56=0,0,AJ56/ABS(AG56)),3)</f>
        <v>5.0570000000000004</v>
      </c>
    </row>
    <row r="57" spans="1:41">
      <c r="A57" s="104"/>
      <c r="B57" s="104" t="s">
        <v>31</v>
      </c>
      <c r="C57" s="104"/>
      <c r="D57" s="104"/>
      <c r="E57" s="1524">
        <v>0</v>
      </c>
      <c r="F57" s="884"/>
      <c r="G57" s="1524">
        <v>0</v>
      </c>
      <c r="H57" s="884"/>
      <c r="I57" s="1524">
        <v>0</v>
      </c>
      <c r="J57" s="884"/>
      <c r="K57" s="1524">
        <v>0</v>
      </c>
      <c r="L57" s="884"/>
      <c r="M57" s="1524">
        <v>0</v>
      </c>
      <c r="N57" s="884"/>
      <c r="O57" s="1524">
        <f t="shared" si="5"/>
        <v>0</v>
      </c>
      <c r="P57" s="884"/>
      <c r="Q57" s="1524"/>
      <c r="R57" s="884"/>
      <c r="S57" s="1524"/>
      <c r="T57" s="1524"/>
      <c r="U57" s="1524"/>
      <c r="V57" s="884"/>
      <c r="W57" s="1524"/>
      <c r="X57" s="1524"/>
      <c r="Y57" s="1524"/>
      <c r="Z57" s="884"/>
      <c r="AA57" s="1524"/>
      <c r="AB57" s="884"/>
      <c r="AC57" s="1402"/>
      <c r="AD57" s="1524">
        <v>0</v>
      </c>
      <c r="AE57" s="3172"/>
      <c r="AF57" s="1013"/>
      <c r="AG57" s="1524">
        <v>0</v>
      </c>
      <c r="AH57" s="115"/>
      <c r="AI57" s="1093"/>
      <c r="AJ57" s="1102">
        <f t="shared" si="6"/>
        <v>0</v>
      </c>
      <c r="AK57" s="1072"/>
      <c r="AL57" s="1711">
        <f>ROUND(IF(AG57=0,0,AJ57/ABS(AG57)),3)</f>
        <v>0</v>
      </c>
    </row>
    <row r="58" spans="1:41">
      <c r="A58" s="104"/>
      <c r="B58" s="104" t="s">
        <v>32</v>
      </c>
      <c r="C58" s="102"/>
      <c r="D58" s="104"/>
      <c r="E58" s="1524">
        <v>0</v>
      </c>
      <c r="F58" s="884"/>
      <c r="G58" s="1524">
        <v>0</v>
      </c>
      <c r="H58" s="884"/>
      <c r="I58" s="1524">
        <v>0</v>
      </c>
      <c r="J58" s="884"/>
      <c r="K58" s="1524">
        <v>0</v>
      </c>
      <c r="L58" s="884"/>
      <c r="M58" s="1524">
        <v>0</v>
      </c>
      <c r="N58" s="884"/>
      <c r="O58" s="1524">
        <f t="shared" si="5"/>
        <v>0</v>
      </c>
      <c r="P58" s="884"/>
      <c r="Q58" s="1524"/>
      <c r="R58" s="884"/>
      <c r="S58" s="1524"/>
      <c r="T58" s="1524"/>
      <c r="U58" s="1524"/>
      <c r="V58" s="884"/>
      <c r="W58" s="1524"/>
      <c r="X58" s="1524"/>
      <c r="Y58" s="1524"/>
      <c r="Z58" s="884"/>
      <c r="AA58" s="1524"/>
      <c r="AB58" s="884"/>
      <c r="AC58" s="1402"/>
      <c r="AD58" s="1524">
        <v>0</v>
      </c>
      <c r="AE58" s="3172"/>
      <c r="AF58" s="1013"/>
      <c r="AG58" s="1524">
        <v>0</v>
      </c>
      <c r="AH58" s="115"/>
      <c r="AI58" s="1093"/>
      <c r="AJ58" s="1102">
        <f t="shared" si="6"/>
        <v>0</v>
      </c>
      <c r="AK58" s="1091"/>
      <c r="AL58" s="1711">
        <f>ROUND(IF(AG58=0,0,AJ58/ABS(AG58)),3)</f>
        <v>0</v>
      </c>
      <c r="AM58" s="1091"/>
    </row>
    <row r="59" spans="1:41">
      <c r="A59" s="104"/>
      <c r="B59" s="104" t="s">
        <v>33</v>
      </c>
      <c r="C59" s="104"/>
      <c r="D59" s="104"/>
      <c r="E59" s="1524">
        <v>5.9</v>
      </c>
      <c r="F59" s="884"/>
      <c r="G59" s="1524">
        <v>16.700000000000003</v>
      </c>
      <c r="H59" s="884"/>
      <c r="I59" s="1524">
        <v>44.6</v>
      </c>
      <c r="J59" s="884"/>
      <c r="K59" s="1524">
        <v>51.699999999999996</v>
      </c>
      <c r="L59" s="884"/>
      <c r="M59" s="1524">
        <v>29.299999999999976</v>
      </c>
      <c r="N59" s="884"/>
      <c r="O59" s="1524">
        <f t="shared" si="5"/>
        <v>61.10000000000003</v>
      </c>
      <c r="P59" s="884"/>
      <c r="Q59" s="1524"/>
      <c r="R59" s="884"/>
      <c r="S59" s="1524"/>
      <c r="T59" s="1524"/>
      <c r="U59" s="1524"/>
      <c r="V59" s="884"/>
      <c r="W59" s="1524"/>
      <c r="X59" s="1524"/>
      <c r="Y59" s="1524"/>
      <c r="Z59" s="884"/>
      <c r="AA59" s="1524"/>
      <c r="AB59" s="884"/>
      <c r="AC59" s="1402"/>
      <c r="AD59" s="1524">
        <v>209.3</v>
      </c>
      <c r="AE59" s="3172"/>
      <c r="AF59" s="1013"/>
      <c r="AG59" s="1524">
        <v>236</v>
      </c>
      <c r="AH59" s="64"/>
      <c r="AI59" s="1093"/>
      <c r="AJ59" s="1102">
        <f t="shared" si="6"/>
        <v>-26.7</v>
      </c>
      <c r="AK59" s="1091"/>
      <c r="AL59" s="1715">
        <f>ROUND((AD59-AG59)/ABS(AG59),3)</f>
        <v>-0.113</v>
      </c>
    </row>
    <row r="60" spans="1:41">
      <c r="A60" s="104"/>
      <c r="B60" s="102" t="s">
        <v>196</v>
      </c>
      <c r="C60" s="104"/>
      <c r="D60" s="104"/>
      <c r="E60" s="1085">
        <f>ROUND(SUM(E50:E59),1)</f>
        <v>5.9</v>
      </c>
      <c r="F60" s="109"/>
      <c r="G60" s="1085">
        <f>ROUND(SUM(G50:G59),1)</f>
        <v>16.7</v>
      </c>
      <c r="H60" s="109"/>
      <c r="I60" s="1085">
        <f>ROUND(SUM(I50:I59),1)</f>
        <v>69.5</v>
      </c>
      <c r="J60" s="109"/>
      <c r="K60" s="1085">
        <f>ROUND(SUM(K50:K59),1)</f>
        <v>51.7</v>
      </c>
      <c r="L60" s="109"/>
      <c r="M60" s="1085">
        <f>ROUND(SUM(M50:M59),1)</f>
        <v>29.3</v>
      </c>
      <c r="N60" s="109"/>
      <c r="O60" s="1085">
        <f>ROUND(SUM(O50:O59),1)</f>
        <v>61.7</v>
      </c>
      <c r="P60" s="109"/>
      <c r="Q60" s="1085">
        <f>ROUND(SUM(Q50:Q59),1)</f>
        <v>0</v>
      </c>
      <c r="R60" s="109"/>
      <c r="S60" s="1085">
        <f>ROUND(SUM(S50:S59),1)</f>
        <v>0</v>
      </c>
      <c r="T60" s="109"/>
      <c r="U60" s="1085">
        <f>ROUND(SUM(U50:U59),1)</f>
        <v>0</v>
      </c>
      <c r="V60" s="109"/>
      <c r="W60" s="1085">
        <f>ROUND(SUM(W50:W59),1)</f>
        <v>0</v>
      </c>
      <c r="X60" s="109"/>
      <c r="Y60" s="1085">
        <f>ROUND(SUM(Y50:Y59),1)</f>
        <v>0</v>
      </c>
      <c r="Z60" s="109"/>
      <c r="AA60" s="1085">
        <f>ROUND(SUM(AA50:AA59),1)</f>
        <v>0</v>
      </c>
      <c r="AB60" s="109"/>
      <c r="AC60" s="669"/>
      <c r="AD60" s="1085">
        <f>ROUND(SUM(AD50:AD59),1)</f>
        <v>234.8</v>
      </c>
      <c r="AE60" s="1075"/>
      <c r="AF60" s="669"/>
      <c r="AG60" s="1085">
        <f>ROUND(SUM(AG50:AG59),1)</f>
        <v>241.3</v>
      </c>
      <c r="AH60" s="112"/>
      <c r="AI60" s="1093"/>
      <c r="AJ60" s="1085">
        <f>ROUND(SUM(AJ50:AJ59),1)</f>
        <v>-6.5</v>
      </c>
      <c r="AK60" s="3662"/>
      <c r="AL60" s="3663">
        <f>ROUND(SUM(AD60-AG60)/ABS(AG60),3)</f>
        <v>-2.7E-2</v>
      </c>
      <c r="AM60" s="3662"/>
      <c r="AN60" s="3659"/>
      <c r="AO60" s="3659"/>
    </row>
    <row r="61" spans="1:41">
      <c r="A61" s="104"/>
      <c r="B61" s="104" t="s">
        <v>197</v>
      </c>
      <c r="C61" s="104"/>
      <c r="D61" s="104"/>
      <c r="E61" s="884"/>
      <c r="F61" s="884"/>
      <c r="G61" s="884"/>
      <c r="H61" s="884"/>
      <c r="I61" s="884"/>
      <c r="J61" s="884"/>
      <c r="K61" s="884"/>
      <c r="L61" s="115"/>
      <c r="M61" s="115"/>
      <c r="N61" s="115"/>
      <c r="O61" s="115"/>
      <c r="P61" s="115"/>
      <c r="Q61" s="115"/>
      <c r="R61" s="115"/>
      <c r="S61" s="115"/>
      <c r="T61" s="115"/>
      <c r="U61" s="115"/>
      <c r="V61" s="115"/>
      <c r="W61" s="115"/>
      <c r="X61" s="115"/>
      <c r="Y61" s="115"/>
      <c r="Z61" s="115"/>
      <c r="AA61" s="115"/>
      <c r="AB61" s="115"/>
      <c r="AC61" s="668"/>
      <c r="AD61" s="115"/>
      <c r="AE61" s="1070"/>
      <c r="AF61" s="668"/>
      <c r="AG61" s="115"/>
      <c r="AH61" s="115"/>
      <c r="AI61" s="1093"/>
      <c r="AJ61" s="355"/>
      <c r="AK61" s="1091"/>
      <c r="AL61" s="1073"/>
    </row>
    <row r="62" spans="1:41">
      <c r="A62" s="104"/>
      <c r="B62" s="104" t="s">
        <v>198</v>
      </c>
      <c r="C62" s="104"/>
      <c r="D62" s="104"/>
      <c r="E62" s="1524">
        <v>0</v>
      </c>
      <c r="F62" s="884"/>
      <c r="G62" s="1524">
        <v>0</v>
      </c>
      <c r="H62" s="884"/>
      <c r="I62" s="1524">
        <v>0</v>
      </c>
      <c r="J62" s="884"/>
      <c r="K62" s="1524">
        <v>0</v>
      </c>
      <c r="L62" s="884"/>
      <c r="M62" s="1524">
        <v>0</v>
      </c>
      <c r="N62" s="884"/>
      <c r="O62" s="1524">
        <f t="shared" ref="O62:O65" si="7">$AD62-$E62-$G62-$I62-$K62-$M62</f>
        <v>0</v>
      </c>
      <c r="P62" s="884"/>
      <c r="Q62" s="1524"/>
      <c r="R62" s="884"/>
      <c r="S62" s="1524"/>
      <c r="T62" s="1524"/>
      <c r="U62" s="1524"/>
      <c r="V62" s="884"/>
      <c r="W62" s="1524"/>
      <c r="X62" s="884"/>
      <c r="Y62" s="1524"/>
      <c r="Z62" s="884"/>
      <c r="AA62" s="1524"/>
      <c r="AB62" s="884"/>
      <c r="AC62" s="1402"/>
      <c r="AD62" s="1524">
        <v>0</v>
      </c>
      <c r="AE62" s="3172"/>
      <c r="AF62" s="1013"/>
      <c r="AG62" s="1524">
        <v>0</v>
      </c>
      <c r="AH62" s="124"/>
      <c r="AI62" s="1097"/>
      <c r="AJ62" s="1102">
        <f>ROUND(AD62-AG62,1)</f>
        <v>0</v>
      </c>
      <c r="AK62" s="1091"/>
      <c r="AL62" s="1711">
        <f>ROUND(IF(AG62=0,0,AJ62/ABS(AG62)),3)</f>
        <v>0</v>
      </c>
      <c r="AM62" s="1092"/>
    </row>
    <row r="63" spans="1:41">
      <c r="A63" s="104"/>
      <c r="B63" s="104" t="s">
        <v>199</v>
      </c>
      <c r="C63" s="104"/>
      <c r="D63" s="104"/>
      <c r="E63" s="1524">
        <v>0</v>
      </c>
      <c r="F63" s="884"/>
      <c r="G63" s="1524">
        <v>0</v>
      </c>
      <c r="H63" s="884"/>
      <c r="I63" s="1524">
        <v>0</v>
      </c>
      <c r="J63" s="884"/>
      <c r="K63" s="1524">
        <v>0</v>
      </c>
      <c r="L63" s="884"/>
      <c r="M63" s="1524">
        <v>0</v>
      </c>
      <c r="N63" s="884"/>
      <c r="O63" s="1524">
        <f t="shared" si="7"/>
        <v>0</v>
      </c>
      <c r="P63" s="884"/>
      <c r="Q63" s="1524"/>
      <c r="R63" s="884"/>
      <c r="S63" s="1524"/>
      <c r="T63" s="1524"/>
      <c r="U63" s="1524"/>
      <c r="V63" s="884"/>
      <c r="W63" s="1524"/>
      <c r="X63" s="884"/>
      <c r="Y63" s="1524"/>
      <c r="Z63" s="884"/>
      <c r="AA63" s="1524"/>
      <c r="AB63" s="884"/>
      <c r="AC63" s="1402"/>
      <c r="AD63" s="1524">
        <v>0</v>
      </c>
      <c r="AE63" s="3172"/>
      <c r="AF63" s="1013"/>
      <c r="AG63" s="1524">
        <v>0</v>
      </c>
      <c r="AH63" s="124"/>
      <c r="AI63" s="1097"/>
      <c r="AJ63" s="1102">
        <f>ROUND(AD63-AG63,1)</f>
        <v>0</v>
      </c>
      <c r="AK63" s="1091"/>
      <c r="AL63" s="1711">
        <f>ROUND(IF(AG63=0,0,AJ63/ABS(AG63)),3)</f>
        <v>0</v>
      </c>
    </row>
    <row r="64" spans="1:41">
      <c r="A64" s="104"/>
      <c r="B64" s="104" t="s">
        <v>200</v>
      </c>
      <c r="C64" s="104"/>
      <c r="D64" s="104"/>
      <c r="E64" s="1524">
        <v>0</v>
      </c>
      <c r="F64" s="884"/>
      <c r="G64" s="1524">
        <v>0</v>
      </c>
      <c r="H64" s="884"/>
      <c r="I64" s="1524">
        <v>0</v>
      </c>
      <c r="J64" s="884"/>
      <c r="K64" s="1524">
        <v>0</v>
      </c>
      <c r="L64" s="884"/>
      <c r="M64" s="1524">
        <v>0</v>
      </c>
      <c r="N64" s="884"/>
      <c r="O64" s="1524">
        <f t="shared" si="7"/>
        <v>0</v>
      </c>
      <c r="P64" s="884"/>
      <c r="Q64" s="1524"/>
      <c r="R64" s="884"/>
      <c r="S64" s="1524"/>
      <c r="T64" s="1524"/>
      <c r="U64" s="1524"/>
      <c r="V64" s="884"/>
      <c r="W64" s="1524"/>
      <c r="X64" s="884"/>
      <c r="Y64" s="1524"/>
      <c r="Z64" s="884"/>
      <c r="AA64" s="1524"/>
      <c r="AB64" s="884"/>
      <c r="AC64" s="1402"/>
      <c r="AD64" s="1524">
        <v>0</v>
      </c>
      <c r="AE64" s="3172"/>
      <c r="AF64" s="1013"/>
      <c r="AG64" s="1524">
        <v>0</v>
      </c>
      <c r="AH64" s="124"/>
      <c r="AI64" s="1097"/>
      <c r="AJ64" s="1102">
        <f>ROUND(AD64-AG64,1)</f>
        <v>0</v>
      </c>
      <c r="AK64" s="1091"/>
      <c r="AL64" s="1711">
        <f>ROUND(IF(AG64=0,0,AJ64/ABS(AG64)),3)</f>
        <v>0</v>
      </c>
    </row>
    <row r="65" spans="1:39">
      <c r="A65" s="104"/>
      <c r="B65" s="1710" t="s">
        <v>211</v>
      </c>
      <c r="C65" s="104"/>
      <c r="D65" s="104"/>
      <c r="E65" s="1524">
        <v>47.1</v>
      </c>
      <c r="F65" s="884"/>
      <c r="G65" s="3864">
        <v>107</v>
      </c>
      <c r="H65" s="884"/>
      <c r="I65" s="1524">
        <v>168</v>
      </c>
      <c r="J65" s="884"/>
      <c r="K65" s="1524">
        <v>135.59999999999997</v>
      </c>
      <c r="L65" s="884"/>
      <c r="M65" s="1524">
        <v>141.19999999999999</v>
      </c>
      <c r="N65" s="884"/>
      <c r="O65" s="1524">
        <f t="shared" si="7"/>
        <v>163</v>
      </c>
      <c r="P65" s="884"/>
      <c r="Q65" s="1524"/>
      <c r="R65" s="884"/>
      <c r="S65" s="1524"/>
      <c r="T65" s="1524"/>
      <c r="U65" s="1524"/>
      <c r="V65" s="884"/>
      <c r="W65" s="1524"/>
      <c r="X65" s="884"/>
      <c r="Y65" s="1524"/>
      <c r="Z65" s="884"/>
      <c r="AA65" s="1524"/>
      <c r="AB65" s="884"/>
      <c r="AC65" s="1402"/>
      <c r="AD65" s="3173">
        <v>761.9</v>
      </c>
      <c r="AE65" s="3172"/>
      <c r="AF65" s="1013"/>
      <c r="AG65" s="3173">
        <v>677</v>
      </c>
      <c r="AH65" s="67"/>
      <c r="AI65" s="1071"/>
      <c r="AJ65" s="1104">
        <f>ROUND(AD65-AG65,1)</f>
        <v>84.9</v>
      </c>
      <c r="AK65" s="1091"/>
      <c r="AL65" s="1712">
        <f>ROUND(IF(AG65=0,0,AJ65/ABS(AG65)),3)</f>
        <v>0.125</v>
      </c>
    </row>
    <row r="66" spans="1:39">
      <c r="A66" s="104"/>
      <c r="B66" s="104"/>
      <c r="C66" s="104"/>
      <c r="D66" s="104"/>
      <c r="E66" s="1031"/>
      <c r="F66" s="884"/>
      <c r="G66" s="1031"/>
      <c r="H66" s="884"/>
      <c r="I66" s="1031"/>
      <c r="J66" s="884"/>
      <c r="K66" s="1031"/>
      <c r="L66" s="115"/>
      <c r="M66" s="123"/>
      <c r="N66" s="115"/>
      <c r="O66" s="123"/>
      <c r="P66" s="115"/>
      <c r="Q66" s="123"/>
      <c r="R66" s="115"/>
      <c r="S66" s="123"/>
      <c r="T66" s="115"/>
      <c r="U66" s="123"/>
      <c r="V66" s="115"/>
      <c r="W66" s="123"/>
      <c r="X66" s="115"/>
      <c r="Y66" s="123"/>
      <c r="Z66" s="115"/>
      <c r="AA66" s="123"/>
      <c r="AB66" s="115"/>
      <c r="AC66" s="668"/>
      <c r="AD66" s="355"/>
      <c r="AE66" s="1070"/>
      <c r="AF66" s="668"/>
      <c r="AG66" s="355"/>
      <c r="AH66" s="355"/>
      <c r="AI66" s="1098"/>
      <c r="AJ66" s="355"/>
      <c r="AK66" s="1091"/>
      <c r="AL66" s="1073"/>
    </row>
    <row r="67" spans="1:39">
      <c r="A67" s="104"/>
      <c r="B67" s="102" t="s">
        <v>201</v>
      </c>
      <c r="C67" s="104"/>
      <c r="D67" s="104"/>
      <c r="E67" s="109">
        <f>ROUND(SUM(E60:E65),1)</f>
        <v>53</v>
      </c>
      <c r="F67" s="109"/>
      <c r="G67" s="109">
        <f>ROUND(SUM(G60:G65),1)</f>
        <v>123.7</v>
      </c>
      <c r="H67" s="109"/>
      <c r="I67" s="109">
        <f>ROUND(SUM(I60:I65),1)</f>
        <v>237.5</v>
      </c>
      <c r="J67" s="109"/>
      <c r="K67" s="109">
        <f>ROUND(SUM(K60:K65),1)</f>
        <v>187.3</v>
      </c>
      <c r="L67" s="109"/>
      <c r="M67" s="109">
        <f>ROUND(SUM(M60:M65),1)</f>
        <v>170.5</v>
      </c>
      <c r="N67" s="109"/>
      <c r="O67" s="109">
        <f>ROUND(SUM(O60:O65),1)</f>
        <v>224.7</v>
      </c>
      <c r="P67" s="109"/>
      <c r="Q67" s="109">
        <f>ROUND(SUM(Q60:Q65),1)</f>
        <v>0</v>
      </c>
      <c r="R67" s="109"/>
      <c r="S67" s="109">
        <f>ROUND(SUM(S60:S65),1)</f>
        <v>0</v>
      </c>
      <c r="T67" s="109"/>
      <c r="U67" s="109">
        <f>ROUND(SUM(U60:U65),1)</f>
        <v>0</v>
      </c>
      <c r="V67" s="109"/>
      <c r="W67" s="109">
        <f>ROUND(SUM(W60:W65),1)</f>
        <v>0</v>
      </c>
      <c r="X67" s="109"/>
      <c r="Y67" s="109">
        <f>ROUND(SUM(Y60:Y65),1)</f>
        <v>0</v>
      </c>
      <c r="Z67" s="109"/>
      <c r="AA67" s="109">
        <f>ROUND(SUM(AA60:AA65),1)</f>
        <v>0</v>
      </c>
      <c r="AB67" s="109"/>
      <c r="AC67" s="669"/>
      <c r="AD67" s="109">
        <f>SUM(AD60:AD65)</f>
        <v>996.7</v>
      </c>
      <c r="AE67" s="1075"/>
      <c r="AF67" s="669"/>
      <c r="AG67" s="109">
        <f>SUM(AG60:AG65)</f>
        <v>918.3</v>
      </c>
      <c r="AH67" s="112"/>
      <c r="AI67" s="1093"/>
      <c r="AJ67" s="110">
        <f>ROUND(AD67-AG67,1)</f>
        <v>78.400000000000006</v>
      </c>
      <c r="AK67" s="3662"/>
      <c r="AL67" s="3661">
        <f>ROUND(SUM(AD67-AG67)/ABS(AG67),3)</f>
        <v>8.5000000000000006E-2</v>
      </c>
    </row>
    <row r="68" spans="1:39">
      <c r="A68" s="104"/>
      <c r="B68" s="104"/>
      <c r="C68" s="104"/>
      <c r="D68" s="104"/>
      <c r="E68" s="1031"/>
      <c r="F68" s="884"/>
      <c r="G68" s="1031"/>
      <c r="H68" s="884"/>
      <c r="I68" s="1031"/>
      <c r="J68" s="884"/>
      <c r="K68" s="1031"/>
      <c r="L68" s="115"/>
      <c r="M68" s="123"/>
      <c r="N68" s="115"/>
      <c r="O68" s="123"/>
      <c r="P68" s="115"/>
      <c r="Q68" s="123"/>
      <c r="R68" s="115"/>
      <c r="S68" s="123"/>
      <c r="T68" s="115"/>
      <c r="U68" s="123"/>
      <c r="V68" s="115"/>
      <c r="W68" s="123"/>
      <c r="X68" s="115"/>
      <c r="Y68" s="123"/>
      <c r="Z68" s="115"/>
      <c r="AA68" s="123"/>
      <c r="AB68" s="115"/>
      <c r="AC68" s="668"/>
      <c r="AD68" s="1031" t="s">
        <v>14</v>
      </c>
      <c r="AE68" s="1070"/>
      <c r="AF68" s="668"/>
      <c r="AG68" s="123"/>
      <c r="AH68" s="64"/>
      <c r="AI68" s="1093"/>
      <c r="AJ68" s="355"/>
      <c r="AK68" s="1091"/>
      <c r="AL68" s="1073"/>
    </row>
    <row r="69" spans="1:39">
      <c r="A69" s="104"/>
      <c r="B69" s="102" t="s">
        <v>202</v>
      </c>
      <c r="C69" s="104"/>
      <c r="D69" s="104"/>
      <c r="E69" s="884"/>
      <c r="F69" s="884"/>
      <c r="G69" s="884"/>
      <c r="H69" s="884"/>
      <c r="I69" s="884"/>
      <c r="J69" s="884"/>
      <c r="K69" s="884"/>
      <c r="L69" s="115"/>
      <c r="M69" s="115"/>
      <c r="N69" s="115"/>
      <c r="O69" s="115"/>
      <c r="P69" s="115"/>
      <c r="Q69" s="115"/>
      <c r="R69" s="115"/>
      <c r="S69" s="115"/>
      <c r="T69" s="115"/>
      <c r="U69" s="115"/>
      <c r="V69" s="115"/>
      <c r="W69" s="115"/>
      <c r="X69" s="115"/>
      <c r="Y69" s="115"/>
      <c r="Z69" s="115"/>
      <c r="AA69" s="115"/>
      <c r="AB69" s="115"/>
      <c r="AC69" s="668"/>
      <c r="AD69" s="355" t="s">
        <v>14</v>
      </c>
      <c r="AE69" s="1070"/>
      <c r="AF69" s="64"/>
      <c r="AG69" s="355"/>
      <c r="AH69" s="355"/>
      <c r="AI69" s="1098"/>
      <c r="AJ69" s="355"/>
      <c r="AK69" s="1091"/>
      <c r="AL69" s="1073"/>
    </row>
    <row r="70" spans="1:39">
      <c r="A70" s="104"/>
      <c r="B70" s="102" t="s">
        <v>203</v>
      </c>
      <c r="C70" s="104"/>
      <c r="D70" s="104"/>
      <c r="E70" s="109">
        <f>ROUND(E46-E67,1)</f>
        <v>-47.4</v>
      </c>
      <c r="F70" s="109"/>
      <c r="G70" s="109">
        <f>ROUND(G46-G67,1)</f>
        <v>-100.4</v>
      </c>
      <c r="H70" s="109"/>
      <c r="I70" s="109">
        <f>ROUND(I46-I67,1)</f>
        <v>-127.4</v>
      </c>
      <c r="J70" s="109"/>
      <c r="K70" s="109">
        <f>ROUND(K46-K67,1)</f>
        <v>-46.4</v>
      </c>
      <c r="L70" s="109"/>
      <c r="M70" s="109">
        <f>ROUND(M46-M67,1)</f>
        <v>-3.3</v>
      </c>
      <c r="N70" s="109"/>
      <c r="O70" s="109">
        <f>ROUND(O46-O67,1)</f>
        <v>-99.7</v>
      </c>
      <c r="P70" s="109"/>
      <c r="Q70" s="109">
        <f>ROUND(Q46-Q67,1)</f>
        <v>0</v>
      </c>
      <c r="R70" s="109"/>
      <c r="S70" s="109">
        <f>ROUND(S46-S67,1)</f>
        <v>0</v>
      </c>
      <c r="T70" s="109"/>
      <c r="U70" s="109">
        <f>ROUND(U46-U67,1)</f>
        <v>0</v>
      </c>
      <c r="V70" s="109"/>
      <c r="W70" s="109">
        <f>ROUND(W46-W67,1)</f>
        <v>0</v>
      </c>
      <c r="X70" s="109"/>
      <c r="Y70" s="109">
        <f>ROUND(Y46-Y67,1)</f>
        <v>0</v>
      </c>
      <c r="Z70" s="109"/>
      <c r="AA70" s="109">
        <f>ROUND(AA46-AA67,1)</f>
        <v>0</v>
      </c>
      <c r="AB70" s="109"/>
      <c r="AC70" s="669"/>
      <c r="AD70" s="109">
        <f>ROUND(SUM(AD46-AD67),1)</f>
        <v>-424.6</v>
      </c>
      <c r="AE70" s="1075"/>
      <c r="AF70" s="669"/>
      <c r="AG70" s="109">
        <f>ROUND(SUM(AG46-AG67),1)</f>
        <v>9.4</v>
      </c>
      <c r="AH70" s="112"/>
      <c r="AI70" s="1093"/>
      <c r="AJ70" s="110">
        <f>ROUND(AD70-AG70,1)</f>
        <v>-434</v>
      </c>
      <c r="AK70" s="3662"/>
      <c r="AL70" s="3624">
        <f>ROUND(SUM(AD70-AG70)/ABS(AG70),3)</f>
        <v>-46.17</v>
      </c>
    </row>
    <row r="71" spans="1:39">
      <c r="A71" s="104"/>
      <c r="B71" s="104"/>
      <c r="C71" s="104"/>
      <c r="D71" s="104"/>
      <c r="E71" s="1031"/>
      <c r="F71" s="884"/>
      <c r="G71" s="1031"/>
      <c r="H71" s="884"/>
      <c r="I71" s="1031"/>
      <c r="J71" s="884"/>
      <c r="K71" s="1031"/>
      <c r="L71" s="115"/>
      <c r="M71" s="123"/>
      <c r="N71" s="115"/>
      <c r="O71" s="123"/>
      <c r="P71" s="115"/>
      <c r="Q71" s="123"/>
      <c r="R71" s="115"/>
      <c r="S71" s="123"/>
      <c r="T71" s="115"/>
      <c r="U71" s="123"/>
      <c r="V71" s="115"/>
      <c r="W71" s="123"/>
      <c r="X71" s="115"/>
      <c r="Y71" s="123"/>
      <c r="Z71" s="115"/>
      <c r="AA71" s="123"/>
      <c r="AB71" s="115"/>
      <c r="AC71" s="668"/>
      <c r="AD71" s="123"/>
      <c r="AE71" s="1070"/>
      <c r="AF71" s="668"/>
      <c r="AG71" s="123"/>
      <c r="AH71" s="64"/>
      <c r="AI71" s="1093"/>
      <c r="AJ71" s="355"/>
      <c r="AK71" s="1091"/>
      <c r="AL71" s="1073"/>
    </row>
    <row r="72" spans="1:39">
      <c r="A72" s="104"/>
      <c r="B72" s="102" t="s">
        <v>204</v>
      </c>
      <c r="C72" s="104"/>
      <c r="D72" s="104"/>
      <c r="E72" s="884"/>
      <c r="F72" s="884"/>
      <c r="G72" s="884"/>
      <c r="H72" s="884"/>
      <c r="I72" s="884"/>
      <c r="J72" s="884"/>
      <c r="K72" s="884"/>
      <c r="L72" s="115"/>
      <c r="M72" s="115"/>
      <c r="N72" s="115"/>
      <c r="O72" s="115"/>
      <c r="P72" s="115"/>
      <c r="Q72" s="115"/>
      <c r="R72" s="115"/>
      <c r="S72" s="115"/>
      <c r="T72" s="115"/>
      <c r="U72" s="115"/>
      <c r="V72" s="115"/>
      <c r="W72" s="115" t="s">
        <v>14</v>
      </c>
      <c r="X72" s="115"/>
      <c r="Y72" s="115"/>
      <c r="Z72" s="115"/>
      <c r="AA72" s="115"/>
      <c r="AB72" s="115"/>
      <c r="AC72" s="668"/>
      <c r="AD72" s="124"/>
      <c r="AE72" s="1070"/>
      <c r="AF72" s="668"/>
      <c r="AG72" s="124"/>
      <c r="AH72" s="124"/>
      <c r="AI72" s="1097"/>
      <c r="AJ72" s="355"/>
      <c r="AK72" s="1091"/>
      <c r="AL72" s="1073"/>
    </row>
    <row r="73" spans="1:39">
      <c r="A73" s="104"/>
      <c r="B73" s="1710" t="s">
        <v>212</v>
      </c>
      <c r="C73" s="104"/>
      <c r="D73" s="104"/>
      <c r="E73" s="1524">
        <v>0</v>
      </c>
      <c r="F73" s="884"/>
      <c r="G73" s="1524">
        <v>0</v>
      </c>
      <c r="H73" s="884"/>
      <c r="I73" s="1524">
        <v>0</v>
      </c>
      <c r="J73" s="884"/>
      <c r="K73" s="1524">
        <v>0</v>
      </c>
      <c r="L73" s="884"/>
      <c r="M73" s="1524">
        <v>0</v>
      </c>
      <c r="N73" s="884"/>
      <c r="O73" s="1524">
        <f t="shared" ref="O73:O74" si="8">$AD73-$E73-$G73-$I73-$K73-$M73</f>
        <v>0</v>
      </c>
      <c r="P73" s="884"/>
      <c r="Q73" s="1524"/>
      <c r="R73" s="884"/>
      <c r="S73" s="1524"/>
      <c r="T73" s="1524"/>
      <c r="U73" s="1524"/>
      <c r="V73" s="884"/>
      <c r="W73" s="1524"/>
      <c r="X73" s="884"/>
      <c r="Y73" s="1524"/>
      <c r="Z73" s="884"/>
      <c r="AA73" s="1524"/>
      <c r="AB73" s="884"/>
      <c r="AC73" s="1402"/>
      <c r="AD73" s="1524">
        <v>0</v>
      </c>
      <c r="AE73" s="3172"/>
      <c r="AF73" s="1013"/>
      <c r="AG73" s="1524">
        <v>0</v>
      </c>
      <c r="AH73" s="116"/>
      <c r="AI73" s="1071"/>
      <c r="AJ73" s="1917">
        <f>-ROUND(AD73-AG73,1)</f>
        <v>0</v>
      </c>
      <c r="AK73" s="1091"/>
      <c r="AL73" s="1711">
        <f>ROUND(IF(AG73=0,0,AJ73/ABS(AG73)),3)</f>
        <v>0</v>
      </c>
      <c r="AM73" s="1091"/>
    </row>
    <row r="74" spans="1:39">
      <c r="A74" s="104"/>
      <c r="B74" s="1710" t="s">
        <v>213</v>
      </c>
      <c r="C74" s="104"/>
      <c r="D74" s="104"/>
      <c r="E74" s="1524">
        <v>0</v>
      </c>
      <c r="F74" s="884"/>
      <c r="G74" s="1524">
        <v>0</v>
      </c>
      <c r="H74" s="884"/>
      <c r="I74" s="1524">
        <v>-0.3</v>
      </c>
      <c r="J74" s="884"/>
      <c r="K74" s="1524">
        <v>0</v>
      </c>
      <c r="L74" s="884"/>
      <c r="M74" s="1524">
        <v>0</v>
      </c>
      <c r="N74" s="884"/>
      <c r="O74" s="1524">
        <f t="shared" si="8"/>
        <v>0</v>
      </c>
      <c r="P74" s="884"/>
      <c r="Q74" s="1524"/>
      <c r="R74" s="884"/>
      <c r="S74" s="1524"/>
      <c r="T74" s="1524"/>
      <c r="U74" s="1524"/>
      <c r="V74" s="884"/>
      <c r="W74" s="1524"/>
      <c r="X74" s="884"/>
      <c r="Y74" s="1524"/>
      <c r="Z74" s="884"/>
      <c r="AA74" s="1524"/>
      <c r="AB74" s="884"/>
      <c r="AC74" s="1402"/>
      <c r="AD74" s="3173">
        <v>-0.3</v>
      </c>
      <c r="AE74" s="3172"/>
      <c r="AF74" s="1013"/>
      <c r="AG74" s="3173">
        <v>0</v>
      </c>
      <c r="AH74" s="64"/>
      <c r="AI74" s="1093"/>
      <c r="AJ74" s="1104">
        <f>-ROUND(AD74-AG74,1)</f>
        <v>0.3</v>
      </c>
      <c r="AK74" s="1091"/>
      <c r="AL74" s="1713">
        <f>ROUND(IF(AG74=0,1,AJ74/ABS(AG74)),3)</f>
        <v>1</v>
      </c>
    </row>
    <row r="75" spans="1:39">
      <c r="A75" s="104"/>
      <c r="B75" s="104"/>
      <c r="C75" s="104"/>
      <c r="D75" s="104"/>
      <c r="E75" s="123"/>
      <c r="F75" s="115"/>
      <c r="G75" s="123"/>
      <c r="H75" s="115"/>
      <c r="I75" s="123"/>
      <c r="J75" s="115"/>
      <c r="K75" s="123"/>
      <c r="L75" s="115"/>
      <c r="M75" s="123"/>
      <c r="N75" s="115"/>
      <c r="O75" s="123"/>
      <c r="P75" s="115"/>
      <c r="Q75" s="123"/>
      <c r="R75" s="115"/>
      <c r="S75" s="123"/>
      <c r="T75" s="115"/>
      <c r="U75" s="123"/>
      <c r="V75" s="115"/>
      <c r="W75" s="1470"/>
      <c r="X75" s="115"/>
      <c r="Y75" s="123"/>
      <c r="Z75" s="115"/>
      <c r="AA75" s="123"/>
      <c r="AB75" s="115"/>
      <c r="AC75" s="668"/>
      <c r="AD75" s="355"/>
      <c r="AE75" s="1070"/>
      <c r="AF75" s="668"/>
      <c r="AG75" s="355"/>
      <c r="AH75" s="355"/>
      <c r="AI75" s="1098"/>
      <c r="AJ75" s="1105"/>
      <c r="AK75" s="3664"/>
      <c r="AL75" s="3665"/>
      <c r="AM75" s="1091"/>
    </row>
    <row r="76" spans="1:39">
      <c r="A76" s="104"/>
      <c r="B76" s="102" t="s">
        <v>206</v>
      </c>
      <c r="C76" s="104"/>
      <c r="D76" s="104"/>
      <c r="E76" s="1100">
        <f>ROUND(SUM(E73:E75),1)</f>
        <v>0</v>
      </c>
      <c r="F76" s="115"/>
      <c r="G76" s="1100">
        <f>ROUND(SUM(G73:G75),1)</f>
        <v>0</v>
      </c>
      <c r="H76" s="115"/>
      <c r="I76" s="1100">
        <f>ROUND(SUM(I73:I75),1)</f>
        <v>-0.3</v>
      </c>
      <c r="J76" s="115"/>
      <c r="K76" s="1100">
        <f>ROUND(SUM(K73:K75),1)</f>
        <v>0</v>
      </c>
      <c r="L76" s="115"/>
      <c r="M76" s="1100">
        <f>ROUND(SUM(M73:M75),1)</f>
        <v>0</v>
      </c>
      <c r="N76" s="115"/>
      <c r="O76" s="1100">
        <f>ROUND(SUM(O73:O75),1)</f>
        <v>0</v>
      </c>
      <c r="P76" s="115"/>
      <c r="Q76" s="1100">
        <f>ROUND(SUM(Q73:Q75),1)</f>
        <v>0</v>
      </c>
      <c r="R76" s="124"/>
      <c r="S76" s="1100">
        <f>ROUND(SUM(S73:S75),1)</f>
        <v>0</v>
      </c>
      <c r="T76" s="115"/>
      <c r="U76" s="1100">
        <f>ROUND(SUM(U73:U75),1)</f>
        <v>0</v>
      </c>
      <c r="V76" s="115"/>
      <c r="W76" s="1100">
        <f>ROUND(SUM(W73:W75),1)</f>
        <v>0</v>
      </c>
      <c r="X76" s="115"/>
      <c r="Y76" s="1100">
        <f>ROUND(SUM(Y73:Y75),1)</f>
        <v>0</v>
      </c>
      <c r="Z76" s="116"/>
      <c r="AA76" s="1100">
        <f>ROUND(SUM(AA73:AA75),1)</f>
        <v>0</v>
      </c>
      <c r="AB76" s="115"/>
      <c r="AC76" s="668"/>
      <c r="AD76" s="1100">
        <f>ROUND(SUM(AD73:AD75),1)</f>
        <v>-0.3</v>
      </c>
      <c r="AE76" s="1070"/>
      <c r="AF76" s="668"/>
      <c r="AG76" s="1100">
        <f>ROUND(SUM(AG73:AG75),1)</f>
        <v>0</v>
      </c>
      <c r="AH76" s="64"/>
      <c r="AI76" s="1093"/>
      <c r="AJ76" s="1100">
        <f>ROUND(SUM(AJ73:AJ75),1)</f>
        <v>0.3</v>
      </c>
      <c r="AK76" s="3664"/>
      <c r="AL76" s="2570">
        <f>ROUND(IF(AG76=0,1,AJ76/ABS(AG76)),3)</f>
        <v>1</v>
      </c>
    </row>
    <row r="77" spans="1:39">
      <c r="A77" s="104"/>
      <c r="B77" s="104"/>
      <c r="C77" s="104"/>
      <c r="D77" s="104"/>
      <c r="E77" s="123"/>
      <c r="F77" s="115"/>
      <c r="G77" s="123"/>
      <c r="H77" s="115"/>
      <c r="I77" s="123"/>
      <c r="J77" s="115"/>
      <c r="K77" s="123"/>
      <c r="L77" s="115"/>
      <c r="M77" s="123"/>
      <c r="N77" s="115"/>
      <c r="O77" s="123"/>
      <c r="P77" s="115"/>
      <c r="Q77" s="123"/>
      <c r="R77" s="115"/>
      <c r="S77" s="123"/>
      <c r="T77" s="115"/>
      <c r="U77" s="123"/>
      <c r="V77" s="115"/>
      <c r="W77" s="123"/>
      <c r="X77" s="115"/>
      <c r="Y77" s="123"/>
      <c r="Z77" s="115"/>
      <c r="AA77" s="123"/>
      <c r="AB77" s="115"/>
      <c r="AC77" s="668"/>
      <c r="AD77" s="123"/>
      <c r="AE77" s="1070"/>
      <c r="AF77" s="668"/>
      <c r="AG77" s="123"/>
      <c r="AH77" s="64"/>
      <c r="AI77" s="1093"/>
      <c r="AJ77" s="123"/>
      <c r="AK77" s="1091"/>
      <c r="AL77" s="2153"/>
    </row>
    <row r="78" spans="1:39">
      <c r="A78" s="104"/>
      <c r="B78" s="102" t="s">
        <v>207</v>
      </c>
      <c r="C78" s="104"/>
      <c r="D78" s="104"/>
      <c r="E78" s="115" t="s">
        <v>14</v>
      </c>
      <c r="F78" s="115" t="s">
        <v>14</v>
      </c>
      <c r="G78" s="115" t="s">
        <v>14</v>
      </c>
      <c r="H78" s="115"/>
      <c r="I78" s="115" t="s">
        <v>14</v>
      </c>
      <c r="J78" s="115"/>
      <c r="K78" s="115" t="s">
        <v>14</v>
      </c>
      <c r="L78" s="115"/>
      <c r="M78" s="115" t="s">
        <v>14</v>
      </c>
      <c r="N78" s="115"/>
      <c r="O78" s="115" t="s">
        <v>14</v>
      </c>
      <c r="P78" s="115"/>
      <c r="Q78" s="115" t="s">
        <v>14</v>
      </c>
      <c r="R78" s="115"/>
      <c r="S78" s="115" t="s">
        <v>14</v>
      </c>
      <c r="T78" s="115"/>
      <c r="U78" s="115" t="s">
        <v>14</v>
      </c>
      <c r="V78" s="115"/>
      <c r="W78" s="115" t="s">
        <v>14</v>
      </c>
      <c r="X78" s="115"/>
      <c r="Y78" s="115" t="s">
        <v>14</v>
      </c>
      <c r="Z78" s="115"/>
      <c r="AA78" s="115" t="s">
        <v>14</v>
      </c>
      <c r="AB78" s="115"/>
      <c r="AC78" s="668"/>
      <c r="AD78" s="115"/>
      <c r="AE78" s="1070"/>
      <c r="AF78" s="668"/>
      <c r="AG78" s="115"/>
      <c r="AH78" s="115"/>
      <c r="AI78" s="1093"/>
      <c r="AJ78" s="355"/>
      <c r="AK78" s="1091"/>
      <c r="AL78" s="1073"/>
    </row>
    <row r="79" spans="1:39">
      <c r="A79" s="104"/>
      <c r="B79" s="102" t="s">
        <v>208</v>
      </c>
      <c r="C79" s="104"/>
      <c r="D79" s="104"/>
      <c r="E79" s="115"/>
      <c r="F79" s="115"/>
      <c r="G79" s="115" t="s">
        <v>14</v>
      </c>
      <c r="H79" s="115"/>
      <c r="I79" s="115" t="s">
        <v>14</v>
      </c>
      <c r="J79" s="115"/>
      <c r="K79" s="115" t="s">
        <v>14</v>
      </c>
      <c r="L79" s="115"/>
      <c r="M79" s="115" t="s">
        <v>14</v>
      </c>
      <c r="N79" s="115"/>
      <c r="O79" s="115" t="s">
        <v>14</v>
      </c>
      <c r="P79" s="115"/>
      <c r="Q79" s="115" t="s">
        <v>14</v>
      </c>
      <c r="R79" s="115"/>
      <c r="S79" s="115" t="s">
        <v>14</v>
      </c>
      <c r="T79" s="115"/>
      <c r="U79" s="115" t="s">
        <v>14</v>
      </c>
      <c r="V79" s="115"/>
      <c r="W79" s="115" t="s">
        <v>14</v>
      </c>
      <c r="X79" s="115"/>
      <c r="Y79" s="115" t="s">
        <v>14</v>
      </c>
      <c r="Z79" s="115"/>
      <c r="AA79" s="115" t="s">
        <v>14</v>
      </c>
      <c r="AB79" s="115"/>
      <c r="AC79" s="668"/>
      <c r="AD79" s="115"/>
      <c r="AE79" s="1070"/>
      <c r="AF79" s="668"/>
      <c r="AG79" s="115"/>
      <c r="AH79" s="115"/>
      <c r="AI79" s="1093"/>
      <c r="AJ79" s="355"/>
      <c r="AK79" s="1091"/>
      <c r="AL79" s="1073"/>
    </row>
    <row r="80" spans="1:39">
      <c r="A80" s="104"/>
      <c r="B80" s="102" t="s">
        <v>166</v>
      </c>
      <c r="C80" s="104"/>
      <c r="D80" s="104"/>
      <c r="E80" s="1096">
        <f>ROUND(E70+E76,1)</f>
        <v>-47.4</v>
      </c>
      <c r="F80" s="64"/>
      <c r="G80" s="1096">
        <f>ROUND(G70+G76,1)</f>
        <v>-100.4</v>
      </c>
      <c r="H80" s="64"/>
      <c r="I80" s="1096">
        <f>ROUND(I70+I76,1)</f>
        <v>-127.7</v>
      </c>
      <c r="J80" s="64"/>
      <c r="K80" s="1096">
        <f>ROUND(K70+K76,1)</f>
        <v>-46.4</v>
      </c>
      <c r="L80" s="64"/>
      <c r="M80" s="1096">
        <f>ROUND(M70+M76,1)</f>
        <v>-3.3</v>
      </c>
      <c r="N80" s="64"/>
      <c r="O80" s="1096">
        <f>ROUND(O70+O76,1)</f>
        <v>-99.7</v>
      </c>
      <c r="P80" s="64"/>
      <c r="Q80" s="1096">
        <f>ROUND(Q70+Q76,1)</f>
        <v>0</v>
      </c>
      <c r="R80" s="64"/>
      <c r="S80" s="1096">
        <f>ROUND(S70+S76,1)</f>
        <v>0</v>
      </c>
      <c r="T80" s="64"/>
      <c r="U80" s="1096">
        <f>ROUND(U70+U76,1)</f>
        <v>0</v>
      </c>
      <c r="V80" s="64"/>
      <c r="W80" s="1096">
        <f>ROUND(W70+W76,1)</f>
        <v>0</v>
      </c>
      <c r="X80" s="64"/>
      <c r="Y80" s="1096">
        <f>ROUND(Y70+Y76,1)</f>
        <v>0</v>
      </c>
      <c r="Z80" s="64"/>
      <c r="AA80" s="1096">
        <f>ROUND(AA70+AA76,1)</f>
        <v>0</v>
      </c>
      <c r="AB80" s="64"/>
      <c r="AC80" s="1061"/>
      <c r="AD80" s="1096">
        <f>ROUND(AD70+AD76,1)</f>
        <v>-424.9</v>
      </c>
      <c r="AE80" s="3174"/>
      <c r="AF80" s="3177"/>
      <c r="AG80" s="1096">
        <f>ROUND(AG70+AG76,1)</f>
        <v>9.4</v>
      </c>
      <c r="AH80" s="1832"/>
      <c r="AI80" s="1833"/>
      <c r="AJ80" s="1096">
        <f>ROUND(AD80-AG80,1)</f>
        <v>-434.3</v>
      </c>
      <c r="AK80" s="3429"/>
      <c r="AL80" s="3624">
        <f>ROUND(SUM(AD80-AG80)/ABS(AG80),3)</f>
        <v>-46.201999999999998</v>
      </c>
      <c r="AM80" s="3666"/>
    </row>
    <row r="81" spans="1:39">
      <c r="A81" s="104"/>
      <c r="B81" s="102"/>
      <c r="C81" s="104"/>
      <c r="D81" s="104"/>
      <c r="E81" s="136"/>
      <c r="F81" s="115"/>
      <c r="G81" s="136"/>
      <c r="H81" s="115"/>
      <c r="I81" s="136"/>
      <c r="J81" s="115"/>
      <c r="K81" s="136"/>
      <c r="L81" s="115"/>
      <c r="M81" s="136"/>
      <c r="N81" s="115"/>
      <c r="O81" s="136"/>
      <c r="P81" s="115"/>
      <c r="Q81" s="136"/>
      <c r="R81" s="115"/>
      <c r="S81" s="136"/>
      <c r="T81" s="115"/>
      <c r="U81" s="136"/>
      <c r="V81" s="115"/>
      <c r="W81" s="136"/>
      <c r="X81" s="115"/>
      <c r="Y81" s="136"/>
      <c r="Z81" s="115"/>
      <c r="AA81" s="136"/>
      <c r="AB81" s="115"/>
      <c r="AC81" s="1061"/>
      <c r="AD81" s="136"/>
      <c r="AE81" s="3175"/>
      <c r="AF81" s="3178"/>
      <c r="AG81" s="136"/>
      <c r="AH81" s="1369"/>
      <c r="AI81" s="1370"/>
      <c r="AJ81" s="136"/>
      <c r="AK81" s="3662"/>
      <c r="AL81" s="3667"/>
      <c r="AM81" s="3666"/>
    </row>
    <row r="82" spans="1:39" ht="16" thickBot="1">
      <c r="A82" s="104"/>
      <c r="B82" s="102" t="s">
        <v>1101</v>
      </c>
      <c r="C82" s="104"/>
      <c r="D82" s="104"/>
      <c r="E82" s="1834">
        <f>ROUND(SUM(E14+E80),1)</f>
        <v>-627.70000000000005</v>
      </c>
      <c r="F82" s="115"/>
      <c r="G82" s="1834">
        <f>ROUND(SUM(G14+G80),1)</f>
        <v>-728.1</v>
      </c>
      <c r="H82" s="115"/>
      <c r="I82" s="1834">
        <f>ROUND(SUM(I14+I80),1)</f>
        <v>-855.8</v>
      </c>
      <c r="J82" s="115"/>
      <c r="K82" s="1834">
        <f>ROUND(SUM(K14+K80),1)</f>
        <v>-902.2</v>
      </c>
      <c r="L82" s="115"/>
      <c r="M82" s="1834">
        <f>ROUND(SUM(M14+M80),1)</f>
        <v>-905.5</v>
      </c>
      <c r="N82" s="115"/>
      <c r="O82" s="1834">
        <f>ROUND(SUM(O14+O80),1)</f>
        <v>-1005.2</v>
      </c>
      <c r="P82" s="115"/>
      <c r="Q82" s="1834">
        <f>ROUND(SUM(Q14+Q80),1)</f>
        <v>0</v>
      </c>
      <c r="R82" s="115"/>
      <c r="S82" s="1834">
        <f>ROUND(SUM(S14+S80),1)</f>
        <v>0</v>
      </c>
      <c r="T82" s="115"/>
      <c r="U82" s="1834">
        <f>ROUND(SUM(U14+U80),1)</f>
        <v>0</v>
      </c>
      <c r="V82" s="115"/>
      <c r="W82" s="1834">
        <f>ROUND(SUM(W14+W80),1)</f>
        <v>0</v>
      </c>
      <c r="X82" s="115"/>
      <c r="Y82" s="1834">
        <f>ROUND(SUM(Y14+Y80),1)</f>
        <v>0</v>
      </c>
      <c r="Z82" s="115"/>
      <c r="AA82" s="1834">
        <f>ROUND(SUM(AA14+AA80),1)</f>
        <v>0</v>
      </c>
      <c r="AB82" s="115"/>
      <c r="AC82" s="1061"/>
      <c r="AD82" s="1834">
        <f>ROUND(SUM(AD14+AD80),1)</f>
        <v>-1005.2</v>
      </c>
      <c r="AE82" s="3175"/>
      <c r="AF82" s="3178"/>
      <c r="AG82" s="1834">
        <f>ROUND(SUM(AG14+AG80),1)</f>
        <v>-553.29999999999995</v>
      </c>
      <c r="AH82" s="1369"/>
      <c r="AI82" s="1370"/>
      <c r="AJ82" s="1834">
        <f>ROUND(SUM(AJ14+AJ80),1)</f>
        <v>-451.9</v>
      </c>
      <c r="AK82" s="3662"/>
      <c r="AL82" s="3668">
        <f>ROUND(SUM(AD82-AG82)/ABS(AG82),3)</f>
        <v>-0.81699999999999995</v>
      </c>
      <c r="AM82" s="3666"/>
    </row>
    <row r="83" spans="1:39" ht="16" thickTop="1">
      <c r="A83" s="104"/>
      <c r="B83" s="104"/>
      <c r="C83" s="104"/>
      <c r="D83" s="104"/>
      <c r="E83" s="114"/>
      <c r="F83" s="114"/>
      <c r="G83" s="114"/>
      <c r="H83" s="114"/>
      <c r="I83" s="114"/>
      <c r="J83" s="114"/>
      <c r="K83" s="114"/>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06"/>
      <c r="AJ83" s="1091"/>
      <c r="AK83" s="1091"/>
      <c r="AL83" s="3669"/>
    </row>
    <row r="84" spans="1:39">
      <c r="A84" s="104"/>
      <c r="B84" s="3670"/>
      <c r="C84" s="104"/>
      <c r="D84" s="104"/>
      <c r="E84" s="106"/>
      <c r="F84" s="104"/>
      <c r="G84" s="106"/>
      <c r="H84" s="104"/>
      <c r="I84" s="106"/>
      <c r="J84" s="104"/>
      <c r="K84" s="106"/>
      <c r="L84" s="104"/>
      <c r="M84" s="106"/>
      <c r="N84" s="104"/>
      <c r="O84" s="106"/>
      <c r="P84" s="104"/>
      <c r="Q84" s="106"/>
      <c r="R84" s="104"/>
      <c r="S84" s="3671" t="s">
        <v>14</v>
      </c>
      <c r="T84" s="104"/>
      <c r="U84" s="3671" t="s">
        <v>14</v>
      </c>
      <c r="V84" s="104"/>
      <c r="W84" s="106"/>
      <c r="X84" s="104"/>
      <c r="Y84" s="106"/>
      <c r="Z84" s="104"/>
      <c r="AA84" s="106"/>
      <c r="AB84" s="104"/>
      <c r="AC84" s="104"/>
      <c r="AD84" s="106"/>
      <c r="AE84" s="104"/>
      <c r="AF84" s="104"/>
      <c r="AG84" s="106"/>
      <c r="AH84" s="106"/>
      <c r="AI84" s="106"/>
      <c r="AJ84" s="1091"/>
      <c r="AK84" s="1091"/>
      <c r="AL84" s="1073"/>
    </row>
    <row r="85" spans="1:39">
      <c r="B85" s="104"/>
      <c r="Y85" s="3430" t="s">
        <v>14</v>
      </c>
      <c r="AI85" s="1091"/>
      <c r="AJ85" s="1079" t="s">
        <v>14</v>
      </c>
      <c r="AK85" s="1091"/>
      <c r="AL85" s="3672"/>
    </row>
    <row r="90" spans="1:39">
      <c r="AD90" s="3176"/>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30:AL33 AL42 AL44 AL62:AL65 AL73 AL50:AL54 AL57:AL58 AL35:AL37 AL21:AL28 AL39:AL40" unlockedFormula="1"/>
    <ignoredError sqref="AL55 AL38"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IT57"/>
  <sheetViews>
    <sheetView showGridLines="0" zoomScale="70" zoomScaleNormal="60" workbookViewId="0"/>
  </sheetViews>
  <sheetFormatPr defaultColWidth="8.84375" defaultRowHeight="16.5" customHeight="1"/>
  <cols>
    <col min="1" max="1" width="45.07421875" style="99" customWidth="1"/>
    <col min="2" max="2" width="1.84375" style="99" customWidth="1"/>
    <col min="3" max="3" width="9.84375" style="99" customWidth="1"/>
    <col min="4" max="4" width="1.84375" style="99" customWidth="1"/>
    <col min="5" max="5" width="11.07421875" style="99" customWidth="1"/>
    <col min="6" max="6" width="1.84375" style="99" customWidth="1"/>
    <col min="7" max="7" width="11.53515625" style="99" customWidth="1"/>
    <col min="8" max="8" width="1.84375" style="99" customWidth="1"/>
    <col min="9" max="9" width="11.84375" style="99" bestFit="1" customWidth="1"/>
    <col min="10" max="10" width="1.53515625" style="99" customWidth="1"/>
    <col min="11" max="11" width="11.53515625" style="99" bestFit="1" customWidth="1"/>
    <col min="12" max="12" width="1.53515625" style="99" customWidth="1"/>
    <col min="13" max="13" width="13.07421875" style="99" customWidth="1"/>
    <col min="14" max="14" width="1.84375" style="99" customWidth="1"/>
    <col min="15" max="15" width="11.84375" style="99" customWidth="1"/>
    <col min="16" max="16" width="1.84375" style="99" customWidth="1"/>
    <col min="17" max="17" width="11.84375" style="99" customWidth="1"/>
    <col min="18" max="18" width="1.84375" style="99" customWidth="1"/>
    <col min="19" max="19" width="12.4609375" style="99" customWidth="1"/>
    <col min="20" max="20" width="1.84375" style="99" customWidth="1"/>
    <col min="21" max="21" width="11.84375" style="99" customWidth="1"/>
    <col min="22" max="22" width="1.84375" style="99" customWidth="1"/>
    <col min="23" max="23" width="12" style="99" customWidth="1"/>
    <col min="24" max="24" width="1.84375" style="99" customWidth="1"/>
    <col min="25" max="25" width="11.84375" style="99" customWidth="1"/>
    <col min="26" max="27" width="1.84375" style="99" customWidth="1"/>
    <col min="28" max="28" width="11.53515625" style="1697" customWidth="1"/>
    <col min="29" max="30" width="1.84375" style="1697" customWidth="1"/>
    <col min="31" max="31" width="12.4609375" style="1697" customWidth="1"/>
    <col min="32" max="32" width="1.84375" style="2193" customWidth="1"/>
    <col min="33" max="33" width="2.4609375" style="3191" customWidth="1"/>
    <col min="34" max="34" width="12.4609375" style="1646" customWidth="1"/>
    <col min="35" max="35" width="1.84375" style="1122" customWidth="1"/>
    <col min="36" max="36" width="14.07421875" style="1121" bestFit="1" customWidth="1"/>
    <col min="37" max="16384" width="8.84375" style="99"/>
  </cols>
  <sheetData>
    <row r="1" spans="1:254" ht="16.5" customHeight="1">
      <c r="A1" s="635" t="s">
        <v>882</v>
      </c>
    </row>
    <row r="2" spans="1:254" ht="16.5" customHeight="1">
      <c r="A2" s="222"/>
      <c r="B2" s="222"/>
      <c r="C2" s="222"/>
      <c r="D2" s="222"/>
      <c r="E2" s="222"/>
      <c r="F2" s="222"/>
      <c r="G2" s="222"/>
      <c r="H2" s="222"/>
      <c r="I2" s="222"/>
      <c r="J2" s="222"/>
      <c r="K2" s="222"/>
      <c r="L2" s="222"/>
      <c r="M2" s="222"/>
      <c r="N2" s="222"/>
      <c r="O2" s="222"/>
      <c r="P2" s="222"/>
      <c r="Q2" s="222"/>
      <c r="R2" s="222"/>
      <c r="S2" s="222"/>
      <c r="T2" s="222"/>
      <c r="U2" s="222"/>
      <c r="V2" s="222"/>
      <c r="W2" s="222"/>
      <c r="X2" s="222"/>
      <c r="Y2" s="222"/>
      <c r="Z2" s="222"/>
      <c r="AA2" s="222"/>
      <c r="AB2" s="3087"/>
      <c r="AC2" s="3087"/>
      <c r="AD2" s="3087"/>
      <c r="AE2" s="3087"/>
    </row>
    <row r="3" spans="1:254" ht="20.25" customHeight="1">
      <c r="A3" s="3506" t="s">
        <v>0</v>
      </c>
      <c r="B3" s="218"/>
      <c r="C3" s="218"/>
      <c r="D3" s="218"/>
      <c r="E3" s="218"/>
      <c r="F3" s="218"/>
      <c r="G3" s="218"/>
      <c r="H3" s="218"/>
      <c r="I3" s="218"/>
      <c r="J3" s="218"/>
      <c r="K3" s="218"/>
      <c r="L3" s="218"/>
      <c r="M3" s="218"/>
      <c r="N3" s="218"/>
      <c r="O3" s="218"/>
      <c r="P3" s="218"/>
      <c r="Q3" s="218"/>
      <c r="R3" s="218"/>
      <c r="S3" s="218"/>
      <c r="T3" s="218"/>
      <c r="U3" s="218"/>
      <c r="V3" s="218"/>
      <c r="W3" s="218"/>
      <c r="X3" s="218"/>
      <c r="Y3" s="218"/>
      <c r="Z3" s="218"/>
      <c r="AA3" s="218"/>
      <c r="AB3" s="1691"/>
      <c r="AC3" s="1691"/>
      <c r="AD3" s="1691"/>
      <c r="AE3" s="1691"/>
      <c r="AF3" s="104"/>
      <c r="AJ3" s="1159" t="s">
        <v>993</v>
      </c>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c r="CB3" s="220"/>
      <c r="CC3" s="220"/>
      <c r="CD3" s="220"/>
      <c r="CE3" s="220"/>
      <c r="CF3" s="220"/>
      <c r="CG3" s="220"/>
      <c r="CH3" s="220"/>
      <c r="CI3" s="220"/>
      <c r="CJ3" s="220"/>
      <c r="CK3" s="220"/>
      <c r="CL3" s="220"/>
      <c r="CM3" s="220"/>
      <c r="CN3" s="220"/>
      <c r="CO3" s="220"/>
      <c r="CP3" s="220"/>
      <c r="CQ3" s="220"/>
      <c r="CR3" s="220"/>
      <c r="CS3" s="220"/>
      <c r="CT3" s="220"/>
      <c r="CU3" s="220"/>
      <c r="CV3" s="220"/>
      <c r="CW3" s="220"/>
      <c r="CX3" s="220"/>
      <c r="CY3" s="220"/>
      <c r="CZ3" s="220"/>
      <c r="DA3" s="220"/>
      <c r="DB3" s="220"/>
      <c r="DC3" s="220"/>
      <c r="DD3" s="220"/>
      <c r="DE3" s="220"/>
      <c r="DF3" s="220"/>
      <c r="DG3" s="220"/>
      <c r="DH3" s="220"/>
      <c r="DI3" s="220"/>
      <c r="DJ3" s="220"/>
      <c r="DK3" s="220"/>
      <c r="DL3" s="220"/>
      <c r="DM3" s="220"/>
      <c r="DN3" s="220"/>
      <c r="DO3" s="220"/>
      <c r="DP3" s="220"/>
      <c r="DQ3" s="220"/>
      <c r="DR3" s="220"/>
      <c r="DS3" s="220"/>
      <c r="DT3" s="220"/>
      <c r="DU3" s="220"/>
      <c r="DV3" s="220"/>
      <c r="DW3" s="220"/>
      <c r="DX3" s="220"/>
      <c r="DY3" s="220"/>
      <c r="DZ3" s="220"/>
      <c r="EA3" s="220"/>
      <c r="EB3" s="220"/>
      <c r="EC3" s="220"/>
      <c r="ED3" s="220"/>
      <c r="EE3" s="220"/>
      <c r="EF3" s="220"/>
      <c r="EG3" s="220"/>
      <c r="EH3" s="220"/>
      <c r="EI3" s="220"/>
      <c r="EJ3" s="220"/>
      <c r="EK3" s="220"/>
      <c r="EL3" s="220"/>
      <c r="EM3" s="220"/>
      <c r="EN3" s="220"/>
      <c r="EO3" s="220"/>
      <c r="EP3" s="220"/>
      <c r="EQ3" s="220"/>
      <c r="ER3" s="220"/>
      <c r="ES3" s="220"/>
      <c r="ET3" s="220"/>
      <c r="EU3" s="220"/>
      <c r="EV3" s="220"/>
      <c r="EW3" s="220"/>
      <c r="EX3" s="220"/>
      <c r="EY3" s="220"/>
      <c r="EZ3" s="220"/>
      <c r="FA3" s="220"/>
      <c r="FB3" s="220"/>
      <c r="FC3" s="220"/>
      <c r="FD3" s="220"/>
      <c r="FE3" s="220"/>
      <c r="FF3" s="220"/>
      <c r="FG3" s="220"/>
      <c r="FH3" s="220"/>
      <c r="FI3" s="220"/>
      <c r="FJ3" s="220"/>
      <c r="FK3" s="220"/>
      <c r="FL3" s="220"/>
      <c r="FM3" s="220"/>
      <c r="FN3" s="220"/>
      <c r="FO3" s="220"/>
      <c r="FP3" s="220"/>
      <c r="FQ3" s="220"/>
      <c r="FR3" s="220"/>
      <c r="FS3" s="220"/>
      <c r="FT3" s="220"/>
      <c r="FU3" s="220"/>
      <c r="FV3" s="220"/>
      <c r="FW3" s="220"/>
      <c r="FX3" s="220"/>
      <c r="FY3" s="220"/>
      <c r="FZ3" s="220"/>
      <c r="GA3" s="220"/>
      <c r="GB3" s="220"/>
      <c r="GC3" s="220"/>
      <c r="GD3" s="220"/>
      <c r="GE3" s="220"/>
      <c r="GF3" s="220"/>
      <c r="GG3" s="220"/>
      <c r="GH3" s="220"/>
      <c r="GI3" s="220"/>
      <c r="GJ3" s="220"/>
      <c r="GK3" s="220"/>
      <c r="GL3" s="220"/>
      <c r="GM3" s="220"/>
      <c r="GN3" s="220"/>
      <c r="GO3" s="220"/>
      <c r="GP3" s="220"/>
      <c r="GQ3" s="220"/>
      <c r="GR3" s="220"/>
      <c r="GS3" s="220"/>
      <c r="GT3" s="220"/>
      <c r="GU3" s="220"/>
      <c r="GV3" s="220"/>
      <c r="GW3" s="220"/>
      <c r="GX3" s="220"/>
      <c r="GY3" s="220"/>
      <c r="GZ3" s="220"/>
      <c r="HA3" s="220"/>
      <c r="HB3" s="220"/>
      <c r="HC3" s="220"/>
      <c r="HD3" s="220"/>
      <c r="HE3" s="220"/>
      <c r="HF3" s="220"/>
      <c r="HG3" s="220"/>
      <c r="HH3" s="220"/>
      <c r="HI3" s="220"/>
      <c r="HJ3" s="220"/>
      <c r="HK3" s="220"/>
      <c r="HL3" s="220"/>
      <c r="HM3" s="220"/>
      <c r="HN3" s="220"/>
      <c r="HO3" s="220"/>
      <c r="HP3" s="220"/>
      <c r="HQ3" s="220"/>
      <c r="HR3" s="220"/>
      <c r="HS3" s="220"/>
      <c r="HT3" s="220"/>
      <c r="HU3" s="220"/>
      <c r="HV3" s="220"/>
      <c r="HW3" s="220"/>
      <c r="HX3" s="220"/>
      <c r="HY3" s="220"/>
      <c r="HZ3" s="220"/>
      <c r="IA3" s="220"/>
      <c r="IB3" s="220"/>
      <c r="IC3" s="220"/>
      <c r="ID3" s="220"/>
      <c r="IE3" s="220"/>
      <c r="IF3" s="220"/>
      <c r="IG3" s="220"/>
      <c r="IH3" s="220"/>
      <c r="II3" s="220"/>
      <c r="IJ3" s="220"/>
      <c r="IK3" s="220"/>
      <c r="IL3" s="220"/>
      <c r="IM3" s="220"/>
      <c r="IN3" s="220"/>
      <c r="IO3" s="220"/>
      <c r="IP3" s="220"/>
      <c r="IQ3" s="220"/>
      <c r="IR3" s="220"/>
      <c r="IS3" s="220"/>
      <c r="IT3" s="220"/>
    </row>
    <row r="4" spans="1:254" ht="20.25" customHeight="1">
      <c r="A4" s="3506" t="s">
        <v>214</v>
      </c>
      <c r="B4" s="218"/>
      <c r="C4" s="218"/>
      <c r="D4" s="218"/>
      <c r="E4" s="218"/>
      <c r="F4" s="218"/>
      <c r="G4" s="218"/>
      <c r="H4" s="218"/>
      <c r="I4" s="218" t="s">
        <v>14</v>
      </c>
      <c r="J4" s="218"/>
      <c r="K4" s="218"/>
      <c r="L4" s="218"/>
      <c r="M4" s="218"/>
      <c r="N4" s="218"/>
      <c r="O4" s="218"/>
      <c r="P4" s="218"/>
      <c r="Q4" s="218"/>
      <c r="R4" s="218"/>
      <c r="S4" s="218"/>
      <c r="T4" s="218"/>
      <c r="U4" s="218"/>
      <c r="V4" s="218"/>
      <c r="W4" s="218"/>
      <c r="X4" s="218"/>
      <c r="Y4" s="218" t="s">
        <v>14</v>
      </c>
      <c r="Z4" s="218"/>
      <c r="AA4" s="218"/>
      <c r="AB4" s="1691"/>
      <c r="AC4" s="1691"/>
      <c r="AD4" s="1691"/>
      <c r="AE4" s="1691"/>
      <c r="AF4" s="104"/>
      <c r="AK4" s="220"/>
      <c r="AL4" s="220"/>
      <c r="AM4" s="220"/>
      <c r="AN4" s="220"/>
      <c r="AO4" s="220"/>
      <c r="AP4" s="220"/>
      <c r="AQ4" s="220"/>
      <c r="AR4" s="220"/>
      <c r="AS4" s="220"/>
      <c r="AT4" s="220"/>
      <c r="AU4" s="220"/>
      <c r="AV4" s="220"/>
      <c r="AW4" s="220"/>
      <c r="AX4" s="220"/>
      <c r="AY4" s="220"/>
      <c r="AZ4" s="220"/>
      <c r="BA4" s="220"/>
      <c r="BB4" s="220"/>
      <c r="BC4" s="220"/>
      <c r="BD4" s="220"/>
      <c r="BE4" s="220"/>
      <c r="BF4" s="220"/>
      <c r="BG4" s="220"/>
      <c r="BH4" s="220"/>
      <c r="BI4" s="220"/>
      <c r="BJ4" s="220"/>
      <c r="BK4" s="220"/>
      <c r="BL4" s="220"/>
      <c r="BM4" s="220"/>
      <c r="BN4" s="220"/>
      <c r="BO4" s="220"/>
      <c r="BP4" s="220"/>
      <c r="BQ4" s="220"/>
      <c r="BR4" s="220"/>
      <c r="BS4" s="220"/>
      <c r="BT4" s="220"/>
      <c r="BU4" s="220"/>
      <c r="BV4" s="220"/>
      <c r="BW4" s="220"/>
      <c r="BX4" s="220"/>
      <c r="BY4" s="220"/>
      <c r="BZ4" s="220"/>
      <c r="CA4" s="220"/>
      <c r="CB4" s="220"/>
      <c r="CC4" s="220"/>
      <c r="CD4" s="220"/>
      <c r="CE4" s="220"/>
      <c r="CF4" s="220"/>
      <c r="CG4" s="220"/>
      <c r="CH4" s="220"/>
      <c r="CI4" s="220"/>
      <c r="CJ4" s="220"/>
      <c r="CK4" s="220"/>
      <c r="CL4" s="220"/>
      <c r="CM4" s="220"/>
      <c r="CN4" s="220"/>
      <c r="CO4" s="220"/>
      <c r="CP4" s="220"/>
      <c r="CQ4" s="220"/>
      <c r="CR4" s="220"/>
      <c r="CS4" s="220"/>
      <c r="CT4" s="220"/>
      <c r="CU4" s="220"/>
      <c r="CV4" s="220"/>
      <c r="CW4" s="220"/>
      <c r="CX4" s="220"/>
      <c r="CY4" s="220"/>
      <c r="CZ4" s="220"/>
      <c r="DA4" s="220"/>
      <c r="DB4" s="220"/>
      <c r="DC4" s="220"/>
      <c r="DD4" s="220"/>
      <c r="DE4" s="220"/>
      <c r="DF4" s="220"/>
      <c r="DG4" s="220"/>
      <c r="DH4" s="220"/>
      <c r="DI4" s="220"/>
      <c r="DJ4" s="220"/>
      <c r="DK4" s="220"/>
      <c r="DL4" s="220"/>
      <c r="DM4" s="220"/>
      <c r="DN4" s="220"/>
      <c r="DO4" s="220"/>
      <c r="DP4" s="220"/>
      <c r="DQ4" s="220"/>
      <c r="DR4" s="220"/>
      <c r="DS4" s="220"/>
      <c r="DT4" s="220"/>
      <c r="DU4" s="220"/>
      <c r="DV4" s="220"/>
      <c r="DW4" s="220"/>
      <c r="DX4" s="220"/>
      <c r="DY4" s="220"/>
      <c r="DZ4" s="220"/>
      <c r="EA4" s="220"/>
      <c r="EB4" s="220"/>
      <c r="EC4" s="220"/>
      <c r="ED4" s="220"/>
      <c r="EE4" s="220"/>
      <c r="EF4" s="220"/>
      <c r="EG4" s="220"/>
      <c r="EH4" s="220"/>
      <c r="EI4" s="220"/>
      <c r="EJ4" s="220"/>
      <c r="EK4" s="220"/>
      <c r="EL4" s="220"/>
      <c r="EM4" s="220"/>
      <c r="EN4" s="220"/>
      <c r="EO4" s="220"/>
      <c r="EP4" s="220"/>
      <c r="EQ4" s="220"/>
      <c r="ER4" s="220"/>
      <c r="ES4" s="220"/>
      <c r="ET4" s="220"/>
      <c r="EU4" s="220"/>
      <c r="EV4" s="220"/>
      <c r="EW4" s="220"/>
      <c r="EX4" s="220"/>
      <c r="EY4" s="220"/>
      <c r="EZ4" s="220"/>
      <c r="FA4" s="220"/>
      <c r="FB4" s="220"/>
      <c r="FC4" s="220"/>
      <c r="FD4" s="220"/>
      <c r="FE4" s="220"/>
      <c r="FF4" s="220"/>
      <c r="FG4" s="220"/>
      <c r="FH4" s="220"/>
      <c r="FI4" s="220"/>
      <c r="FJ4" s="220"/>
      <c r="FK4" s="220"/>
      <c r="FL4" s="220"/>
      <c r="FM4" s="220"/>
      <c r="FN4" s="220"/>
      <c r="FO4" s="220"/>
      <c r="FP4" s="220"/>
      <c r="FQ4" s="220"/>
      <c r="FR4" s="220"/>
      <c r="FS4" s="220"/>
      <c r="FT4" s="220"/>
      <c r="FU4" s="220"/>
      <c r="FV4" s="220"/>
      <c r="FW4" s="220"/>
      <c r="FX4" s="220"/>
      <c r="FY4" s="220"/>
      <c r="FZ4" s="220"/>
      <c r="GA4" s="220"/>
      <c r="GB4" s="220"/>
      <c r="GC4" s="220"/>
      <c r="GD4" s="220"/>
      <c r="GE4" s="220"/>
      <c r="GF4" s="220"/>
      <c r="GG4" s="220"/>
      <c r="GH4" s="220"/>
      <c r="GI4" s="220"/>
      <c r="GJ4" s="220"/>
      <c r="GK4" s="220"/>
      <c r="GL4" s="220"/>
      <c r="GM4" s="220"/>
      <c r="GN4" s="220"/>
      <c r="GO4" s="220"/>
      <c r="GP4" s="220"/>
      <c r="GQ4" s="220"/>
      <c r="GR4" s="220"/>
      <c r="GS4" s="220"/>
      <c r="GT4" s="220"/>
      <c r="GU4" s="220"/>
      <c r="GV4" s="220"/>
      <c r="GW4" s="220"/>
      <c r="GX4" s="220"/>
      <c r="GY4" s="220"/>
      <c r="GZ4" s="220"/>
      <c r="HA4" s="220"/>
      <c r="HB4" s="220"/>
      <c r="HC4" s="220"/>
      <c r="HD4" s="220"/>
      <c r="HE4" s="220"/>
      <c r="HF4" s="220"/>
      <c r="HG4" s="220"/>
      <c r="HH4" s="220"/>
      <c r="HI4" s="220"/>
      <c r="HJ4" s="220"/>
      <c r="HK4" s="220"/>
      <c r="HL4" s="220"/>
      <c r="HM4" s="220"/>
      <c r="HN4" s="220"/>
      <c r="HO4" s="220"/>
      <c r="HP4" s="220"/>
      <c r="HQ4" s="220"/>
      <c r="HR4" s="220"/>
      <c r="HS4" s="220"/>
      <c r="HT4" s="220"/>
      <c r="HU4" s="220"/>
      <c r="HV4" s="220"/>
      <c r="HW4" s="220"/>
      <c r="HX4" s="220"/>
      <c r="HY4" s="220"/>
      <c r="HZ4" s="220"/>
      <c r="IA4" s="220"/>
      <c r="IB4" s="220"/>
      <c r="IC4" s="220"/>
      <c r="ID4" s="220"/>
      <c r="IE4" s="220"/>
      <c r="IF4" s="220"/>
      <c r="IG4" s="220"/>
      <c r="IH4" s="220"/>
      <c r="II4" s="220"/>
      <c r="IJ4" s="220"/>
      <c r="IK4" s="220"/>
      <c r="IL4" s="220"/>
      <c r="IM4" s="220"/>
      <c r="IN4" s="220"/>
      <c r="IO4" s="220"/>
      <c r="IP4" s="220"/>
      <c r="IQ4" s="220"/>
      <c r="IR4" s="220"/>
      <c r="IS4" s="220"/>
      <c r="IT4" s="220"/>
    </row>
    <row r="5" spans="1:254" ht="20.25" customHeight="1">
      <c r="A5" s="3507" t="s">
        <v>122</v>
      </c>
      <c r="B5" s="218"/>
      <c r="C5" s="218"/>
      <c r="D5" s="218"/>
      <c r="E5" s="218"/>
      <c r="F5" s="218"/>
      <c r="G5" s="218"/>
      <c r="H5" s="218"/>
      <c r="I5" s="218"/>
      <c r="J5" s="218"/>
      <c r="K5" s="218"/>
      <c r="L5" s="218"/>
      <c r="M5" s="218"/>
      <c r="N5" s="218"/>
      <c r="O5" s="218"/>
      <c r="P5" s="218"/>
      <c r="Q5" s="218"/>
      <c r="R5" s="218"/>
      <c r="S5" s="218"/>
      <c r="T5" s="218"/>
      <c r="U5" s="218"/>
      <c r="V5" s="218"/>
      <c r="W5" s="218"/>
      <c r="X5" s="218"/>
      <c r="Y5" s="218"/>
      <c r="Z5" s="218"/>
      <c r="AA5" s="218"/>
      <c r="AF5" s="3192"/>
      <c r="AK5" s="219"/>
      <c r="AL5" s="219"/>
      <c r="AM5" s="219"/>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0"/>
      <c r="BY5" s="220"/>
      <c r="BZ5" s="220"/>
      <c r="CA5" s="220"/>
      <c r="CB5" s="220"/>
      <c r="CC5" s="220"/>
      <c r="CD5" s="220"/>
      <c r="CE5" s="220"/>
      <c r="CF5" s="220"/>
      <c r="CG5" s="220"/>
      <c r="CH5" s="220"/>
      <c r="CI5" s="220"/>
      <c r="CJ5" s="220"/>
      <c r="CK5" s="220"/>
      <c r="CL5" s="220"/>
      <c r="CM5" s="220"/>
      <c r="CN5" s="220"/>
      <c r="CO5" s="220"/>
      <c r="CP5" s="220"/>
      <c r="CQ5" s="220"/>
      <c r="CR5" s="220"/>
      <c r="CS5" s="220"/>
      <c r="CT5" s="220"/>
      <c r="CU5" s="220"/>
      <c r="CV5" s="220"/>
      <c r="CW5" s="220"/>
      <c r="CX5" s="220"/>
      <c r="CY5" s="220"/>
      <c r="CZ5" s="220"/>
      <c r="DA5" s="220"/>
      <c r="DB5" s="220"/>
      <c r="DC5" s="220"/>
      <c r="DD5" s="220"/>
      <c r="DE5" s="220"/>
      <c r="DF5" s="220"/>
      <c r="DG5" s="220"/>
      <c r="DH5" s="220"/>
      <c r="DI5" s="220"/>
      <c r="DJ5" s="220"/>
      <c r="DK5" s="220"/>
      <c r="DL5" s="220"/>
      <c r="DM5" s="220"/>
      <c r="DN5" s="220"/>
      <c r="DO5" s="220"/>
      <c r="DP5" s="220"/>
      <c r="DQ5" s="220"/>
      <c r="DR5" s="220"/>
      <c r="DS5" s="220"/>
      <c r="DT5" s="220"/>
      <c r="DU5" s="220"/>
      <c r="DV5" s="220"/>
      <c r="DW5" s="220"/>
      <c r="DX5" s="220"/>
      <c r="DY5" s="220"/>
      <c r="DZ5" s="220"/>
      <c r="EA5" s="220"/>
      <c r="EB5" s="220"/>
      <c r="EC5" s="220"/>
      <c r="ED5" s="220"/>
      <c r="EE5" s="220"/>
      <c r="EF5" s="220"/>
      <c r="EG5" s="220"/>
      <c r="EH5" s="220"/>
      <c r="EI5" s="220"/>
      <c r="EJ5" s="220"/>
      <c r="EK5" s="220"/>
      <c r="EL5" s="220"/>
      <c r="EM5" s="220"/>
      <c r="EN5" s="220"/>
      <c r="EO5" s="220"/>
      <c r="EP5" s="220"/>
      <c r="EQ5" s="220"/>
      <c r="ER5" s="220"/>
      <c r="ES5" s="220"/>
      <c r="ET5" s="220"/>
      <c r="EU5" s="220"/>
      <c r="EV5" s="220"/>
      <c r="EW5" s="220"/>
      <c r="EX5" s="220"/>
      <c r="EY5" s="220"/>
      <c r="EZ5" s="220"/>
      <c r="FA5" s="220"/>
      <c r="FB5" s="220"/>
      <c r="FC5" s="220"/>
      <c r="FD5" s="220"/>
      <c r="FE5" s="220"/>
      <c r="FF5" s="220"/>
      <c r="FG5" s="220"/>
      <c r="FH5" s="220"/>
      <c r="FI5" s="220"/>
      <c r="FJ5" s="220"/>
      <c r="FK5" s="220"/>
      <c r="FL5" s="220"/>
      <c r="FM5" s="220"/>
      <c r="FN5" s="220"/>
      <c r="FO5" s="220"/>
      <c r="FP5" s="220"/>
      <c r="FQ5" s="220"/>
      <c r="FR5" s="220"/>
      <c r="FS5" s="220"/>
      <c r="FT5" s="220"/>
      <c r="FU5" s="220"/>
      <c r="FV5" s="220"/>
      <c r="FW5" s="220"/>
      <c r="FX5" s="220"/>
      <c r="FY5" s="220"/>
      <c r="FZ5" s="220"/>
      <c r="GA5" s="220"/>
      <c r="GB5" s="220"/>
      <c r="GC5" s="220"/>
      <c r="GD5" s="220"/>
      <c r="GE5" s="220"/>
      <c r="GF5" s="220"/>
      <c r="GG5" s="220"/>
      <c r="GH5" s="220"/>
      <c r="GI5" s="220"/>
      <c r="GJ5" s="220"/>
      <c r="GK5" s="220"/>
      <c r="GL5" s="220"/>
      <c r="GM5" s="220"/>
      <c r="GN5" s="220"/>
      <c r="GO5" s="220"/>
      <c r="GP5" s="220"/>
      <c r="GQ5" s="220"/>
      <c r="GR5" s="220"/>
      <c r="GS5" s="220"/>
      <c r="GT5" s="220"/>
      <c r="GU5" s="220"/>
      <c r="GV5" s="220"/>
      <c r="GW5" s="220"/>
      <c r="GX5" s="220"/>
      <c r="GY5" s="220"/>
      <c r="GZ5" s="220"/>
      <c r="HA5" s="220"/>
      <c r="HB5" s="220"/>
      <c r="HC5" s="220"/>
      <c r="HD5" s="220"/>
      <c r="HE5" s="220"/>
      <c r="HF5" s="220"/>
      <c r="HG5" s="220"/>
      <c r="HH5" s="220"/>
      <c r="HI5" s="220"/>
      <c r="HJ5" s="220"/>
      <c r="HK5" s="220"/>
      <c r="HL5" s="220"/>
      <c r="HM5" s="220"/>
      <c r="HN5" s="220"/>
      <c r="HO5" s="220"/>
      <c r="HP5" s="220"/>
      <c r="HQ5" s="220"/>
      <c r="HR5" s="220"/>
      <c r="HS5" s="220"/>
      <c r="HT5" s="220"/>
      <c r="HU5" s="220"/>
      <c r="HV5" s="220"/>
      <c r="HW5" s="220"/>
      <c r="HX5" s="220"/>
      <c r="HY5" s="220"/>
      <c r="HZ5" s="220"/>
      <c r="IA5" s="220"/>
      <c r="IB5" s="220"/>
      <c r="IC5" s="220"/>
      <c r="ID5" s="220"/>
      <c r="IE5" s="220"/>
      <c r="IF5" s="220"/>
      <c r="IG5" s="220"/>
      <c r="IH5" s="220"/>
      <c r="II5" s="220"/>
      <c r="IJ5" s="220"/>
      <c r="IK5" s="220"/>
      <c r="IL5" s="220"/>
      <c r="IM5" s="220"/>
      <c r="IN5" s="220"/>
      <c r="IO5" s="220"/>
      <c r="IP5" s="220"/>
      <c r="IQ5" s="220"/>
      <c r="IR5" s="220"/>
      <c r="IS5" s="220"/>
      <c r="IT5" s="220"/>
    </row>
    <row r="6" spans="1:254" ht="20.25" customHeight="1">
      <c r="A6" s="3507" t="str">
        <f>'Cashflow Governmental'!A6</f>
        <v xml:space="preserve">FISCAL YEAR 2021-2022   </v>
      </c>
      <c r="B6" s="218"/>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1691"/>
      <c r="AC6" s="1691"/>
      <c r="AD6" s="1691"/>
      <c r="AE6" s="1691"/>
      <c r="AF6" s="104"/>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0"/>
      <c r="BL6" s="220"/>
      <c r="BM6" s="220"/>
      <c r="BN6" s="220"/>
      <c r="BO6" s="220"/>
      <c r="BP6" s="220"/>
      <c r="BQ6" s="220"/>
      <c r="BR6" s="220"/>
      <c r="BS6" s="220"/>
      <c r="BT6" s="220"/>
      <c r="BU6" s="220"/>
      <c r="BV6" s="220"/>
      <c r="BW6" s="220"/>
      <c r="BX6" s="220"/>
      <c r="BY6" s="220"/>
      <c r="BZ6" s="220"/>
      <c r="CA6" s="220"/>
      <c r="CB6" s="220"/>
      <c r="CC6" s="220"/>
      <c r="CD6" s="220"/>
      <c r="CE6" s="220"/>
      <c r="CF6" s="220"/>
      <c r="CG6" s="220"/>
      <c r="CH6" s="220"/>
      <c r="CI6" s="220"/>
      <c r="CJ6" s="220"/>
      <c r="CK6" s="220"/>
      <c r="CL6" s="220"/>
      <c r="CM6" s="220"/>
      <c r="CN6" s="220"/>
      <c r="CO6" s="220"/>
      <c r="CP6" s="220"/>
      <c r="CQ6" s="220"/>
      <c r="CR6" s="220"/>
      <c r="CS6" s="220"/>
      <c r="CT6" s="220"/>
      <c r="CU6" s="220"/>
      <c r="CV6" s="220"/>
      <c r="CW6" s="220"/>
      <c r="CX6" s="220"/>
      <c r="CY6" s="220"/>
      <c r="CZ6" s="220"/>
      <c r="DA6" s="220"/>
      <c r="DB6" s="220"/>
      <c r="DC6" s="220"/>
      <c r="DD6" s="220"/>
      <c r="DE6" s="220"/>
      <c r="DF6" s="220"/>
      <c r="DG6" s="220"/>
      <c r="DH6" s="220"/>
      <c r="DI6" s="220"/>
      <c r="DJ6" s="220"/>
      <c r="DK6" s="220"/>
      <c r="DL6" s="220"/>
      <c r="DM6" s="220"/>
      <c r="DN6" s="220"/>
      <c r="DO6" s="220"/>
      <c r="DP6" s="220"/>
      <c r="DQ6" s="220"/>
      <c r="DR6" s="220"/>
      <c r="DS6" s="220"/>
      <c r="DT6" s="220"/>
      <c r="DU6" s="220"/>
      <c r="DV6" s="220"/>
      <c r="DW6" s="220"/>
      <c r="DX6" s="220"/>
      <c r="DY6" s="220"/>
      <c r="DZ6" s="220"/>
      <c r="EA6" s="220"/>
      <c r="EB6" s="220"/>
      <c r="EC6" s="220"/>
      <c r="ED6" s="220"/>
      <c r="EE6" s="220"/>
      <c r="EF6" s="220"/>
      <c r="EG6" s="220"/>
      <c r="EH6" s="220"/>
      <c r="EI6" s="220"/>
      <c r="EJ6" s="220"/>
      <c r="EK6" s="220"/>
      <c r="EL6" s="220"/>
      <c r="EM6" s="220"/>
      <c r="EN6" s="220"/>
      <c r="EO6" s="220"/>
      <c r="EP6" s="220"/>
      <c r="EQ6" s="220"/>
      <c r="ER6" s="220"/>
      <c r="ES6" s="220"/>
      <c r="ET6" s="220"/>
      <c r="EU6" s="220"/>
      <c r="EV6" s="220"/>
      <c r="EW6" s="220"/>
      <c r="EX6" s="220"/>
      <c r="EY6" s="220"/>
      <c r="EZ6" s="220"/>
      <c r="FA6" s="220"/>
      <c r="FB6" s="220"/>
      <c r="FC6" s="220"/>
      <c r="FD6" s="220"/>
      <c r="FE6" s="220"/>
      <c r="FF6" s="220"/>
      <c r="FG6" s="220"/>
      <c r="FH6" s="220"/>
      <c r="FI6" s="220"/>
      <c r="FJ6" s="220"/>
      <c r="FK6" s="220"/>
      <c r="FL6" s="220"/>
      <c r="FM6" s="220"/>
      <c r="FN6" s="220"/>
      <c r="FO6" s="220"/>
      <c r="FP6" s="220"/>
      <c r="FQ6" s="220"/>
      <c r="FR6" s="220"/>
      <c r="FS6" s="220"/>
      <c r="FT6" s="220"/>
      <c r="FU6" s="220"/>
      <c r="FV6" s="220"/>
      <c r="FW6" s="220"/>
      <c r="FX6" s="220"/>
      <c r="FY6" s="220"/>
      <c r="FZ6" s="220"/>
      <c r="GA6" s="220"/>
      <c r="GB6" s="220"/>
      <c r="GC6" s="220"/>
      <c r="GD6" s="220"/>
      <c r="GE6" s="220"/>
      <c r="GF6" s="220"/>
      <c r="GG6" s="220"/>
      <c r="GH6" s="220"/>
      <c r="GI6" s="220"/>
      <c r="GJ6" s="220"/>
      <c r="GK6" s="220"/>
      <c r="GL6" s="220"/>
      <c r="GM6" s="220"/>
      <c r="GN6" s="220"/>
      <c r="GO6" s="220"/>
      <c r="GP6" s="220"/>
      <c r="GQ6" s="220"/>
      <c r="GR6" s="220"/>
      <c r="GS6" s="220"/>
      <c r="GT6" s="220"/>
      <c r="GU6" s="220"/>
      <c r="GV6" s="220"/>
      <c r="GW6" s="220"/>
      <c r="GX6" s="220"/>
      <c r="GY6" s="220"/>
      <c r="GZ6" s="220"/>
      <c r="HA6" s="220"/>
      <c r="HB6" s="220"/>
      <c r="HC6" s="220"/>
      <c r="HD6" s="220"/>
      <c r="HE6" s="220"/>
      <c r="HF6" s="220"/>
      <c r="HG6" s="220"/>
      <c r="HH6" s="220"/>
      <c r="HI6" s="220"/>
      <c r="HJ6" s="220"/>
      <c r="HK6" s="220"/>
      <c r="HL6" s="220"/>
      <c r="HM6" s="220"/>
      <c r="HN6" s="220"/>
      <c r="HO6" s="220"/>
      <c r="HP6" s="220"/>
      <c r="HQ6" s="220"/>
      <c r="HR6" s="220"/>
      <c r="HS6" s="220"/>
      <c r="HT6" s="220"/>
      <c r="HU6" s="220"/>
      <c r="HV6" s="220"/>
      <c r="HW6" s="220"/>
      <c r="HX6" s="220"/>
      <c r="HY6" s="220"/>
      <c r="HZ6" s="220"/>
      <c r="IA6" s="220"/>
      <c r="IB6" s="220"/>
      <c r="IC6" s="220"/>
      <c r="ID6" s="220"/>
      <c r="IE6" s="220"/>
      <c r="IF6" s="220"/>
      <c r="IG6" s="220"/>
      <c r="IH6" s="220"/>
      <c r="II6" s="220"/>
      <c r="IJ6" s="220"/>
      <c r="IK6" s="220"/>
      <c r="IL6" s="220"/>
      <c r="IM6" s="220"/>
      <c r="IN6" s="220"/>
      <c r="IO6" s="220"/>
      <c r="IP6" s="220"/>
      <c r="IQ6" s="220"/>
      <c r="IR6" s="220"/>
      <c r="IS6" s="220"/>
      <c r="IT6" s="220"/>
    </row>
    <row r="7" spans="1:254" ht="20.25" customHeight="1">
      <c r="A7" s="3506" t="s">
        <v>1277</v>
      </c>
      <c r="B7" s="218"/>
      <c r="C7" s="218"/>
      <c r="D7" s="218"/>
      <c r="E7" s="218"/>
      <c r="F7" s="218"/>
      <c r="G7" s="218"/>
      <c r="H7" s="218"/>
      <c r="I7" s="218"/>
      <c r="J7" s="218"/>
      <c r="K7" s="218"/>
      <c r="L7" s="218"/>
      <c r="M7" s="218"/>
      <c r="N7" s="218"/>
      <c r="O7" s="218"/>
      <c r="P7" s="218"/>
      <c r="Q7" s="218"/>
      <c r="R7" s="218"/>
      <c r="S7" s="218"/>
      <c r="T7" s="218"/>
      <c r="U7" s="218"/>
      <c r="V7" s="218"/>
      <c r="W7" s="218"/>
      <c r="X7" s="218"/>
      <c r="Y7" s="218"/>
      <c r="Z7" s="218"/>
      <c r="AA7" s="218"/>
      <c r="AB7" s="1691"/>
      <c r="AC7" s="1691"/>
      <c r="AD7" s="1691"/>
      <c r="AE7" s="1691"/>
      <c r="AF7" s="104"/>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c r="BJ7" s="220"/>
      <c r="BK7" s="220"/>
      <c r="BL7" s="220"/>
      <c r="BM7" s="220"/>
      <c r="BN7" s="220"/>
      <c r="BO7" s="220"/>
      <c r="BP7" s="220"/>
      <c r="BQ7" s="220"/>
      <c r="BR7" s="220"/>
      <c r="BS7" s="220"/>
      <c r="BT7" s="220"/>
      <c r="BU7" s="220"/>
      <c r="BV7" s="220"/>
      <c r="BW7" s="220"/>
      <c r="BX7" s="220"/>
      <c r="BY7" s="220"/>
      <c r="BZ7" s="220"/>
      <c r="CA7" s="220"/>
      <c r="CB7" s="220"/>
      <c r="CC7" s="220"/>
      <c r="CD7" s="220"/>
      <c r="CE7" s="220"/>
      <c r="CF7" s="220"/>
      <c r="CG7" s="220"/>
      <c r="CH7" s="220"/>
      <c r="CI7" s="220"/>
      <c r="CJ7" s="220"/>
      <c r="CK7" s="220"/>
      <c r="CL7" s="220"/>
      <c r="CM7" s="220"/>
      <c r="CN7" s="220"/>
      <c r="CO7" s="220"/>
      <c r="CP7" s="220"/>
      <c r="CQ7" s="220"/>
      <c r="CR7" s="220"/>
      <c r="CS7" s="220"/>
      <c r="CT7" s="220"/>
      <c r="CU7" s="220"/>
      <c r="CV7" s="220"/>
      <c r="CW7" s="220"/>
      <c r="CX7" s="220"/>
      <c r="CY7" s="220"/>
      <c r="CZ7" s="220"/>
      <c r="DA7" s="220"/>
      <c r="DB7" s="220"/>
      <c r="DC7" s="220"/>
      <c r="DD7" s="220"/>
      <c r="DE7" s="220"/>
      <c r="DF7" s="220"/>
      <c r="DG7" s="220"/>
      <c r="DH7" s="220"/>
      <c r="DI7" s="220"/>
      <c r="DJ7" s="220"/>
      <c r="DK7" s="220"/>
      <c r="DL7" s="220"/>
      <c r="DM7" s="220"/>
      <c r="DN7" s="220"/>
      <c r="DO7" s="220"/>
      <c r="DP7" s="220"/>
      <c r="DQ7" s="220"/>
      <c r="DR7" s="220"/>
      <c r="DS7" s="220"/>
      <c r="DT7" s="220"/>
      <c r="DU7" s="220"/>
      <c r="DV7" s="220"/>
      <c r="DW7" s="220"/>
      <c r="DX7" s="220"/>
      <c r="DY7" s="220"/>
      <c r="DZ7" s="220"/>
      <c r="EA7" s="220"/>
      <c r="EB7" s="220"/>
      <c r="EC7" s="220"/>
      <c r="ED7" s="220"/>
      <c r="EE7" s="220"/>
      <c r="EF7" s="220"/>
      <c r="EG7" s="220"/>
      <c r="EH7" s="220"/>
      <c r="EI7" s="220"/>
      <c r="EJ7" s="220"/>
      <c r="EK7" s="220"/>
      <c r="EL7" s="220"/>
      <c r="EM7" s="220"/>
      <c r="EN7" s="220"/>
      <c r="EO7" s="220"/>
      <c r="EP7" s="220"/>
      <c r="EQ7" s="220"/>
      <c r="ER7" s="220"/>
      <c r="ES7" s="220"/>
      <c r="ET7" s="220"/>
      <c r="EU7" s="220"/>
      <c r="EV7" s="220"/>
      <c r="EW7" s="220"/>
      <c r="EX7" s="220"/>
      <c r="EY7" s="220"/>
      <c r="EZ7" s="220"/>
      <c r="FA7" s="220"/>
      <c r="FB7" s="220"/>
      <c r="FC7" s="220"/>
      <c r="FD7" s="220"/>
      <c r="FE7" s="220"/>
      <c r="FF7" s="220"/>
      <c r="FG7" s="220"/>
      <c r="FH7" s="220"/>
      <c r="FI7" s="220"/>
      <c r="FJ7" s="220"/>
      <c r="FK7" s="220"/>
      <c r="FL7" s="220"/>
      <c r="FM7" s="220"/>
      <c r="FN7" s="220"/>
      <c r="FO7" s="220"/>
      <c r="FP7" s="220"/>
      <c r="FQ7" s="220"/>
      <c r="FR7" s="220"/>
      <c r="FS7" s="220"/>
      <c r="FT7" s="220"/>
      <c r="FU7" s="220"/>
      <c r="FV7" s="220"/>
      <c r="FW7" s="220"/>
      <c r="FX7" s="220"/>
      <c r="FY7" s="220"/>
      <c r="FZ7" s="220"/>
      <c r="GA7" s="220"/>
      <c r="GB7" s="220"/>
      <c r="GC7" s="220"/>
      <c r="GD7" s="220"/>
      <c r="GE7" s="220"/>
      <c r="GF7" s="220"/>
      <c r="GG7" s="220"/>
      <c r="GH7" s="220"/>
      <c r="GI7" s="220"/>
      <c r="GJ7" s="220"/>
      <c r="GK7" s="220"/>
      <c r="GL7" s="220"/>
      <c r="GM7" s="220"/>
      <c r="GN7" s="220"/>
      <c r="GO7" s="220"/>
      <c r="GP7" s="220"/>
      <c r="GQ7" s="220"/>
      <c r="GR7" s="220"/>
      <c r="GS7" s="220"/>
      <c r="GT7" s="220"/>
      <c r="GU7" s="220"/>
      <c r="GV7" s="220"/>
      <c r="GW7" s="220"/>
      <c r="GX7" s="220"/>
      <c r="GY7" s="220"/>
      <c r="GZ7" s="220"/>
      <c r="HA7" s="220"/>
      <c r="HB7" s="220"/>
      <c r="HC7" s="220"/>
      <c r="HD7" s="220"/>
      <c r="HE7" s="220"/>
      <c r="HF7" s="220"/>
      <c r="HG7" s="220"/>
      <c r="HH7" s="220"/>
      <c r="HI7" s="220"/>
      <c r="HJ7" s="220"/>
      <c r="HK7" s="220"/>
      <c r="HL7" s="220"/>
      <c r="HM7" s="220"/>
      <c r="HN7" s="220"/>
      <c r="HO7" s="220"/>
      <c r="HP7" s="220"/>
      <c r="HQ7" s="220"/>
      <c r="HR7" s="220"/>
      <c r="HS7" s="220"/>
      <c r="HT7" s="220"/>
      <c r="HU7" s="220"/>
      <c r="HV7" s="220"/>
      <c r="HW7" s="220"/>
      <c r="HX7" s="220"/>
      <c r="HY7" s="220"/>
      <c r="HZ7" s="220"/>
      <c r="IA7" s="220"/>
      <c r="IB7" s="220"/>
      <c r="IC7" s="220"/>
      <c r="ID7" s="220"/>
      <c r="IE7" s="220"/>
      <c r="IF7" s="220"/>
      <c r="IG7" s="220"/>
      <c r="IH7" s="220"/>
      <c r="II7" s="220"/>
      <c r="IJ7" s="220"/>
      <c r="IK7" s="220"/>
      <c r="IL7" s="220"/>
      <c r="IM7" s="220"/>
      <c r="IN7" s="220"/>
      <c r="IO7" s="220"/>
      <c r="IP7" s="220"/>
      <c r="IQ7" s="220"/>
      <c r="IR7" s="220"/>
      <c r="IS7" s="220"/>
      <c r="IT7" s="220"/>
    </row>
    <row r="8" spans="1:254" ht="16.5" customHeight="1">
      <c r="A8" s="222"/>
      <c r="B8" s="222"/>
      <c r="C8" s="222"/>
      <c r="D8" s="222"/>
      <c r="E8" s="222"/>
      <c r="F8" s="222"/>
      <c r="G8" s="222"/>
      <c r="H8" s="222"/>
      <c r="I8" s="222"/>
      <c r="J8" s="222"/>
      <c r="K8" s="222"/>
      <c r="L8" s="222"/>
      <c r="M8" s="222"/>
      <c r="N8" s="222"/>
      <c r="O8" s="222"/>
      <c r="P8" s="222"/>
      <c r="Q8" s="222"/>
      <c r="R8" s="222"/>
      <c r="S8" s="222"/>
      <c r="T8" s="222"/>
      <c r="U8" s="222"/>
      <c r="V8" s="222"/>
      <c r="W8" s="222"/>
      <c r="X8" s="222"/>
      <c r="Y8" s="222"/>
      <c r="Z8" s="222"/>
      <c r="AA8" s="222"/>
      <c r="AB8" s="3087"/>
      <c r="AC8" s="3087"/>
      <c r="AD8" s="3087"/>
      <c r="AE8" s="3087"/>
      <c r="AF8" s="104"/>
    </row>
    <row r="9" spans="1:254" ht="16.5" customHeight="1">
      <c r="A9" s="222"/>
      <c r="B9" s="222"/>
      <c r="C9" s="222"/>
      <c r="D9" s="222"/>
      <c r="E9" s="222"/>
      <c r="F9" s="222"/>
      <c r="G9" s="222"/>
      <c r="H9" s="222"/>
      <c r="I9" s="222"/>
      <c r="J9" s="222"/>
      <c r="K9" s="222"/>
      <c r="L9" s="222"/>
      <c r="M9" s="222"/>
      <c r="N9" s="222"/>
      <c r="O9" s="222"/>
      <c r="P9" s="222"/>
      <c r="Q9" s="222"/>
      <c r="R9" s="222"/>
      <c r="S9" s="222"/>
      <c r="T9" s="222"/>
      <c r="U9" s="222"/>
      <c r="V9" s="222"/>
      <c r="W9" s="222"/>
      <c r="X9" s="222"/>
      <c r="Y9" s="222"/>
      <c r="Z9" s="222"/>
      <c r="AA9" s="222"/>
      <c r="AB9" s="3087"/>
      <c r="AC9" s="3087"/>
      <c r="AD9" s="3087"/>
      <c r="AE9" s="3087"/>
      <c r="AF9" s="1077"/>
      <c r="AG9" s="3193"/>
    </row>
    <row r="10" spans="1:254" ht="16.5" customHeight="1">
      <c r="A10" s="222"/>
      <c r="B10" s="222"/>
      <c r="C10" s="222"/>
      <c r="D10" s="222"/>
      <c r="E10" s="222"/>
      <c r="F10" s="222"/>
      <c r="G10" s="222"/>
      <c r="H10" s="222"/>
      <c r="I10" s="222"/>
      <c r="J10" s="222"/>
      <c r="K10" s="222"/>
      <c r="L10" s="222"/>
      <c r="M10" s="222"/>
      <c r="N10" s="222"/>
      <c r="O10" s="222"/>
      <c r="P10" s="222"/>
      <c r="Q10" s="222"/>
      <c r="R10" s="222"/>
      <c r="S10" s="222"/>
      <c r="T10" s="222"/>
      <c r="U10" s="222"/>
      <c r="V10" s="222"/>
      <c r="W10" s="222"/>
      <c r="X10" s="222"/>
      <c r="Y10" s="222"/>
      <c r="Z10" s="222"/>
      <c r="AA10" s="222"/>
      <c r="AB10" s="3087"/>
      <c r="AC10" s="3087"/>
      <c r="AD10" s="3087"/>
      <c r="AE10" s="3087"/>
      <c r="AF10" s="1697"/>
      <c r="AG10" s="3194"/>
    </row>
    <row r="11" spans="1:254" ht="16.5" customHeight="1">
      <c r="A11" s="222"/>
      <c r="B11" s="222"/>
      <c r="C11" s="222"/>
      <c r="D11" s="222"/>
      <c r="E11" s="222"/>
      <c r="F11" s="222"/>
      <c r="G11" s="222"/>
      <c r="H11" s="222"/>
      <c r="I11" s="222"/>
      <c r="J11" s="222"/>
      <c r="K11" s="222"/>
      <c r="L11" s="222"/>
      <c r="M11" s="222"/>
      <c r="N11" s="222"/>
      <c r="O11" s="222"/>
      <c r="P11" s="222"/>
      <c r="Q11" s="222"/>
      <c r="R11" s="222"/>
      <c r="S11" s="222"/>
      <c r="T11" s="222"/>
      <c r="U11" s="222"/>
      <c r="V11" s="222"/>
      <c r="W11" s="222"/>
      <c r="X11" s="222"/>
      <c r="Y11" s="222"/>
      <c r="Z11" s="222"/>
      <c r="AA11" s="222"/>
      <c r="AC11" s="3087"/>
      <c r="AD11" s="3087"/>
      <c r="AE11" s="3087"/>
      <c r="AF11" s="3195"/>
      <c r="AG11" s="3196"/>
      <c r="AH11" s="3193"/>
      <c r="AI11" s="1123"/>
      <c r="AJ11" s="1123"/>
    </row>
    <row r="12" spans="1:254" ht="16.5" customHeight="1">
      <c r="A12" s="218"/>
      <c r="B12" s="218"/>
      <c r="C12" s="227" t="s">
        <v>14</v>
      </c>
      <c r="D12" s="227" t="s">
        <v>14</v>
      </c>
      <c r="E12" s="227"/>
      <c r="F12" s="227"/>
      <c r="G12" s="227"/>
      <c r="H12" s="227"/>
      <c r="I12" s="227"/>
      <c r="J12" s="227"/>
      <c r="K12" s="227"/>
      <c r="L12" s="227"/>
      <c r="M12" s="227"/>
      <c r="N12" s="227"/>
      <c r="O12" s="227"/>
      <c r="P12" s="227"/>
      <c r="Q12" s="227"/>
      <c r="R12" s="227"/>
      <c r="S12" s="227"/>
      <c r="T12" s="227"/>
      <c r="U12" s="227"/>
      <c r="V12" s="227"/>
      <c r="W12" s="227"/>
      <c r="X12" s="227"/>
      <c r="Y12" s="753"/>
      <c r="Z12" s="753"/>
      <c r="AA12" s="227"/>
      <c r="AB12" s="3976" t="s">
        <v>1563</v>
      </c>
      <c r="AC12" s="3977"/>
      <c r="AD12" s="3977"/>
      <c r="AE12" s="3977"/>
      <c r="AF12" s="3977"/>
      <c r="AG12" s="3977"/>
      <c r="AH12" s="3977"/>
      <c r="AI12" s="3977"/>
      <c r="AJ12" s="3977"/>
    </row>
    <row r="13" spans="1:254" ht="16.5" customHeight="1">
      <c r="A13" s="218"/>
      <c r="B13" s="218"/>
      <c r="C13" s="897" t="str">
        <f>'Cashflow Governmental'!C13</f>
        <v>2021</v>
      </c>
      <c r="D13" s="227"/>
      <c r="E13" s="227"/>
      <c r="F13" s="227"/>
      <c r="G13" s="227"/>
      <c r="H13" s="227"/>
      <c r="I13" s="227"/>
      <c r="J13" s="227"/>
      <c r="K13" s="227"/>
      <c r="L13" s="227"/>
      <c r="M13" s="227"/>
      <c r="N13" s="227"/>
      <c r="O13" s="227"/>
      <c r="P13" s="227"/>
      <c r="Q13" s="227"/>
      <c r="R13" s="227"/>
      <c r="S13" s="227"/>
      <c r="T13" s="227"/>
      <c r="U13" s="897">
        <f>'Cashflow Governmental'!U13</f>
        <v>2022</v>
      </c>
      <c r="V13" s="227"/>
      <c r="W13" s="227"/>
      <c r="X13" s="227"/>
      <c r="Y13" s="227"/>
      <c r="Z13" s="227"/>
      <c r="AA13" s="227"/>
      <c r="AB13" s="3088"/>
      <c r="AC13" s="3179"/>
      <c r="AD13" s="3179"/>
      <c r="AE13" s="3179"/>
      <c r="AF13" s="3197"/>
      <c r="AG13" s="3198"/>
      <c r="AH13" s="3199" t="s">
        <v>7</v>
      </c>
      <c r="AI13" s="1125"/>
      <c r="AJ13" s="1126" t="s">
        <v>8</v>
      </c>
    </row>
    <row r="14" spans="1:254" ht="16.5" customHeight="1">
      <c r="A14" s="218"/>
      <c r="B14" s="218"/>
      <c r="C14" s="754" t="s">
        <v>123</v>
      </c>
      <c r="D14" s="227"/>
      <c r="E14" s="754" t="s">
        <v>124</v>
      </c>
      <c r="F14" s="227"/>
      <c r="G14" s="754" t="s">
        <v>125</v>
      </c>
      <c r="H14" s="227"/>
      <c r="I14" s="754" t="s">
        <v>126</v>
      </c>
      <c r="J14" s="227"/>
      <c r="K14" s="754" t="s">
        <v>127</v>
      </c>
      <c r="L14" s="227"/>
      <c r="M14" s="754" t="s">
        <v>142</v>
      </c>
      <c r="N14" s="227"/>
      <c r="O14" s="754" t="s">
        <v>143</v>
      </c>
      <c r="P14" s="227"/>
      <c r="Q14" s="754" t="s">
        <v>130</v>
      </c>
      <c r="R14" s="227"/>
      <c r="S14" s="754" t="s">
        <v>131</v>
      </c>
      <c r="T14" s="227"/>
      <c r="U14" s="754" t="s">
        <v>132</v>
      </c>
      <c r="V14" s="227"/>
      <c r="W14" s="754" t="s">
        <v>133</v>
      </c>
      <c r="X14" s="227"/>
      <c r="Y14" s="754" t="s">
        <v>184</v>
      </c>
      <c r="Z14" s="227"/>
      <c r="AA14" s="227"/>
      <c r="AB14" s="3180">
        <f>'Cashflow Governmental'!AB14</f>
        <v>2021</v>
      </c>
      <c r="AC14" s="1690" t="s">
        <v>14</v>
      </c>
      <c r="AD14" s="1690"/>
      <c r="AE14" s="3180">
        <f>'Cashflow Governmental'!AE14</f>
        <v>2020</v>
      </c>
      <c r="AF14" s="3200"/>
      <c r="AG14" s="3201"/>
      <c r="AH14" s="3202" t="s">
        <v>11</v>
      </c>
      <c r="AI14" s="1128"/>
      <c r="AJ14" s="1127" t="s">
        <v>12</v>
      </c>
    </row>
    <row r="15" spans="1:254" ht="4.5" customHeight="1">
      <c r="A15" s="218"/>
      <c r="B15" s="218"/>
      <c r="C15" s="223"/>
      <c r="D15" s="218"/>
      <c r="E15" s="223"/>
      <c r="F15" s="218"/>
      <c r="G15" s="223"/>
      <c r="H15" s="218"/>
      <c r="I15" s="223"/>
      <c r="J15" s="218"/>
      <c r="K15" s="223"/>
      <c r="L15" s="218"/>
      <c r="M15" s="223"/>
      <c r="N15" s="218"/>
      <c r="O15" s="223" t="s">
        <v>14</v>
      </c>
      <c r="P15" s="218"/>
      <c r="Q15" s="223"/>
      <c r="R15" s="218"/>
      <c r="S15" s="223"/>
      <c r="T15" s="218"/>
      <c r="U15" s="223" t="s">
        <v>14</v>
      </c>
      <c r="V15" s="218"/>
      <c r="W15" s="223"/>
      <c r="X15" s="218"/>
      <c r="Y15" s="223"/>
      <c r="Z15" s="218"/>
      <c r="AA15" s="218"/>
      <c r="AB15" s="3181"/>
      <c r="AC15" s="1691"/>
      <c r="AD15" s="1691"/>
      <c r="AE15" s="3181"/>
      <c r="AF15" s="3200"/>
      <c r="AG15" s="3201"/>
    </row>
    <row r="16" spans="1:254" ht="16.5" customHeight="1">
      <c r="A16" s="224" t="s">
        <v>135</v>
      </c>
      <c r="B16" s="218"/>
      <c r="C16" s="2125">
        <v>328</v>
      </c>
      <c r="D16" s="225"/>
      <c r="E16" s="225">
        <f>C51</f>
        <v>330.9</v>
      </c>
      <c r="F16" s="356"/>
      <c r="G16" s="225">
        <f>E51</f>
        <v>267</v>
      </c>
      <c r="H16" s="356"/>
      <c r="I16" s="225">
        <f>G51</f>
        <v>283.60000000000002</v>
      </c>
      <c r="J16" s="225"/>
      <c r="K16" s="225">
        <f>I51</f>
        <v>287.10000000000002</v>
      </c>
      <c r="L16" s="356"/>
      <c r="M16" s="225">
        <f>K51</f>
        <v>230.7</v>
      </c>
      <c r="N16" s="356"/>
      <c r="O16" s="225"/>
      <c r="P16" s="356"/>
      <c r="Q16" s="225"/>
      <c r="R16" s="356"/>
      <c r="S16" s="225"/>
      <c r="T16" s="356"/>
      <c r="U16" s="225"/>
      <c r="V16" s="356"/>
      <c r="W16" s="225"/>
      <c r="X16" s="356"/>
      <c r="Y16" s="225"/>
      <c r="Z16" s="225"/>
      <c r="AA16" s="226"/>
      <c r="AB16" s="3182">
        <f>C16</f>
        <v>328</v>
      </c>
      <c r="AC16" s="3182"/>
      <c r="AD16" s="3203"/>
      <c r="AE16" s="2125">
        <v>29.700000000000017</v>
      </c>
      <c r="AF16" s="1672"/>
      <c r="AG16" s="1656"/>
      <c r="AH16" s="1645">
        <f>ROUND(SUM(AB16-AE16),1)</f>
        <v>298.3</v>
      </c>
      <c r="AJ16" s="3857">
        <f>ROUND(IF(AH16=0,0,AH16/(AE16)),3)</f>
        <v>10.044</v>
      </c>
    </row>
    <row r="17" spans="1:38" ht="16.5" customHeight="1">
      <c r="A17" s="218"/>
      <c r="B17" s="218"/>
      <c r="C17" s="218" t="s">
        <v>14</v>
      </c>
      <c r="D17" s="218"/>
      <c r="E17" s="228"/>
      <c r="F17" s="228"/>
      <c r="G17" s="228"/>
      <c r="H17" s="228"/>
      <c r="I17" s="228"/>
      <c r="J17" s="228"/>
      <c r="K17" s="228"/>
      <c r="L17" s="228"/>
      <c r="M17" s="228"/>
      <c r="N17" s="228"/>
      <c r="O17" s="228"/>
      <c r="P17" s="228"/>
      <c r="Q17" s="228"/>
      <c r="R17" s="228"/>
      <c r="S17" s="228"/>
      <c r="T17" s="228"/>
      <c r="U17" s="228"/>
      <c r="V17" s="228"/>
      <c r="W17" s="228"/>
      <c r="X17" s="228"/>
      <c r="Y17" s="228"/>
      <c r="Z17" s="218"/>
      <c r="AA17" s="229"/>
      <c r="AB17" s="1691" t="s">
        <v>14</v>
      </c>
      <c r="AC17" s="1691"/>
      <c r="AD17" s="3204"/>
      <c r="AE17" s="1691" t="s">
        <v>14</v>
      </c>
      <c r="AF17" s="1684"/>
      <c r="AG17" s="1656"/>
      <c r="AH17" s="3205"/>
      <c r="AJ17" s="3593"/>
    </row>
    <row r="18" spans="1:38" ht="16.5" customHeight="1">
      <c r="A18" s="227" t="s">
        <v>13</v>
      </c>
      <c r="B18" s="218"/>
      <c r="C18" s="218"/>
      <c r="D18" s="218"/>
      <c r="E18" s="228"/>
      <c r="F18" s="228"/>
      <c r="G18" s="228"/>
      <c r="H18" s="228"/>
      <c r="I18" s="228"/>
      <c r="J18" s="228"/>
      <c r="K18" s="228"/>
      <c r="L18" s="228"/>
      <c r="M18" s="228"/>
      <c r="N18" s="228"/>
      <c r="O18" s="228"/>
      <c r="P18" s="228"/>
      <c r="Q18" s="228"/>
      <c r="R18" s="228"/>
      <c r="S18" s="228"/>
      <c r="T18" s="228"/>
      <c r="U18" s="228"/>
      <c r="V18" s="228"/>
      <c r="W18" s="228"/>
      <c r="X18" s="228"/>
      <c r="Y18" s="228"/>
      <c r="Z18" s="218"/>
      <c r="AA18" s="229"/>
      <c r="AB18" s="1691"/>
      <c r="AC18" s="1691"/>
      <c r="AD18" s="3204"/>
      <c r="AE18" s="1691"/>
      <c r="AF18" s="1657"/>
      <c r="AG18" s="1656"/>
      <c r="AH18" s="3205"/>
      <c r="AJ18" s="3593"/>
    </row>
    <row r="19" spans="1:38" ht="18.75" customHeight="1">
      <c r="A19" s="218" t="s">
        <v>177</v>
      </c>
      <c r="B19" s="218"/>
      <c r="C19" s="230">
        <v>261.8</v>
      </c>
      <c r="D19" s="230"/>
      <c r="E19" s="230">
        <v>200.8</v>
      </c>
      <c r="F19" s="239"/>
      <c r="G19" s="230">
        <v>211.79999999999995</v>
      </c>
      <c r="H19" s="239"/>
      <c r="I19" s="230">
        <v>257.90000000000003</v>
      </c>
      <c r="J19" s="239"/>
      <c r="K19" s="230">
        <v>195.10000000000019</v>
      </c>
      <c r="L19" s="239"/>
      <c r="M19" s="230">
        <f>$AB19-$C19-$E19-$G19-$I19-$K19</f>
        <v>307.69999999999982</v>
      </c>
      <c r="N19" s="239"/>
      <c r="O19" s="230"/>
      <c r="P19" s="239"/>
      <c r="Q19" s="1687"/>
      <c r="R19" s="239"/>
      <c r="S19" s="1687"/>
      <c r="T19" s="239"/>
      <c r="U19" s="1687"/>
      <c r="V19" s="239"/>
      <c r="W19" s="1687"/>
      <c r="X19" s="239"/>
      <c r="Y19" s="1687"/>
      <c r="Z19" s="230"/>
      <c r="AA19" s="231"/>
      <c r="AB19" s="2094">
        <v>1435.1</v>
      </c>
      <c r="AC19" s="1545"/>
      <c r="AD19" s="1693"/>
      <c r="AE19" s="2094">
        <v>37</v>
      </c>
      <c r="AF19" s="1564"/>
      <c r="AG19" s="1656"/>
      <c r="AH19" s="3206">
        <f>ROUND(AB19-AE19,1)</f>
        <v>1398.1</v>
      </c>
      <c r="AI19" s="1131"/>
      <c r="AJ19" s="3853">
        <f>ROUND(IF(AE19=0,0,AH19/ABS(AE19)),3)</f>
        <v>37.786000000000001</v>
      </c>
    </row>
    <row r="20" spans="1:38" ht="17.25" customHeight="1">
      <c r="A20" s="224" t="s">
        <v>215</v>
      </c>
      <c r="B20" s="218"/>
      <c r="C20" s="230">
        <v>4691.3999999999996</v>
      </c>
      <c r="D20" s="230"/>
      <c r="E20" s="230">
        <v>4264.1000000000004</v>
      </c>
      <c r="F20" s="239"/>
      <c r="G20" s="230">
        <v>5008.2000000000007</v>
      </c>
      <c r="H20" s="239"/>
      <c r="I20" s="230">
        <v>3973.0999999999985</v>
      </c>
      <c r="J20" s="239"/>
      <c r="K20" s="230">
        <v>4570.9000000000033</v>
      </c>
      <c r="L20" s="239"/>
      <c r="M20" s="230">
        <f>$AB20-$C20-$E20-$G20-$I20-$K20</f>
        <v>1186.3999999999942</v>
      </c>
      <c r="N20" s="239"/>
      <c r="O20" s="230"/>
      <c r="P20" s="239"/>
      <c r="Q20" s="1687"/>
      <c r="R20" s="239"/>
      <c r="S20" s="1687"/>
      <c r="T20" s="239"/>
      <c r="U20" s="1687"/>
      <c r="V20" s="239"/>
      <c r="W20" s="1687"/>
      <c r="X20" s="239"/>
      <c r="Y20" s="1687"/>
      <c r="Z20" s="230"/>
      <c r="AA20" s="231"/>
      <c r="AB20" s="2094">
        <v>23694.1</v>
      </c>
      <c r="AC20" s="1545"/>
      <c r="AD20" s="1693"/>
      <c r="AE20" s="2094">
        <v>33873.9</v>
      </c>
      <c r="AF20" s="1564"/>
      <c r="AG20" s="1656"/>
      <c r="AH20" s="3206">
        <f>ROUND(AB20-AE20,1)</f>
        <v>-10179.799999999999</v>
      </c>
      <c r="AI20" s="1131"/>
      <c r="AJ20" s="3853">
        <f>ROUND(IF(AE20=0,0,AH20/ABS(AE20)),3)</f>
        <v>-0.30099999999999999</v>
      </c>
    </row>
    <row r="21" spans="1:38" ht="17.25" customHeight="1">
      <c r="A21" s="241" t="s">
        <v>216</v>
      </c>
      <c r="B21" s="218"/>
      <c r="C21" s="230">
        <v>218.5</v>
      </c>
      <c r="D21" s="230"/>
      <c r="E21" s="230">
        <v>313.60000000000002</v>
      </c>
      <c r="F21" s="239"/>
      <c r="G21" s="230">
        <v>390.79999999999995</v>
      </c>
      <c r="H21" s="239"/>
      <c r="I21" s="230">
        <v>315.00000000000011</v>
      </c>
      <c r="J21" s="239"/>
      <c r="K21" s="230">
        <v>350.50000000000011</v>
      </c>
      <c r="L21" s="239"/>
      <c r="M21" s="230">
        <f>$AB21-$C21-$E21-$G21-$I21-$K21</f>
        <v>239.39999999999964</v>
      </c>
      <c r="N21" s="239"/>
      <c r="O21" s="230"/>
      <c r="P21" s="239"/>
      <c r="Q21" s="1687"/>
      <c r="R21" s="239"/>
      <c r="S21" s="1687"/>
      <c r="T21" s="239"/>
      <c r="U21" s="1687"/>
      <c r="V21" s="239"/>
      <c r="W21" s="1687"/>
      <c r="X21" s="239"/>
      <c r="Y21" s="1687"/>
      <c r="Z21" s="230"/>
      <c r="AA21" s="231"/>
      <c r="AB21" s="2094">
        <v>1827.8</v>
      </c>
      <c r="AC21" s="1545"/>
      <c r="AD21" s="1693"/>
      <c r="AE21" s="2094">
        <v>11925.9</v>
      </c>
      <c r="AF21" s="1659"/>
      <c r="AG21" s="1662"/>
      <c r="AH21" s="3207">
        <f>ROUND(AB21-AE21,1)</f>
        <v>-10098.1</v>
      </c>
      <c r="AI21" s="1131"/>
      <c r="AJ21" s="3647">
        <f>ROUND(IF(AE21=0,0,AH21/ABS(AE21)),3)</f>
        <v>-0.84699999999999998</v>
      </c>
    </row>
    <row r="22" spans="1:38" ht="16.5" customHeight="1">
      <c r="A22" s="218"/>
      <c r="B22" s="218"/>
      <c r="C22" s="359"/>
      <c r="D22" s="230"/>
      <c r="E22" s="360"/>
      <c r="F22" s="239"/>
      <c r="G22" s="360"/>
      <c r="H22" s="239"/>
      <c r="I22" s="360"/>
      <c r="J22" s="239"/>
      <c r="K22" s="360"/>
      <c r="L22" s="239"/>
      <c r="M22" s="360"/>
      <c r="N22" s="239"/>
      <c r="O22" s="360"/>
      <c r="P22" s="239"/>
      <c r="Q22" s="360"/>
      <c r="R22" s="239"/>
      <c r="S22" s="360"/>
      <c r="T22" s="239"/>
      <c r="U22" s="360"/>
      <c r="V22" s="239"/>
      <c r="W22" s="1689"/>
      <c r="X22" s="239"/>
      <c r="Y22" s="360"/>
      <c r="Z22" s="230"/>
      <c r="AA22" s="231"/>
      <c r="AB22" s="3183"/>
      <c r="AC22" s="1545"/>
      <c r="AD22" s="1693"/>
      <c r="AE22" s="3183"/>
      <c r="AF22" s="1561"/>
      <c r="AG22" s="1662"/>
      <c r="AH22" s="1673"/>
      <c r="AJ22" s="3593"/>
    </row>
    <row r="23" spans="1:38" ht="16.5" customHeight="1">
      <c r="A23" s="227" t="s">
        <v>149</v>
      </c>
      <c r="B23" s="218"/>
      <c r="C23" s="240">
        <f>ROUND(SUM(C19:C22),1)</f>
        <v>5171.7</v>
      </c>
      <c r="D23" s="232"/>
      <c r="E23" s="240">
        <f>ROUND(SUM(E19:E22),1)</f>
        <v>4778.5</v>
      </c>
      <c r="F23" s="240"/>
      <c r="G23" s="240">
        <f>ROUND(SUM(G19:G22),1)</f>
        <v>5610.8</v>
      </c>
      <c r="H23" s="240"/>
      <c r="I23" s="240">
        <f>ROUND(SUM(I19:I22),1)</f>
        <v>4546</v>
      </c>
      <c r="J23" s="240"/>
      <c r="K23" s="240">
        <f>ROUND(SUM(K19:K22),1)</f>
        <v>5116.5</v>
      </c>
      <c r="L23" s="240"/>
      <c r="M23" s="240">
        <f>ROUND(SUM(M19:M22),1)</f>
        <v>1733.5</v>
      </c>
      <c r="N23" s="240"/>
      <c r="O23" s="240">
        <f>ROUND(SUM(O19:O22),1)</f>
        <v>0</v>
      </c>
      <c r="P23" s="240"/>
      <c r="Q23" s="240">
        <f>ROUND(SUM(Q19:Q22),1)</f>
        <v>0</v>
      </c>
      <c r="R23" s="240"/>
      <c r="S23" s="240">
        <f>ROUND(SUM(S19:S22),1)</f>
        <v>0</v>
      </c>
      <c r="T23" s="240"/>
      <c r="U23" s="240">
        <f>ROUND(SUM(U19:U22),1)</f>
        <v>0</v>
      </c>
      <c r="V23" s="240"/>
      <c r="W23" s="3184">
        <f>ROUND(SUM(W19:W22),1)</f>
        <v>0</v>
      </c>
      <c r="X23" s="240"/>
      <c r="Y23" s="240">
        <f>ROUND(SUM(Y19:Y22),1)</f>
        <v>0</v>
      </c>
      <c r="Z23" s="232"/>
      <c r="AA23" s="233"/>
      <c r="AB23" s="3184">
        <f>ROUND(SUM(AB19:AB22),1)</f>
        <v>26957</v>
      </c>
      <c r="AC23" s="3185"/>
      <c r="AD23" s="3208"/>
      <c r="AE23" s="3184">
        <f>ROUND(SUM(AE19:AE22),1)</f>
        <v>45836.800000000003</v>
      </c>
      <c r="AF23" s="1659"/>
      <c r="AG23" s="1662"/>
      <c r="AH23" s="3209">
        <f>ROUND(SUM(AH19:AH21),1)</f>
        <v>-18879.8</v>
      </c>
      <c r="AI23" s="1133"/>
      <c r="AJ23" s="3598">
        <f>ROUND(IF(AH23=0,0,AH23/ABS(AE23)),3)</f>
        <v>-0.41199999999999998</v>
      </c>
      <c r="AK23" s="357"/>
      <c r="AL23" s="357"/>
    </row>
    <row r="24" spans="1:38" ht="16.5" customHeight="1">
      <c r="A24" s="218"/>
      <c r="B24" s="218"/>
      <c r="C24" s="359"/>
      <c r="D24" s="230"/>
      <c r="E24" s="360"/>
      <c r="F24" s="239"/>
      <c r="G24" s="360"/>
      <c r="H24" s="239"/>
      <c r="I24" s="360"/>
      <c r="J24" s="239"/>
      <c r="K24" s="360"/>
      <c r="L24" s="239"/>
      <c r="M24" s="360"/>
      <c r="N24" s="239"/>
      <c r="O24" s="360"/>
      <c r="P24" s="239"/>
      <c r="Q24" s="360"/>
      <c r="R24" s="239"/>
      <c r="S24" s="360"/>
      <c r="T24" s="239"/>
      <c r="U24" s="360"/>
      <c r="V24" s="239"/>
      <c r="W24" s="360"/>
      <c r="X24" s="239"/>
      <c r="Y24" s="360"/>
      <c r="Z24" s="230"/>
      <c r="AA24" s="231"/>
      <c r="AB24" s="3183"/>
      <c r="AC24" s="1545"/>
      <c r="AD24" s="1693"/>
      <c r="AE24" s="3183"/>
      <c r="AF24" s="2181"/>
      <c r="AG24" s="1662"/>
      <c r="AH24" s="1673"/>
      <c r="AJ24" s="3593"/>
    </row>
    <row r="25" spans="1:38" ht="16.5" customHeight="1">
      <c r="A25" s="218"/>
      <c r="B25" s="218"/>
      <c r="C25" s="230"/>
      <c r="D25" s="230"/>
      <c r="E25" s="239"/>
      <c r="F25" s="239"/>
      <c r="G25" s="239"/>
      <c r="H25" s="239"/>
      <c r="I25" s="239"/>
      <c r="J25" s="239"/>
      <c r="K25" s="239"/>
      <c r="L25" s="239"/>
      <c r="M25" s="239"/>
      <c r="N25" s="239"/>
      <c r="O25" s="239"/>
      <c r="P25" s="239"/>
      <c r="Q25" s="239"/>
      <c r="R25" s="239"/>
      <c r="S25" s="239"/>
      <c r="T25" s="239"/>
      <c r="U25" s="239"/>
      <c r="V25" s="239"/>
      <c r="W25" s="239"/>
      <c r="X25" s="239"/>
      <c r="Y25" s="239"/>
      <c r="Z25" s="230"/>
      <c r="AA25" s="231"/>
      <c r="AB25" s="1545"/>
      <c r="AC25" s="1545"/>
      <c r="AD25" s="1693"/>
      <c r="AE25" s="1545"/>
      <c r="AF25" s="1657"/>
      <c r="AG25" s="1656"/>
      <c r="AH25" s="1673"/>
      <c r="AJ25" s="3594"/>
    </row>
    <row r="26" spans="1:38" ht="16.5" customHeight="1">
      <c r="A26" s="227" t="s">
        <v>22</v>
      </c>
      <c r="B26" s="218"/>
      <c r="C26" s="230"/>
      <c r="D26" s="230"/>
      <c r="E26" s="239"/>
      <c r="F26" s="239"/>
      <c r="G26" s="239"/>
      <c r="H26" s="239"/>
      <c r="I26" s="239"/>
      <c r="J26" s="239"/>
      <c r="K26" s="239"/>
      <c r="L26" s="239"/>
      <c r="M26" s="239"/>
      <c r="N26" s="239"/>
      <c r="O26" s="239"/>
      <c r="P26" s="239"/>
      <c r="Q26" s="239"/>
      <c r="R26" s="239"/>
      <c r="S26" s="239"/>
      <c r="T26" s="239"/>
      <c r="U26" s="239"/>
      <c r="V26" s="239"/>
      <c r="W26" s="239"/>
      <c r="X26" s="1688"/>
      <c r="Y26" s="1688"/>
      <c r="Z26" s="1545"/>
      <c r="AA26" s="1693"/>
      <c r="AB26" s="1545"/>
      <c r="AC26" s="1545"/>
      <c r="AD26" s="1693"/>
      <c r="AE26" s="1545"/>
      <c r="AF26" s="1564"/>
      <c r="AG26" s="1656"/>
      <c r="AH26" s="1673"/>
      <c r="AI26" s="1136"/>
      <c r="AJ26" s="3594"/>
    </row>
    <row r="27" spans="1:38" ht="16.5" customHeight="1">
      <c r="A27" s="218" t="s">
        <v>151</v>
      </c>
      <c r="B27" s="218"/>
      <c r="C27" s="230"/>
      <c r="D27" s="230"/>
      <c r="E27" s="230"/>
      <c r="F27" s="239"/>
      <c r="G27" s="239"/>
      <c r="H27" s="239"/>
      <c r="I27" s="239"/>
      <c r="J27" s="239"/>
      <c r="K27" s="239"/>
      <c r="L27" s="239"/>
      <c r="M27" s="239"/>
      <c r="N27" s="239"/>
      <c r="O27" s="239"/>
      <c r="P27" s="239"/>
      <c r="Q27" s="239"/>
      <c r="R27" s="239"/>
      <c r="S27" s="1687"/>
      <c r="T27" s="239"/>
      <c r="U27" s="239"/>
      <c r="V27" s="239"/>
      <c r="W27" s="239"/>
      <c r="X27" s="1688"/>
      <c r="Y27" s="1688"/>
      <c r="Z27" s="1545"/>
      <c r="AA27" s="1693"/>
      <c r="AB27" s="1545"/>
      <c r="AC27" s="1545"/>
      <c r="AD27" s="1693"/>
      <c r="AE27" s="1545"/>
      <c r="AF27" s="2184"/>
      <c r="AG27" s="1662"/>
      <c r="AH27" s="1673"/>
      <c r="AJ27" s="3594"/>
    </row>
    <row r="28" spans="1:38" ht="16.5" customHeight="1">
      <c r="A28" s="218" t="s">
        <v>217</v>
      </c>
      <c r="B28" s="218"/>
      <c r="C28" s="230">
        <v>128.30000000000001</v>
      </c>
      <c r="D28" s="230"/>
      <c r="E28" s="230">
        <v>126.79999999999998</v>
      </c>
      <c r="F28" s="239"/>
      <c r="G28" s="230">
        <v>112.00000000000003</v>
      </c>
      <c r="H28" s="239"/>
      <c r="I28" s="230">
        <v>187.1999999999999</v>
      </c>
      <c r="J28" s="239"/>
      <c r="K28" s="230">
        <v>113.10000000000005</v>
      </c>
      <c r="L28" s="239"/>
      <c r="M28" s="230">
        <f t="shared" ref="M28:M31" si="0">$AB28-$C28-$E28-$G28-$I28-$K28</f>
        <v>131</v>
      </c>
      <c r="N28" s="239"/>
      <c r="O28" s="230"/>
      <c r="P28" s="239"/>
      <c r="Q28" s="1687"/>
      <c r="R28" s="239"/>
      <c r="S28" s="1687"/>
      <c r="T28" s="239"/>
      <c r="U28" s="1687"/>
      <c r="V28" s="239"/>
      <c r="W28" s="1687"/>
      <c r="X28" s="1688"/>
      <c r="Y28" s="1687"/>
      <c r="Z28" s="1545"/>
      <c r="AA28" s="1693"/>
      <c r="AB28" s="2094">
        <v>798.4</v>
      </c>
      <c r="AC28" s="1545"/>
      <c r="AD28" s="1693"/>
      <c r="AE28" s="2094">
        <v>7.5</v>
      </c>
      <c r="AF28" s="1657"/>
      <c r="AG28" s="1667"/>
      <c r="AH28" s="1673">
        <f>ROUND(SUM(AB28-AE28),1)</f>
        <v>790.9</v>
      </c>
      <c r="AJ28" s="3852">
        <f>ROUND(IF(AH28=0,0,AH28/ABS(AE28)),3)</f>
        <v>105.453</v>
      </c>
    </row>
    <row r="29" spans="1:38" ht="16.5" customHeight="1">
      <c r="A29" s="218" t="s">
        <v>178</v>
      </c>
      <c r="B29" s="218"/>
      <c r="C29" s="230">
        <v>22.1</v>
      </c>
      <c r="D29" s="230"/>
      <c r="E29" s="230">
        <v>32.9</v>
      </c>
      <c r="F29" s="239"/>
      <c r="G29" s="230">
        <v>35.1</v>
      </c>
      <c r="H29" s="239"/>
      <c r="I29" s="230">
        <v>21.099999999999994</v>
      </c>
      <c r="J29" s="239"/>
      <c r="K29" s="230">
        <v>40.70000000000001</v>
      </c>
      <c r="L29" s="239"/>
      <c r="M29" s="230">
        <f t="shared" si="0"/>
        <v>91.699999999999989</v>
      </c>
      <c r="N29" s="239"/>
      <c r="O29" s="230"/>
      <c r="P29" s="239"/>
      <c r="Q29" s="1687"/>
      <c r="R29" s="239"/>
      <c r="S29" s="1687"/>
      <c r="T29" s="239"/>
      <c r="U29" s="1687"/>
      <c r="V29" s="239"/>
      <c r="W29" s="1687"/>
      <c r="X29" s="1688"/>
      <c r="Y29" s="1687"/>
      <c r="Z29" s="1545"/>
      <c r="AA29" s="1693"/>
      <c r="AB29" s="2094">
        <v>243.6</v>
      </c>
      <c r="AC29" s="1545"/>
      <c r="AD29" s="1693"/>
      <c r="AE29" s="2094">
        <v>27.799999999999997</v>
      </c>
      <c r="AF29" s="1564"/>
      <c r="AG29" s="1667"/>
      <c r="AH29" s="1673">
        <f>ROUND(SUM(AB29-AE29),1)</f>
        <v>215.8</v>
      </c>
      <c r="AJ29" s="3852">
        <f t="shared" ref="AJ29:AJ30" si="1">ROUND(IF(AH29=0,0,AH29/ABS(AE29)),3)</f>
        <v>7.7629999999999999</v>
      </c>
    </row>
    <row r="30" spans="1:38" ht="16.5" customHeight="1">
      <c r="A30" s="218" t="s">
        <v>154</v>
      </c>
      <c r="B30" s="218"/>
      <c r="C30" s="230">
        <v>54.3</v>
      </c>
      <c r="D30" s="230"/>
      <c r="E30" s="230">
        <v>58.7</v>
      </c>
      <c r="F30" s="239"/>
      <c r="G30" s="230">
        <v>50.800000000000011</v>
      </c>
      <c r="H30" s="239"/>
      <c r="I30" s="230">
        <v>47.899999999999963</v>
      </c>
      <c r="J30" s="239"/>
      <c r="K30" s="230">
        <v>92.59999999999998</v>
      </c>
      <c r="L30" s="239"/>
      <c r="M30" s="230">
        <f t="shared" si="0"/>
        <v>51.000000000000043</v>
      </c>
      <c r="N30" s="239"/>
      <c r="O30" s="230"/>
      <c r="P30" s="239"/>
      <c r="Q30" s="1687"/>
      <c r="R30" s="239"/>
      <c r="S30" s="1687"/>
      <c r="T30" s="239"/>
      <c r="U30" s="1687"/>
      <c r="V30" s="239"/>
      <c r="W30" s="1687"/>
      <c r="X30" s="1688"/>
      <c r="Y30" s="1687"/>
      <c r="Z30" s="1545"/>
      <c r="AA30" s="1693"/>
      <c r="AB30" s="2094">
        <v>355.3</v>
      </c>
      <c r="AC30" s="1545"/>
      <c r="AD30" s="1693"/>
      <c r="AE30" s="2094">
        <v>0.90000000000000568</v>
      </c>
      <c r="AF30" s="1659"/>
      <c r="AG30" s="1666"/>
      <c r="AH30" s="1673">
        <f>ROUND(SUM(AB30-AE30),1)</f>
        <v>354.4</v>
      </c>
      <c r="AJ30" s="3852">
        <f t="shared" si="1"/>
        <v>393.77800000000002</v>
      </c>
    </row>
    <row r="31" spans="1:38" ht="16.5" customHeight="1">
      <c r="A31" s="241" t="s">
        <v>218</v>
      </c>
      <c r="B31" s="218"/>
      <c r="C31" s="230">
        <v>4967.1000000000004</v>
      </c>
      <c r="D31" s="230"/>
      <c r="E31" s="230">
        <v>4624</v>
      </c>
      <c r="F31" s="239"/>
      <c r="G31" s="230">
        <v>5396.2999999999993</v>
      </c>
      <c r="H31" s="239"/>
      <c r="I31" s="230">
        <v>4290.3000000000011</v>
      </c>
      <c r="J31" s="239"/>
      <c r="K31" s="230">
        <v>4926.4999999999982</v>
      </c>
      <c r="L31" s="239"/>
      <c r="M31" s="230">
        <f t="shared" si="0"/>
        <v>1421.4000000000015</v>
      </c>
      <c r="N31" s="239"/>
      <c r="O31" s="230"/>
      <c r="P31" s="239"/>
      <c r="Q31" s="1687"/>
      <c r="R31" s="239"/>
      <c r="S31" s="1687"/>
      <c r="T31" s="239"/>
      <c r="U31" s="1687"/>
      <c r="V31" s="239"/>
      <c r="W31" s="1687"/>
      <c r="X31" s="239"/>
      <c r="Y31" s="1687"/>
      <c r="Z31" s="230"/>
      <c r="AA31" s="231"/>
      <c r="AB31" s="2094">
        <v>25625.599999999999</v>
      </c>
      <c r="AC31" s="1545"/>
      <c r="AD31" s="1693"/>
      <c r="AE31" s="2094">
        <v>45791.199999999997</v>
      </c>
      <c r="AF31" s="1659"/>
      <c r="AG31" s="1667"/>
      <c r="AH31" s="1685">
        <f>ROUND(SUM(AB31-AE31),1)</f>
        <v>-20165.599999999999</v>
      </c>
      <c r="AJ31" s="3599">
        <f>ROUND(IF(AH31=0,0,AH31/ABS(AE31)),3)</f>
        <v>-0.44</v>
      </c>
    </row>
    <row r="32" spans="1:38" ht="16.5" customHeight="1">
      <c r="A32" s="218"/>
      <c r="B32" s="218"/>
      <c r="C32" s="359"/>
      <c r="D32" s="230"/>
      <c r="E32" s="360"/>
      <c r="F32" s="239"/>
      <c r="G32" s="360"/>
      <c r="H32" s="239"/>
      <c r="I32" s="360"/>
      <c r="J32" s="239"/>
      <c r="K32" s="360"/>
      <c r="L32" s="239"/>
      <c r="M32" s="360"/>
      <c r="N32" s="239"/>
      <c r="O32" s="360"/>
      <c r="P32" s="239"/>
      <c r="Q32" s="360"/>
      <c r="R32" s="239"/>
      <c r="S32" s="360"/>
      <c r="T32" s="239"/>
      <c r="U32" s="360"/>
      <c r="V32" s="239"/>
      <c r="W32" s="1689"/>
      <c r="X32" s="239"/>
      <c r="Y32" s="360"/>
      <c r="Z32" s="230"/>
      <c r="AA32" s="231"/>
      <c r="AB32" s="3183"/>
      <c r="AC32" s="1545"/>
      <c r="AD32" s="1693"/>
      <c r="AE32" s="3183"/>
      <c r="AF32" s="2187"/>
      <c r="AG32" s="1666"/>
      <c r="AH32" s="1673"/>
      <c r="AI32" s="1138"/>
      <c r="AJ32" s="3594"/>
    </row>
    <row r="33" spans="1:37" ht="16.5" customHeight="1">
      <c r="A33" s="227" t="s">
        <v>155</v>
      </c>
      <c r="B33" s="218"/>
      <c r="C33" s="240">
        <f>ROUND(SUM(C28:C32),1)</f>
        <v>5171.8</v>
      </c>
      <c r="D33" s="232"/>
      <c r="E33" s="240">
        <f>ROUND(SUM(E28:E32),1)</f>
        <v>4842.3999999999996</v>
      </c>
      <c r="F33" s="240"/>
      <c r="G33" s="240">
        <f>ROUND(SUM(G28:G32),1)</f>
        <v>5594.2</v>
      </c>
      <c r="H33" s="240"/>
      <c r="I33" s="240">
        <f>ROUND(SUM(I28:I32),1)</f>
        <v>4546.5</v>
      </c>
      <c r="J33" s="240"/>
      <c r="K33" s="888">
        <f>ROUND(SUM(K28:K32),1)</f>
        <v>5172.8999999999996</v>
      </c>
      <c r="L33" s="361"/>
      <c r="M33" s="888">
        <f>ROUND(SUM(M28:M32),1)</f>
        <v>1695.1</v>
      </c>
      <c r="N33" s="240"/>
      <c r="O33" s="240">
        <f>ROUND(SUM(O28:O32),1)</f>
        <v>0</v>
      </c>
      <c r="P33" s="240"/>
      <c r="Q33" s="240">
        <f>ROUND(SUM(Q28:Q32),1)</f>
        <v>0</v>
      </c>
      <c r="R33" s="240"/>
      <c r="S33" s="240">
        <f>ROUND(SUM(S28:S32),1)</f>
        <v>0</v>
      </c>
      <c r="T33" s="240"/>
      <c r="U33" s="240">
        <f>ROUND(SUM(U28:U32),1)</f>
        <v>0</v>
      </c>
      <c r="V33" s="240"/>
      <c r="W33" s="3184">
        <f>ROUND(SUM(W28:W32),1)</f>
        <v>0</v>
      </c>
      <c r="X33" s="240"/>
      <c r="Y33" s="240">
        <f>ROUND(SUM(Y28:Y32),1)</f>
        <v>0</v>
      </c>
      <c r="Z33" s="232"/>
      <c r="AA33" s="233"/>
      <c r="AB33" s="3184">
        <f>ROUND(SUM(AB28:AB32),1)</f>
        <v>27022.9</v>
      </c>
      <c r="AC33" s="3185"/>
      <c r="AD33" s="3208"/>
      <c r="AE33" s="3184">
        <f>ROUND(SUM(AE28:AE32),1)</f>
        <v>45827.4</v>
      </c>
      <c r="AF33" s="1657"/>
      <c r="AG33" s="1656"/>
      <c r="AH33" s="3209">
        <f>ROUND(SUM(AH28:AH31),1)</f>
        <v>-18804.5</v>
      </c>
      <c r="AI33" s="1133"/>
      <c r="AJ33" s="3598">
        <f>ROUND(IF(AH33=0,0,AH33/ABS(AE33)),3)</f>
        <v>-0.41</v>
      </c>
      <c r="AK33" s="357"/>
    </row>
    <row r="34" spans="1:37" ht="16.5" customHeight="1">
      <c r="A34" s="218"/>
      <c r="B34" s="218"/>
      <c r="C34" s="359"/>
      <c r="D34" s="230"/>
      <c r="E34" s="360"/>
      <c r="F34" s="239"/>
      <c r="G34" s="360"/>
      <c r="H34" s="239"/>
      <c r="I34" s="360"/>
      <c r="J34" s="239"/>
      <c r="K34" s="237"/>
      <c r="L34" s="239"/>
      <c r="M34" s="237"/>
      <c r="N34" s="239"/>
      <c r="O34" s="360"/>
      <c r="P34" s="239"/>
      <c r="Q34" s="360"/>
      <c r="R34" s="239"/>
      <c r="S34" s="360"/>
      <c r="T34" s="239"/>
      <c r="U34" s="360"/>
      <c r="V34" s="239"/>
      <c r="W34" s="360"/>
      <c r="X34" s="239"/>
      <c r="Y34" s="360"/>
      <c r="Z34" s="230"/>
      <c r="AA34" s="231"/>
      <c r="AB34" s="3183"/>
      <c r="AC34" s="3186"/>
      <c r="AD34" s="1693"/>
      <c r="AE34" s="3183"/>
      <c r="AF34" s="1564"/>
      <c r="AG34" s="1656"/>
      <c r="AH34" s="1673"/>
      <c r="AJ34" s="3593"/>
    </row>
    <row r="35" spans="1:37" ht="16.5" customHeight="1">
      <c r="A35" s="218"/>
      <c r="B35" s="218"/>
      <c r="C35" s="230"/>
      <c r="D35" s="230"/>
      <c r="E35" s="239"/>
      <c r="F35" s="239"/>
      <c r="G35" s="239"/>
      <c r="H35" s="239"/>
      <c r="I35" s="239"/>
      <c r="J35" s="239"/>
      <c r="K35" s="239"/>
      <c r="L35" s="239"/>
      <c r="M35" s="239"/>
      <c r="N35" s="239"/>
      <c r="O35" s="239"/>
      <c r="P35" s="239"/>
      <c r="Q35" s="239"/>
      <c r="R35" s="239"/>
      <c r="S35" s="239"/>
      <c r="T35" s="239"/>
      <c r="U35" s="239"/>
      <c r="V35" s="239"/>
      <c r="W35" s="239"/>
      <c r="X35" s="239"/>
      <c r="Y35" s="239"/>
      <c r="Z35" s="230"/>
      <c r="AA35" s="231"/>
      <c r="AB35" s="1545"/>
      <c r="AC35" s="3186"/>
      <c r="AD35" s="1693"/>
      <c r="AE35" s="1545"/>
      <c r="AF35" s="2184"/>
      <c r="AG35" s="2189"/>
      <c r="AH35" s="1673"/>
      <c r="AI35" s="1136"/>
      <c r="AJ35" s="3594"/>
    </row>
    <row r="36" spans="1:37" ht="16.5" customHeight="1">
      <c r="A36" s="227" t="s">
        <v>156</v>
      </c>
      <c r="B36" s="218"/>
      <c r="C36" s="230"/>
      <c r="D36" s="230"/>
      <c r="E36" s="239" t="s">
        <v>14</v>
      </c>
      <c r="F36" s="239"/>
      <c r="G36" s="239"/>
      <c r="H36" s="239"/>
      <c r="I36" s="239"/>
      <c r="J36" s="239"/>
      <c r="K36" s="239"/>
      <c r="L36" s="239"/>
      <c r="M36" s="239"/>
      <c r="N36" s="239"/>
      <c r="O36" s="239"/>
      <c r="P36" s="239"/>
      <c r="Q36" s="239"/>
      <c r="R36" s="239"/>
      <c r="S36" s="239"/>
      <c r="T36" s="239"/>
      <c r="U36" s="239"/>
      <c r="V36" s="239"/>
      <c r="W36" s="239"/>
      <c r="X36" s="239"/>
      <c r="Y36" s="239"/>
      <c r="Z36" s="230"/>
      <c r="AA36" s="231"/>
      <c r="AB36" s="1545"/>
      <c r="AC36" s="3186"/>
      <c r="AD36" s="1693"/>
      <c r="AE36" s="1545"/>
      <c r="AF36" s="2190"/>
      <c r="AG36" s="2191"/>
      <c r="AH36" s="1673"/>
      <c r="AI36" s="1136"/>
      <c r="AJ36" s="3594"/>
    </row>
    <row r="37" spans="1:37" ht="16.5" customHeight="1">
      <c r="A37" s="227" t="s">
        <v>44</v>
      </c>
      <c r="B37" s="218"/>
      <c r="C37" s="240">
        <f>ROUND(C23-C33,1)</f>
        <v>-0.1</v>
      </c>
      <c r="D37" s="232"/>
      <c r="E37" s="240">
        <f>ROUND(E23-E33,1)</f>
        <v>-63.9</v>
      </c>
      <c r="F37" s="240"/>
      <c r="G37" s="240">
        <f>ROUND(G23-G33,1)</f>
        <v>16.600000000000001</v>
      </c>
      <c r="H37" s="240"/>
      <c r="I37" s="240">
        <f>ROUND(I23-I33,1)</f>
        <v>-0.5</v>
      </c>
      <c r="J37" s="240"/>
      <c r="K37" s="240">
        <f>ROUND(K23-K33,1)</f>
        <v>-56.4</v>
      </c>
      <c r="L37" s="240"/>
      <c r="M37" s="240">
        <f>ROUND(M23-M33,1)</f>
        <v>38.4</v>
      </c>
      <c r="N37" s="240"/>
      <c r="O37" s="240">
        <f>ROUND(O23-O33,1)</f>
        <v>0</v>
      </c>
      <c r="P37" s="240"/>
      <c r="Q37" s="240">
        <f>ROUND(Q23-Q33,1)</f>
        <v>0</v>
      </c>
      <c r="R37" s="240"/>
      <c r="S37" s="240">
        <f>ROUND(S23-S33,1)</f>
        <v>0</v>
      </c>
      <c r="T37" s="240"/>
      <c r="U37" s="240">
        <f>ROUND(U23-U33,1)</f>
        <v>0</v>
      </c>
      <c r="V37" s="240"/>
      <c r="W37" s="240">
        <f>ROUND(W23-W33,1)</f>
        <v>0</v>
      </c>
      <c r="X37" s="240"/>
      <c r="Y37" s="240">
        <f>ROUND(Y23-Y33,1)</f>
        <v>0</v>
      </c>
      <c r="Z37" s="232"/>
      <c r="AA37" s="233"/>
      <c r="AB37" s="3184">
        <f>ROUND(AB23-AB33,1)</f>
        <v>-65.900000000000006</v>
      </c>
      <c r="AC37" s="3185"/>
      <c r="AD37" s="3208"/>
      <c r="AE37" s="3184">
        <f>ROUND(AE23-AE33,1)</f>
        <v>9.4</v>
      </c>
      <c r="AF37" s="2192"/>
      <c r="AG37" s="1694"/>
      <c r="AH37" s="3209">
        <f>ROUND(SUM(AH23-AH33),1)</f>
        <v>-75.3</v>
      </c>
      <c r="AI37" s="1133"/>
      <c r="AJ37" s="2103">
        <f>ROUND(IF(AE37=0,1,AH37/ABS(AE37)),3)</f>
        <v>-8.0109999999999992</v>
      </c>
    </row>
    <row r="38" spans="1:37" ht="16.5" customHeight="1">
      <c r="A38" s="218"/>
      <c r="B38" s="218"/>
      <c r="C38" s="359"/>
      <c r="D38" s="230"/>
      <c r="E38" s="360"/>
      <c r="F38" s="239"/>
      <c r="G38" s="360"/>
      <c r="H38" s="239"/>
      <c r="I38" s="360"/>
      <c r="J38" s="239"/>
      <c r="K38" s="360"/>
      <c r="L38" s="239"/>
      <c r="M38" s="360"/>
      <c r="N38" s="239"/>
      <c r="O38" s="360"/>
      <c r="P38" s="239"/>
      <c r="Q38" s="360"/>
      <c r="R38" s="239"/>
      <c r="S38" s="360"/>
      <c r="T38" s="239"/>
      <c r="U38" s="360"/>
      <c r="V38" s="239"/>
      <c r="W38" s="360"/>
      <c r="X38" s="239"/>
      <c r="Y38" s="360"/>
      <c r="Z38" s="230"/>
      <c r="AA38" s="231"/>
      <c r="AB38" s="3183"/>
      <c r="AC38" s="3186"/>
      <c r="AD38" s="1693"/>
      <c r="AE38" s="3183"/>
      <c r="AF38" s="114"/>
      <c r="AG38" s="1694"/>
      <c r="AH38" s="1673"/>
      <c r="AJ38" s="3593"/>
    </row>
    <row r="39" spans="1:37" ht="16.5" customHeight="1">
      <c r="A39" s="218"/>
      <c r="B39" s="218"/>
      <c r="C39" s="230"/>
      <c r="D39" s="230"/>
      <c r="E39" s="239"/>
      <c r="F39" s="239"/>
      <c r="G39" s="239"/>
      <c r="H39" s="239"/>
      <c r="I39" s="239"/>
      <c r="J39" s="239"/>
      <c r="K39" s="239"/>
      <c r="L39" s="239"/>
      <c r="M39" s="239"/>
      <c r="N39" s="239"/>
      <c r="O39" s="239"/>
      <c r="P39" s="239"/>
      <c r="Q39" s="239"/>
      <c r="R39" s="239"/>
      <c r="S39" s="239"/>
      <c r="T39" s="239"/>
      <c r="U39" s="239"/>
      <c r="V39" s="239"/>
      <c r="W39" s="239"/>
      <c r="X39" s="239"/>
      <c r="Y39" s="239"/>
      <c r="Z39" s="230"/>
      <c r="AA39" s="231"/>
      <c r="AB39" s="1545"/>
      <c r="AC39" s="1545"/>
      <c r="AD39" s="1693"/>
      <c r="AE39" s="1545"/>
      <c r="AG39" s="1662"/>
      <c r="AH39" s="1673"/>
      <c r="AJ39" s="3594"/>
    </row>
    <row r="40" spans="1:37" s="1697" customFormat="1" ht="16.5" customHeight="1">
      <c r="A40" s="1690" t="s">
        <v>45</v>
      </c>
      <c r="B40" s="1691"/>
      <c r="C40" s="230"/>
      <c r="D40" s="230"/>
      <c r="E40" s="239"/>
      <c r="F40" s="239"/>
      <c r="G40" s="239"/>
      <c r="H40" s="239"/>
      <c r="I40" s="239"/>
      <c r="J40" s="1688"/>
      <c r="K40" s="1692"/>
      <c r="L40" s="1688"/>
      <c r="M40" s="1692"/>
      <c r="N40" s="1688"/>
      <c r="O40" s="1688"/>
      <c r="P40" s="1688"/>
      <c r="Q40" s="1688"/>
      <c r="R40" s="1688"/>
      <c r="S40" s="1688"/>
      <c r="T40" s="1688"/>
      <c r="U40" s="1688"/>
      <c r="V40" s="1688"/>
      <c r="W40" s="1688"/>
      <c r="X40" s="1688"/>
      <c r="Y40" s="1688"/>
      <c r="Z40" s="1545"/>
      <c r="AA40" s="1693"/>
      <c r="AB40" s="1545"/>
      <c r="AC40" s="1545"/>
      <c r="AD40" s="1693"/>
      <c r="AE40" s="1545"/>
      <c r="AF40" s="137"/>
      <c r="AG40" s="1694"/>
      <c r="AH40" s="1695"/>
      <c r="AI40" s="1696"/>
      <c r="AJ40" s="3595"/>
    </row>
    <row r="41" spans="1:37" s="1697" customFormat="1" ht="16.5" customHeight="1">
      <c r="A41" s="1691" t="s">
        <v>180</v>
      </c>
      <c r="B41" s="1691"/>
      <c r="C41" s="230">
        <v>3</v>
      </c>
      <c r="D41" s="1545"/>
      <c r="E41" s="230">
        <v>0</v>
      </c>
      <c r="F41" s="1688"/>
      <c r="G41" s="230">
        <v>0</v>
      </c>
      <c r="H41" s="3566"/>
      <c r="I41" s="230">
        <v>4</v>
      </c>
      <c r="J41" s="1688"/>
      <c r="K41" s="230">
        <v>0</v>
      </c>
      <c r="L41" s="1688"/>
      <c r="M41" s="230">
        <f t="shared" ref="M41:M42" si="2">$AB41-$C41-$E41-$G41-$I41-$K41</f>
        <v>0</v>
      </c>
      <c r="N41" s="1688"/>
      <c r="O41" s="230"/>
      <c r="P41" s="1688"/>
      <c r="Q41" s="2094"/>
      <c r="R41" s="1688"/>
      <c r="S41" s="2094"/>
      <c r="T41" s="1688"/>
      <c r="U41" s="2094"/>
      <c r="V41" s="1688"/>
      <c r="W41" s="2094"/>
      <c r="X41" s="1688"/>
      <c r="Y41" s="1687"/>
      <c r="Z41" s="1545"/>
      <c r="AA41" s="1693"/>
      <c r="AB41" s="2094">
        <v>7</v>
      </c>
      <c r="AC41" s="1545"/>
      <c r="AD41" s="1693"/>
      <c r="AE41" s="2094">
        <v>3</v>
      </c>
      <c r="AF41" s="137"/>
      <c r="AG41" s="1694"/>
      <c r="AH41" s="1673">
        <f>ROUND(SUM(AB41-AE41),1)</f>
        <v>4</v>
      </c>
      <c r="AI41" s="1646"/>
      <c r="AJ41" s="3638">
        <f>ROUND(IF(AE41=0,1,AH41/ABS(AE41)),3)</f>
        <v>1.333</v>
      </c>
    </row>
    <row r="42" spans="1:37" ht="16.5" customHeight="1">
      <c r="A42" s="218" t="s">
        <v>181</v>
      </c>
      <c r="B42" s="218"/>
      <c r="C42" s="230">
        <v>0</v>
      </c>
      <c r="D42" s="230"/>
      <c r="E42" s="230">
        <v>0</v>
      </c>
      <c r="F42" s="239"/>
      <c r="G42" s="230">
        <v>0</v>
      </c>
      <c r="H42" s="1829"/>
      <c r="I42" s="230">
        <v>0</v>
      </c>
      <c r="J42" s="239"/>
      <c r="K42" s="230">
        <v>0</v>
      </c>
      <c r="L42" s="239"/>
      <c r="M42" s="230">
        <f t="shared" si="2"/>
        <v>0</v>
      </c>
      <c r="N42" s="239"/>
      <c r="O42" s="230"/>
      <c r="P42" s="239"/>
      <c r="Q42" s="1687"/>
      <c r="R42" s="239"/>
      <c r="S42" s="1687"/>
      <c r="T42" s="239"/>
      <c r="U42" s="1687"/>
      <c r="V42" s="239"/>
      <c r="W42" s="1687"/>
      <c r="X42" s="239"/>
      <c r="Y42" s="1687"/>
      <c r="Z42" s="230"/>
      <c r="AA42" s="231"/>
      <c r="AB42" s="2094">
        <v>0</v>
      </c>
      <c r="AC42" s="1545"/>
      <c r="AD42" s="1693"/>
      <c r="AE42" s="2094">
        <v>0</v>
      </c>
      <c r="AF42" s="137"/>
      <c r="AG42" s="1694"/>
      <c r="AH42" s="3210">
        <f>-ROUND(SUM(AB42-AE42),1)</f>
        <v>0</v>
      </c>
      <c r="AJ42" s="3639">
        <f>ROUND(IF(AH42=0,0,AH42/ABS(AE42)),3)</f>
        <v>0</v>
      </c>
    </row>
    <row r="43" spans="1:37" ht="16.5" customHeight="1">
      <c r="A43" s="218"/>
      <c r="B43" s="218"/>
      <c r="C43" s="359"/>
      <c r="D43" s="230"/>
      <c r="E43" s="359"/>
      <c r="F43" s="239"/>
      <c r="G43" s="359"/>
      <c r="H43" s="239"/>
      <c r="I43" s="359"/>
      <c r="J43" s="239"/>
      <c r="K43" s="359"/>
      <c r="L43" s="239"/>
      <c r="M43" s="359"/>
      <c r="N43" s="239"/>
      <c r="O43" s="359"/>
      <c r="P43" s="239"/>
      <c r="Q43" s="359"/>
      <c r="R43" s="239"/>
      <c r="S43" s="359"/>
      <c r="T43" s="239"/>
      <c r="U43" s="360"/>
      <c r="V43" s="239"/>
      <c r="W43" s="360"/>
      <c r="X43" s="239"/>
      <c r="Y43" s="360"/>
      <c r="Z43" s="230"/>
      <c r="AA43" s="231"/>
      <c r="AB43" s="3183"/>
      <c r="AC43" s="1545"/>
      <c r="AD43" s="1693"/>
      <c r="AE43" s="3183"/>
      <c r="AF43" s="137"/>
      <c r="AG43" s="1694"/>
      <c r="AH43" s="3205"/>
      <c r="AJ43" s="3596"/>
    </row>
    <row r="44" spans="1:37" ht="16.5" customHeight="1">
      <c r="A44" s="227" t="s">
        <v>206</v>
      </c>
      <c r="B44" s="218"/>
      <c r="C44" s="362">
        <f>ROUND(SUM(C41:C43),1)</f>
        <v>3</v>
      </c>
      <c r="D44" s="232"/>
      <c r="E44" s="362">
        <f>ROUND(SUM(E41:E43),1)</f>
        <v>0</v>
      </c>
      <c r="F44" s="240"/>
      <c r="G44" s="362">
        <f>ROUND(SUM(G41:G43),1)</f>
        <v>0</v>
      </c>
      <c r="H44" s="240"/>
      <c r="I44" s="362">
        <f>ROUND(SUM(I41:I43),1)</f>
        <v>4</v>
      </c>
      <c r="J44" s="240"/>
      <c r="K44" s="362">
        <f>ROUND(SUM(K41:K43),1)</f>
        <v>0</v>
      </c>
      <c r="L44" s="240"/>
      <c r="M44" s="362">
        <f>ROUND(SUM(M41:M43),1)</f>
        <v>0</v>
      </c>
      <c r="N44" s="240"/>
      <c r="O44" s="362">
        <f>ROUND(SUM(O41:O43),1)</f>
        <v>0</v>
      </c>
      <c r="P44" s="240"/>
      <c r="Q44" s="362">
        <f>ROUND(SUM(Q41:Q43),1)</f>
        <v>0</v>
      </c>
      <c r="R44" s="240"/>
      <c r="S44" s="362">
        <f>ROUND(SUM(S41:S43),1)</f>
        <v>0</v>
      </c>
      <c r="T44" s="240"/>
      <c r="U44" s="362">
        <f>ROUND(SUM(U41:U43),1)</f>
        <v>0</v>
      </c>
      <c r="V44" s="240"/>
      <c r="W44" s="362">
        <f>ROUND(SUM(W41:W43),1)</f>
        <v>0</v>
      </c>
      <c r="X44" s="240"/>
      <c r="Y44" s="362">
        <f>ROUND(SUM(Y41:Y43),1)</f>
        <v>0</v>
      </c>
      <c r="Z44" s="232"/>
      <c r="AA44" s="233"/>
      <c r="AB44" s="3187">
        <f>ROUND(SUM(AB41+AB42),1)</f>
        <v>7</v>
      </c>
      <c r="AC44" s="3185"/>
      <c r="AD44" s="3208"/>
      <c r="AE44" s="3187">
        <f>ROUND(SUM(AE41+AE42),1)</f>
        <v>3</v>
      </c>
      <c r="AF44" s="104"/>
      <c r="AG44" s="1662"/>
      <c r="AH44" s="3209">
        <f>ROUND(SUM(AH41:AH42),1)</f>
        <v>4</v>
      </c>
      <c r="AI44" s="1140"/>
      <c r="AJ44" s="3640">
        <f>ROUND(IF(AE44=0,1,AH44/ABS(AE44)),3)</f>
        <v>1.333</v>
      </c>
    </row>
    <row r="45" spans="1:37" ht="16.5" customHeight="1">
      <c r="A45" s="218"/>
      <c r="B45" s="218"/>
      <c r="C45" s="359"/>
      <c r="D45" s="230"/>
      <c r="E45" s="360"/>
      <c r="F45" s="239"/>
      <c r="G45" s="360"/>
      <c r="H45" s="239"/>
      <c r="I45" s="360"/>
      <c r="J45" s="239"/>
      <c r="K45" s="360"/>
      <c r="L45" s="239"/>
      <c r="M45" s="360"/>
      <c r="N45" s="239"/>
      <c r="O45" s="360"/>
      <c r="P45" s="239"/>
      <c r="Q45" s="360"/>
      <c r="R45" s="239"/>
      <c r="S45" s="360"/>
      <c r="T45" s="239"/>
      <c r="U45" s="360"/>
      <c r="V45" s="239"/>
      <c r="W45" s="360"/>
      <c r="X45" s="239"/>
      <c r="Y45" s="360"/>
      <c r="Z45" s="230"/>
      <c r="AA45" s="231"/>
      <c r="AB45" s="3183"/>
      <c r="AC45" s="1545"/>
      <c r="AD45" s="1693"/>
      <c r="AE45" s="3183"/>
      <c r="AG45" s="1662"/>
      <c r="AH45" s="3205"/>
      <c r="AJ45" s="3597"/>
    </row>
    <row r="46" spans="1:37" ht="16.5" customHeight="1">
      <c r="A46" s="218"/>
      <c r="B46" s="218"/>
      <c r="C46" s="230"/>
      <c r="D46" s="230"/>
      <c r="E46" s="239"/>
      <c r="F46" s="239"/>
      <c r="G46" s="239"/>
      <c r="H46" s="239"/>
      <c r="I46" s="239"/>
      <c r="J46" s="239"/>
      <c r="K46" s="239"/>
      <c r="L46" s="239"/>
      <c r="M46" s="239"/>
      <c r="N46" s="239"/>
      <c r="O46" s="239"/>
      <c r="P46" s="239"/>
      <c r="Q46" s="239"/>
      <c r="R46" s="239"/>
      <c r="S46" s="239"/>
      <c r="T46" s="239"/>
      <c r="U46" s="239"/>
      <c r="V46" s="239"/>
      <c r="W46" s="239"/>
      <c r="X46" s="239"/>
      <c r="Y46" s="239"/>
      <c r="Z46" s="230"/>
      <c r="AA46" s="231"/>
      <c r="AB46" s="1545"/>
      <c r="AC46" s="1545"/>
      <c r="AD46" s="1693"/>
      <c r="AE46" s="1545"/>
      <c r="AG46" s="1662"/>
      <c r="AJ46" s="3597"/>
    </row>
    <row r="47" spans="1:37" ht="16.5" customHeight="1">
      <c r="A47" s="227" t="s">
        <v>164</v>
      </c>
      <c r="B47" s="218"/>
      <c r="C47" s="230"/>
      <c r="D47" s="230"/>
      <c r="E47" s="239"/>
      <c r="F47" s="239"/>
      <c r="G47" s="239"/>
      <c r="H47" s="239"/>
      <c r="I47" s="239"/>
      <c r="J47" s="239"/>
      <c r="K47" s="239"/>
      <c r="L47" s="239"/>
      <c r="M47" s="239"/>
      <c r="N47" s="239"/>
      <c r="O47" s="239"/>
      <c r="P47" s="239"/>
      <c r="Q47" s="239"/>
      <c r="R47" s="239"/>
      <c r="S47" s="239"/>
      <c r="T47" s="239"/>
      <c r="U47" s="239"/>
      <c r="V47" s="239"/>
      <c r="W47" s="239"/>
      <c r="X47" s="239"/>
      <c r="Y47" s="239"/>
      <c r="Z47" s="230"/>
      <c r="AA47" s="231"/>
      <c r="AB47" s="1545"/>
      <c r="AC47" s="1545"/>
      <c r="AD47" s="1693"/>
      <c r="AE47" s="1545"/>
      <c r="AG47" s="1662"/>
      <c r="AJ47" s="3597"/>
    </row>
    <row r="48" spans="1:37" ht="16.5" customHeight="1">
      <c r="A48" s="227" t="s">
        <v>225</v>
      </c>
      <c r="B48" s="218"/>
      <c r="C48" s="230"/>
      <c r="D48" s="230"/>
      <c r="E48" s="239"/>
      <c r="F48" s="239"/>
      <c r="G48" s="239"/>
      <c r="H48" s="239"/>
      <c r="I48" s="239"/>
      <c r="J48" s="239"/>
      <c r="K48" s="363"/>
      <c r="L48" s="239"/>
      <c r="M48" s="239"/>
      <c r="N48" s="239"/>
      <c r="O48" s="239"/>
      <c r="P48" s="239"/>
      <c r="Q48" s="239"/>
      <c r="R48" s="239"/>
      <c r="S48" s="239"/>
      <c r="T48" s="239"/>
      <c r="U48" s="239"/>
      <c r="V48" s="239"/>
      <c r="W48" s="239"/>
      <c r="X48" s="239"/>
      <c r="Y48" s="239"/>
      <c r="Z48" s="230"/>
      <c r="AA48" s="231"/>
      <c r="AB48" s="1545"/>
      <c r="AC48" s="1545"/>
      <c r="AD48" s="1693"/>
      <c r="AE48" s="1545"/>
      <c r="AG48" s="1662"/>
      <c r="AJ48" s="3597"/>
    </row>
    <row r="49" spans="1:39" ht="16.5" customHeight="1">
      <c r="A49" s="227" t="s">
        <v>166</v>
      </c>
      <c r="B49" s="218"/>
      <c r="C49" s="240">
        <f>ROUND(C37+C44,1)</f>
        <v>2.9</v>
      </c>
      <c r="D49" s="232"/>
      <c r="E49" s="240">
        <f>ROUND(E37+E44,1)</f>
        <v>-63.9</v>
      </c>
      <c r="F49" s="240"/>
      <c r="G49" s="240">
        <f>ROUND(G37+G44,1)</f>
        <v>16.600000000000001</v>
      </c>
      <c r="H49" s="240"/>
      <c r="I49" s="240">
        <f>ROUND(I37+I44,1)</f>
        <v>3.5</v>
      </c>
      <c r="J49" s="240"/>
      <c r="K49" s="888">
        <f>ROUND(K37+K44,1)</f>
        <v>-56.4</v>
      </c>
      <c r="L49" s="240"/>
      <c r="M49" s="240">
        <f>ROUND(M37+M44,1)</f>
        <v>38.4</v>
      </c>
      <c r="N49" s="240"/>
      <c r="O49" s="240">
        <f>ROUND(O37+O44,1)</f>
        <v>0</v>
      </c>
      <c r="P49" s="240"/>
      <c r="Q49" s="240">
        <f>ROUND(Q37+Q44,1)</f>
        <v>0</v>
      </c>
      <c r="R49" s="240"/>
      <c r="S49" s="240">
        <f>ROUND(S37+S44,1)</f>
        <v>0</v>
      </c>
      <c r="T49" s="240"/>
      <c r="U49" s="240">
        <f>ROUND(U37+U44,1)</f>
        <v>0</v>
      </c>
      <c r="V49" s="240"/>
      <c r="W49" s="240">
        <f>ROUND(W37+W44,1)</f>
        <v>0</v>
      </c>
      <c r="X49" s="240"/>
      <c r="Y49" s="240">
        <f>ROUND(Y37+Y44,1)</f>
        <v>0</v>
      </c>
      <c r="Z49" s="232"/>
      <c r="AA49" s="233"/>
      <c r="AB49" s="3184">
        <f>ROUND(AB37+AB44,1)</f>
        <v>-58.9</v>
      </c>
      <c r="AC49" s="3185"/>
      <c r="AD49" s="3208"/>
      <c r="AE49" s="3184">
        <f>ROUND(AE37+AE44,1)</f>
        <v>12.4</v>
      </c>
      <c r="AG49" s="1662"/>
      <c r="AH49" s="3209">
        <f>ROUND(SUM(AH37+AH44),1)</f>
        <v>-71.3</v>
      </c>
      <c r="AI49" s="1113"/>
      <c r="AJ49" s="2103">
        <f>ROUND(IF(AE49=0,1,AH49/ABS(AE49)),3)</f>
        <v>-5.75</v>
      </c>
      <c r="AK49" s="357"/>
      <c r="AL49" s="357"/>
      <c r="AM49" s="357"/>
    </row>
    <row r="50" spans="1:39" ht="16.5" customHeight="1">
      <c r="A50" s="218"/>
      <c r="B50" s="218"/>
      <c r="C50" s="364"/>
      <c r="D50" s="227"/>
      <c r="E50" s="365"/>
      <c r="F50" s="366"/>
      <c r="G50" s="365"/>
      <c r="H50" s="366"/>
      <c r="I50" s="365"/>
      <c r="J50" s="366"/>
      <c r="K50" s="367"/>
      <c r="L50" s="366"/>
      <c r="M50" s="365"/>
      <c r="N50" s="366"/>
      <c r="O50" s="365"/>
      <c r="P50" s="366"/>
      <c r="Q50" s="365"/>
      <c r="R50" s="366"/>
      <c r="S50" s="365"/>
      <c r="T50" s="366"/>
      <c r="U50" s="365"/>
      <c r="V50" s="366"/>
      <c r="W50" s="365"/>
      <c r="X50" s="366"/>
      <c r="Y50" s="365"/>
      <c r="Z50" s="227"/>
      <c r="AA50" s="368"/>
      <c r="AB50" s="3188"/>
      <c r="AC50" s="1690"/>
      <c r="AD50" s="3211"/>
      <c r="AE50" s="3188"/>
      <c r="AG50" s="1662"/>
      <c r="AJ50" s="3593"/>
      <c r="AK50" s="357"/>
      <c r="AL50" s="357"/>
      <c r="AM50" s="357"/>
    </row>
    <row r="51" spans="1:39" ht="16.5" customHeight="1" thickBot="1">
      <c r="A51" s="227" t="s">
        <v>140</v>
      </c>
      <c r="B51" s="218"/>
      <c r="C51" s="225">
        <f>ROUND(C16+C49,1)</f>
        <v>330.9</v>
      </c>
      <c r="D51" s="225"/>
      <c r="E51" s="225">
        <f>ROUND(E16+E49,1)</f>
        <v>267</v>
      </c>
      <c r="F51" s="356"/>
      <c r="G51" s="225">
        <f>ROUND(G16+G49,1)</f>
        <v>283.60000000000002</v>
      </c>
      <c r="H51" s="356"/>
      <c r="I51" s="890">
        <f>ROUND(I16+I49,1)</f>
        <v>287.10000000000002</v>
      </c>
      <c r="J51" s="369"/>
      <c r="K51" s="225">
        <f>ROUND(K16+K49,1)</f>
        <v>230.7</v>
      </c>
      <c r="L51" s="369"/>
      <c r="M51" s="225">
        <f>ROUND(M16+M49,1)</f>
        <v>269.10000000000002</v>
      </c>
      <c r="N51" s="356"/>
      <c r="O51" s="225">
        <f>ROUND(O16+O49,1)</f>
        <v>0</v>
      </c>
      <c r="P51" s="356"/>
      <c r="Q51" s="225">
        <f>ROUND(Q16+Q49,1)</f>
        <v>0</v>
      </c>
      <c r="R51" s="356"/>
      <c r="S51" s="225">
        <f>ROUND(S16+S49,1)</f>
        <v>0</v>
      </c>
      <c r="T51" s="356"/>
      <c r="U51" s="225">
        <f>ROUND(U16+U49,1)</f>
        <v>0</v>
      </c>
      <c r="V51" s="356"/>
      <c r="W51" s="225">
        <f>ROUND(W16+W49,1)</f>
        <v>0</v>
      </c>
      <c r="X51" s="356"/>
      <c r="Y51" s="225">
        <f>ROUND(Y16+Y49,1)</f>
        <v>0</v>
      </c>
      <c r="Z51" s="225"/>
      <c r="AA51" s="226"/>
      <c r="AB51" s="3182">
        <f>ROUND(AB16+AB49,1)</f>
        <v>269.10000000000002</v>
      </c>
      <c r="AC51" s="3182"/>
      <c r="AD51" s="3203"/>
      <c r="AE51" s="3182">
        <f>ROUND(AE16+AE49,1)</f>
        <v>42.1</v>
      </c>
      <c r="AG51" s="1662"/>
      <c r="AH51" s="3212">
        <f>ROUND(SUM(AB51-AE51),1)</f>
        <v>227</v>
      </c>
      <c r="AI51" s="1139"/>
      <c r="AJ51" s="1141">
        <f>ROUND(IF(AH51=0,0,AH51/ABS(AE51)),3)</f>
        <v>5.3920000000000003</v>
      </c>
      <c r="AK51" s="357"/>
      <c r="AL51" s="357"/>
      <c r="AM51" s="357"/>
    </row>
    <row r="52" spans="1:39" ht="16.5" customHeight="1" thickTop="1">
      <c r="A52" s="220"/>
      <c r="B52" s="220"/>
      <c r="C52" s="370"/>
      <c r="D52" s="220"/>
      <c r="E52" s="370"/>
      <c r="F52" s="220"/>
      <c r="G52" s="370"/>
      <c r="H52" s="220"/>
      <c r="I52" s="236"/>
      <c r="J52" s="236"/>
      <c r="K52" s="370"/>
      <c r="L52" s="236"/>
      <c r="M52" s="370"/>
      <c r="N52" s="220"/>
      <c r="O52" s="370"/>
      <c r="P52" s="220"/>
      <c r="Q52" s="370"/>
      <c r="R52" s="220"/>
      <c r="S52" s="370"/>
      <c r="T52" s="220"/>
      <c r="U52" s="370"/>
      <c r="V52" s="220"/>
      <c r="W52" s="370"/>
      <c r="X52" s="220"/>
      <c r="Y52" s="370"/>
      <c r="Z52" s="220"/>
      <c r="AA52" s="220"/>
      <c r="AB52" s="3189"/>
      <c r="AC52" s="3190"/>
      <c r="AD52" s="3190"/>
      <c r="AE52" s="3189"/>
    </row>
    <row r="53" spans="1:39" ht="16.5" customHeight="1">
      <c r="A53" s="241"/>
    </row>
    <row r="54" spans="1:39" ht="16.5" customHeight="1">
      <c r="A54" s="241"/>
    </row>
    <row r="55" spans="1:39" ht="16.5" customHeight="1">
      <c r="A55" s="241"/>
    </row>
    <row r="56" spans="1:39" ht="16.5" customHeight="1">
      <c r="A56" s="241"/>
    </row>
    <row r="57" spans="1:39" ht="16.5" customHeight="1">
      <c r="A57" s="241"/>
    </row>
  </sheetData>
  <mergeCells count="1">
    <mergeCell ref="AB12:AJ12"/>
  </mergeCells>
  <pageMargins left="0.25" right="0.25" top="0.5" bottom="0.25" header="0" footer="0.25"/>
  <pageSetup scale="41"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pageSetUpPr fitToPage="1"/>
  </sheetPr>
  <dimension ref="A1:IQ50"/>
  <sheetViews>
    <sheetView showGridLines="0" zoomScale="80" zoomScaleNormal="60" workbookViewId="0"/>
  </sheetViews>
  <sheetFormatPr defaultColWidth="8.84375" defaultRowHeight="16.5" customHeight="1"/>
  <cols>
    <col min="1" max="1" width="48.4609375" style="205" customWidth="1"/>
    <col min="2" max="2" width="11" style="205" customWidth="1"/>
    <col min="3" max="3" width="1.84375" style="205" customWidth="1"/>
    <col min="4" max="4" width="11" style="205" customWidth="1"/>
    <col min="5" max="5" width="1.84375" style="205" customWidth="1"/>
    <col min="6" max="6" width="11.07421875" style="205" customWidth="1"/>
    <col min="7" max="7" width="1.84375" style="205" customWidth="1"/>
    <col min="8" max="8" width="11" style="205" customWidth="1"/>
    <col min="9" max="9" width="1.84375" style="205" customWidth="1"/>
    <col min="10" max="10" width="10.4609375" style="205" customWidth="1"/>
    <col min="11" max="11" width="1.84375" style="205" customWidth="1"/>
    <col min="12" max="12" width="13.07421875" style="205" customWidth="1"/>
    <col min="13" max="13" width="1.84375" style="205" customWidth="1"/>
    <col min="14" max="14" width="11.07421875" style="205" customWidth="1"/>
    <col min="15" max="15" width="1.84375" style="205" customWidth="1"/>
    <col min="16" max="16" width="12.07421875" style="205" customWidth="1"/>
    <col min="17" max="17" width="1.84375" style="205" customWidth="1"/>
    <col min="18" max="18" width="12" style="205" customWidth="1"/>
    <col min="19" max="19" width="1.84375" style="205" customWidth="1"/>
    <col min="20" max="20" width="11.07421875" style="205" customWidth="1"/>
    <col min="21" max="21" width="1.84375" style="205" customWidth="1"/>
    <col min="22" max="22" width="11.84375" style="205" customWidth="1"/>
    <col min="23" max="23" width="1.84375" style="205" customWidth="1"/>
    <col min="24" max="24" width="11.07421875" style="1077" customWidth="1"/>
    <col min="25" max="26" width="1.84375" style="1077" customWidth="1"/>
    <col min="27" max="27" width="11.53515625" style="1077" customWidth="1"/>
    <col min="28" max="29" width="1.84375" style="1077" customWidth="1"/>
    <col min="30" max="30" width="11.53515625" style="1077" customWidth="1"/>
    <col min="31" max="31" width="1.84375" style="2193" customWidth="1"/>
    <col min="32" max="32" width="2.4609375" style="3191" customWidth="1"/>
    <col min="33" max="33" width="10.07421875" style="1646" bestFit="1" customWidth="1"/>
    <col min="34" max="34" width="1.84375" style="1122" customWidth="1"/>
    <col min="35" max="35" width="11.07421875" style="1121" customWidth="1"/>
    <col min="36" max="16384" width="8.84375" style="205"/>
  </cols>
  <sheetData>
    <row r="1" spans="1:251" ht="16.5" customHeight="1">
      <c r="A1" s="635" t="s">
        <v>882</v>
      </c>
    </row>
    <row r="2" spans="1:251" ht="16.5" customHeight="1">
      <c r="A2" s="813"/>
    </row>
    <row r="3" spans="1:251" ht="20.25" customHeight="1">
      <c r="A3" s="3508" t="s">
        <v>0</v>
      </c>
      <c r="B3" s="316"/>
      <c r="C3" s="371"/>
      <c r="D3" s="371"/>
      <c r="E3" s="371"/>
      <c r="F3" s="371"/>
      <c r="G3" s="371"/>
      <c r="H3" s="371"/>
      <c r="I3" s="371"/>
      <c r="J3" s="371"/>
      <c r="K3" s="371"/>
      <c r="L3" s="371"/>
      <c r="M3" s="371"/>
      <c r="N3" s="371"/>
      <c r="O3" s="371"/>
      <c r="P3" s="371"/>
      <c r="Q3" s="371"/>
      <c r="R3" s="371"/>
      <c r="S3" s="371"/>
      <c r="T3" s="371"/>
      <c r="U3" s="371"/>
      <c r="V3" s="371"/>
      <c r="W3" s="371"/>
      <c r="X3" s="3213"/>
      <c r="Y3" s="3213"/>
      <c r="Z3" s="3213"/>
      <c r="AA3" s="3213"/>
      <c r="AB3" s="3213"/>
      <c r="AC3" s="3213"/>
      <c r="AD3" s="3213"/>
      <c r="AE3" s="104"/>
      <c r="AI3" s="266" t="s">
        <v>221</v>
      </c>
      <c r="AJ3" s="371"/>
      <c r="AK3" s="371"/>
      <c r="AL3" s="371"/>
      <c r="AM3" s="371"/>
      <c r="AN3" s="371"/>
      <c r="AO3" s="371"/>
      <c r="AP3" s="371"/>
      <c r="AQ3" s="371"/>
      <c r="AR3" s="371"/>
      <c r="AS3" s="371"/>
      <c r="AT3" s="371"/>
      <c r="AU3" s="371"/>
      <c r="AV3" s="371"/>
      <c r="AW3" s="371"/>
      <c r="AX3" s="371"/>
      <c r="AY3" s="371"/>
      <c r="AZ3" s="371"/>
      <c r="BA3" s="371"/>
      <c r="BB3" s="371"/>
      <c r="BC3" s="371"/>
      <c r="BD3" s="371"/>
      <c r="BE3" s="371"/>
      <c r="BF3" s="371"/>
      <c r="BG3" s="371"/>
      <c r="BH3" s="371"/>
      <c r="BI3" s="371"/>
      <c r="BJ3" s="371"/>
      <c r="BK3" s="371"/>
      <c r="BL3" s="371"/>
      <c r="BM3" s="371"/>
      <c r="BN3" s="371"/>
      <c r="BO3" s="371"/>
      <c r="BP3" s="371"/>
      <c r="BQ3" s="371"/>
      <c r="BR3" s="371"/>
      <c r="BS3" s="371"/>
      <c r="BT3" s="371"/>
      <c r="BU3" s="371"/>
      <c r="BV3" s="371"/>
      <c r="BW3" s="371"/>
      <c r="BX3" s="371"/>
      <c r="BY3" s="371"/>
      <c r="BZ3" s="371"/>
      <c r="CA3" s="371"/>
      <c r="CB3" s="371"/>
      <c r="CC3" s="371"/>
      <c r="CD3" s="371"/>
      <c r="CE3" s="371"/>
      <c r="CF3" s="371"/>
      <c r="CG3" s="371"/>
      <c r="CH3" s="371"/>
      <c r="CI3" s="371"/>
      <c r="CJ3" s="371"/>
      <c r="CK3" s="371"/>
      <c r="CL3" s="371"/>
      <c r="CM3" s="371"/>
      <c r="CN3" s="371"/>
      <c r="CO3" s="371"/>
      <c r="CP3" s="371"/>
      <c r="CQ3" s="371"/>
      <c r="CR3" s="371"/>
      <c r="CS3" s="371"/>
      <c r="CT3" s="371"/>
      <c r="CU3" s="371"/>
      <c r="CV3" s="371"/>
      <c r="CW3" s="371"/>
      <c r="CX3" s="371"/>
      <c r="CY3" s="371"/>
      <c r="CZ3" s="371"/>
      <c r="DA3" s="371"/>
      <c r="DB3" s="371"/>
      <c r="DC3" s="371"/>
      <c r="DD3" s="371"/>
      <c r="DE3" s="371"/>
      <c r="DF3" s="371"/>
      <c r="DG3" s="371"/>
      <c r="DH3" s="371"/>
      <c r="DI3" s="371"/>
      <c r="DJ3" s="371"/>
      <c r="DK3" s="371"/>
      <c r="DL3" s="371"/>
      <c r="DM3" s="371"/>
      <c r="DN3" s="371"/>
      <c r="DO3" s="371"/>
      <c r="DP3" s="371"/>
      <c r="DQ3" s="371"/>
      <c r="DR3" s="371"/>
      <c r="DS3" s="371"/>
      <c r="DT3" s="371"/>
      <c r="DU3" s="371"/>
      <c r="DV3" s="371"/>
      <c r="DW3" s="371"/>
      <c r="DX3" s="371"/>
      <c r="DY3" s="371"/>
      <c r="DZ3" s="371"/>
      <c r="EA3" s="371"/>
      <c r="EB3" s="371"/>
      <c r="EC3" s="371"/>
      <c r="ED3" s="371"/>
      <c r="EE3" s="371"/>
      <c r="EF3" s="371"/>
      <c r="EG3" s="371"/>
      <c r="EH3" s="371"/>
      <c r="EI3" s="371"/>
      <c r="EJ3" s="371"/>
      <c r="EK3" s="371"/>
      <c r="EL3" s="371"/>
      <c r="EM3" s="371"/>
      <c r="EN3" s="371"/>
      <c r="EO3" s="371"/>
      <c r="EP3" s="371"/>
      <c r="EQ3" s="371"/>
      <c r="ER3" s="371"/>
      <c r="ES3" s="371"/>
      <c r="ET3" s="371"/>
      <c r="EU3" s="371"/>
      <c r="EV3" s="371"/>
      <c r="EW3" s="371"/>
      <c r="EX3" s="371"/>
      <c r="EY3" s="371"/>
      <c r="EZ3" s="371"/>
      <c r="FA3" s="371"/>
      <c r="FB3" s="371"/>
      <c r="FC3" s="371"/>
      <c r="FD3" s="371"/>
      <c r="FE3" s="371"/>
      <c r="FF3" s="371"/>
      <c r="FG3" s="371"/>
      <c r="FH3" s="371"/>
      <c r="FI3" s="371"/>
      <c r="FJ3" s="371"/>
      <c r="FK3" s="371"/>
      <c r="FL3" s="371"/>
      <c r="FM3" s="371"/>
      <c r="FN3" s="371"/>
      <c r="FO3" s="371"/>
      <c r="FP3" s="371"/>
      <c r="FQ3" s="371"/>
      <c r="FR3" s="371"/>
      <c r="FS3" s="371"/>
      <c r="FT3" s="371"/>
      <c r="FU3" s="371"/>
      <c r="FV3" s="371"/>
      <c r="FW3" s="371"/>
      <c r="FX3" s="371"/>
      <c r="FY3" s="371"/>
      <c r="FZ3" s="371"/>
      <c r="GA3" s="371"/>
      <c r="GB3" s="371"/>
      <c r="GC3" s="371"/>
      <c r="GD3" s="371"/>
      <c r="GE3" s="371"/>
      <c r="GF3" s="371"/>
      <c r="GG3" s="371"/>
      <c r="GH3" s="371"/>
      <c r="GI3" s="371"/>
      <c r="GJ3" s="371"/>
      <c r="GK3" s="371"/>
      <c r="GL3" s="371"/>
      <c r="GM3" s="371"/>
      <c r="GN3" s="371"/>
      <c r="GO3" s="371"/>
      <c r="GP3" s="371"/>
      <c r="GQ3" s="371"/>
      <c r="GR3" s="371"/>
      <c r="GS3" s="371"/>
      <c r="GT3" s="371"/>
      <c r="GU3" s="371"/>
      <c r="GV3" s="371"/>
      <c r="GW3" s="371"/>
      <c r="GX3" s="371"/>
      <c r="GY3" s="371"/>
      <c r="GZ3" s="371"/>
      <c r="HA3" s="371"/>
      <c r="HB3" s="371"/>
      <c r="HC3" s="371"/>
      <c r="HD3" s="371"/>
      <c r="HE3" s="371"/>
      <c r="HF3" s="371"/>
      <c r="HG3" s="371"/>
      <c r="HH3" s="371"/>
      <c r="HI3" s="371"/>
      <c r="HJ3" s="371"/>
      <c r="HK3" s="371"/>
      <c r="HL3" s="371"/>
      <c r="HM3" s="371"/>
      <c r="HN3" s="371"/>
      <c r="HO3" s="371"/>
      <c r="HP3" s="371"/>
      <c r="HQ3" s="371"/>
      <c r="HR3" s="371"/>
      <c r="HS3" s="371"/>
      <c r="HT3" s="371"/>
      <c r="HU3" s="371"/>
      <c r="HV3" s="371"/>
      <c r="HW3" s="371"/>
      <c r="HX3" s="371"/>
      <c r="HY3" s="371"/>
      <c r="HZ3" s="371"/>
      <c r="IA3" s="371"/>
      <c r="IB3" s="371"/>
      <c r="IC3" s="371"/>
      <c r="ID3" s="371"/>
      <c r="IE3" s="371"/>
      <c r="IF3" s="371"/>
      <c r="IG3" s="371"/>
      <c r="IH3" s="371"/>
      <c r="II3" s="371"/>
      <c r="IJ3" s="371"/>
      <c r="IK3" s="371"/>
      <c r="IL3" s="371"/>
      <c r="IM3" s="371"/>
      <c r="IN3" s="371"/>
      <c r="IO3" s="371"/>
      <c r="IP3" s="371"/>
      <c r="IQ3" s="371"/>
    </row>
    <row r="4" spans="1:251" ht="22.5" customHeight="1">
      <c r="A4" s="3508" t="s">
        <v>219</v>
      </c>
      <c r="B4" s="316"/>
      <c r="C4" s="371"/>
      <c r="D4" s="371"/>
      <c r="E4" s="371"/>
      <c r="F4" s="371"/>
      <c r="G4" s="371"/>
      <c r="H4" s="316" t="s">
        <v>14</v>
      </c>
      <c r="I4" s="371"/>
      <c r="J4" s="371"/>
      <c r="K4" s="371"/>
      <c r="L4" s="371"/>
      <c r="M4" s="371"/>
      <c r="N4" s="371"/>
      <c r="O4" s="371"/>
      <c r="P4" s="371"/>
      <c r="Q4" s="371"/>
      <c r="R4" s="371"/>
      <c r="S4" s="371"/>
      <c r="T4" s="371"/>
      <c r="U4" s="371"/>
      <c r="V4" s="371"/>
      <c r="W4" s="371"/>
      <c r="X4" s="3213" t="s">
        <v>14</v>
      </c>
      <c r="Y4" s="3213"/>
      <c r="Z4" s="3213"/>
      <c r="AA4" s="3213"/>
      <c r="AB4" s="3213"/>
      <c r="AC4" s="3213"/>
      <c r="AD4" s="3213"/>
      <c r="AE4" s="104"/>
      <c r="AJ4" s="371"/>
      <c r="AK4" s="371"/>
      <c r="AL4" s="371"/>
      <c r="AM4" s="371"/>
      <c r="AN4" s="371"/>
      <c r="AO4" s="371"/>
      <c r="AP4" s="371"/>
      <c r="AQ4" s="371"/>
      <c r="AR4" s="371"/>
      <c r="AS4" s="371"/>
      <c r="AT4" s="371"/>
      <c r="AU4" s="371"/>
      <c r="AV4" s="371"/>
      <c r="AW4" s="371"/>
      <c r="AX4" s="371"/>
      <c r="AY4" s="371"/>
      <c r="AZ4" s="371"/>
      <c r="BA4" s="371"/>
      <c r="BB4" s="371"/>
      <c r="BC4" s="371"/>
      <c r="BD4" s="371"/>
      <c r="BE4" s="371"/>
      <c r="BF4" s="371"/>
      <c r="BG4" s="371"/>
      <c r="BH4" s="371"/>
      <c r="BI4" s="371"/>
      <c r="BJ4" s="371"/>
      <c r="BK4" s="371"/>
      <c r="BL4" s="371"/>
      <c r="BM4" s="371"/>
      <c r="BN4" s="371"/>
      <c r="BO4" s="371"/>
      <c r="BP4" s="371"/>
      <c r="BQ4" s="371"/>
      <c r="BR4" s="371"/>
      <c r="BS4" s="371"/>
      <c r="BT4" s="371"/>
      <c r="BU4" s="371"/>
      <c r="BV4" s="371"/>
      <c r="BW4" s="371"/>
      <c r="BX4" s="371"/>
      <c r="BY4" s="371"/>
      <c r="BZ4" s="371"/>
      <c r="CA4" s="371"/>
      <c r="CB4" s="371"/>
      <c r="CC4" s="371"/>
      <c r="CD4" s="371"/>
      <c r="CE4" s="371"/>
      <c r="CF4" s="371"/>
      <c r="CG4" s="371"/>
      <c r="CH4" s="371"/>
      <c r="CI4" s="371"/>
      <c r="CJ4" s="371"/>
      <c r="CK4" s="371"/>
      <c r="CL4" s="371"/>
      <c r="CM4" s="371"/>
      <c r="CN4" s="371"/>
      <c r="CO4" s="371"/>
      <c r="CP4" s="371"/>
      <c r="CQ4" s="371"/>
      <c r="CR4" s="371"/>
      <c r="CS4" s="371"/>
      <c r="CT4" s="371"/>
      <c r="CU4" s="371"/>
      <c r="CV4" s="371"/>
      <c r="CW4" s="371"/>
      <c r="CX4" s="371"/>
      <c r="CY4" s="371"/>
      <c r="CZ4" s="371"/>
      <c r="DA4" s="371"/>
      <c r="DB4" s="371"/>
      <c r="DC4" s="371"/>
      <c r="DD4" s="371"/>
      <c r="DE4" s="371"/>
      <c r="DF4" s="371"/>
      <c r="DG4" s="371"/>
      <c r="DH4" s="371"/>
      <c r="DI4" s="371"/>
      <c r="DJ4" s="371"/>
      <c r="DK4" s="371"/>
      <c r="DL4" s="371"/>
      <c r="DM4" s="371"/>
      <c r="DN4" s="371"/>
      <c r="DO4" s="371"/>
      <c r="DP4" s="371"/>
      <c r="DQ4" s="371"/>
      <c r="DR4" s="371"/>
      <c r="DS4" s="371"/>
      <c r="DT4" s="371"/>
      <c r="DU4" s="371"/>
      <c r="DV4" s="371"/>
      <c r="DW4" s="371"/>
      <c r="DX4" s="371"/>
      <c r="DY4" s="371"/>
      <c r="DZ4" s="371"/>
      <c r="EA4" s="371"/>
      <c r="EB4" s="371"/>
      <c r="EC4" s="371"/>
      <c r="ED4" s="371"/>
      <c r="EE4" s="371"/>
      <c r="EF4" s="371"/>
      <c r="EG4" s="371"/>
      <c r="EH4" s="371"/>
      <c r="EI4" s="371"/>
      <c r="EJ4" s="371"/>
      <c r="EK4" s="371"/>
      <c r="EL4" s="371"/>
      <c r="EM4" s="371"/>
      <c r="EN4" s="371"/>
      <c r="EO4" s="371"/>
      <c r="EP4" s="371"/>
      <c r="EQ4" s="371"/>
      <c r="ER4" s="371"/>
      <c r="ES4" s="371"/>
      <c r="ET4" s="371"/>
      <c r="EU4" s="371"/>
      <c r="EV4" s="371"/>
      <c r="EW4" s="371"/>
      <c r="EX4" s="371"/>
      <c r="EY4" s="371"/>
      <c r="EZ4" s="371"/>
      <c r="FA4" s="371"/>
      <c r="FB4" s="371"/>
      <c r="FC4" s="371"/>
      <c r="FD4" s="371"/>
      <c r="FE4" s="371"/>
      <c r="FF4" s="371"/>
      <c r="FG4" s="371"/>
      <c r="FH4" s="371"/>
      <c r="FI4" s="371"/>
      <c r="FJ4" s="371"/>
      <c r="FK4" s="371"/>
      <c r="FL4" s="371"/>
      <c r="FM4" s="371"/>
      <c r="FN4" s="371"/>
      <c r="FO4" s="371"/>
      <c r="FP4" s="371"/>
      <c r="FQ4" s="371"/>
      <c r="FR4" s="371"/>
      <c r="FS4" s="371"/>
      <c r="FT4" s="371"/>
      <c r="FU4" s="371"/>
      <c r="FV4" s="371"/>
      <c r="FW4" s="371"/>
      <c r="FX4" s="371"/>
      <c r="FY4" s="371"/>
      <c r="FZ4" s="371"/>
      <c r="GA4" s="371"/>
      <c r="GB4" s="371"/>
      <c r="GC4" s="371"/>
      <c r="GD4" s="371"/>
      <c r="GE4" s="371"/>
      <c r="GF4" s="371"/>
      <c r="GG4" s="371"/>
      <c r="GH4" s="371"/>
      <c r="GI4" s="371"/>
      <c r="GJ4" s="371"/>
      <c r="GK4" s="371"/>
      <c r="GL4" s="371"/>
      <c r="GM4" s="371"/>
      <c r="GN4" s="371"/>
      <c r="GO4" s="371"/>
      <c r="GP4" s="371"/>
      <c r="GQ4" s="371"/>
      <c r="GR4" s="371"/>
      <c r="GS4" s="371"/>
      <c r="GT4" s="371"/>
      <c r="GU4" s="371"/>
      <c r="GV4" s="371"/>
      <c r="GW4" s="371"/>
      <c r="GX4" s="371"/>
      <c r="GY4" s="371"/>
      <c r="GZ4" s="371"/>
      <c r="HA4" s="371"/>
      <c r="HB4" s="371"/>
      <c r="HC4" s="371"/>
      <c r="HD4" s="371"/>
      <c r="HE4" s="371"/>
      <c r="HF4" s="371"/>
      <c r="HG4" s="371"/>
      <c r="HH4" s="371"/>
      <c r="HI4" s="371"/>
      <c r="HJ4" s="371"/>
      <c r="HK4" s="371"/>
      <c r="HL4" s="371"/>
      <c r="HM4" s="371"/>
      <c r="HN4" s="371"/>
      <c r="HO4" s="371"/>
      <c r="HP4" s="371"/>
      <c r="HQ4" s="371"/>
      <c r="HR4" s="371"/>
      <c r="HS4" s="371"/>
      <c r="HT4" s="371"/>
      <c r="HU4" s="371"/>
      <c r="HV4" s="371"/>
      <c r="HW4" s="371"/>
      <c r="HX4" s="371"/>
      <c r="HY4" s="371"/>
      <c r="HZ4" s="371"/>
      <c r="IA4" s="371"/>
      <c r="IB4" s="371"/>
      <c r="IC4" s="371"/>
      <c r="ID4" s="371"/>
      <c r="IE4" s="371"/>
      <c r="IF4" s="371"/>
      <c r="IG4" s="371"/>
      <c r="IH4" s="371"/>
      <c r="II4" s="371"/>
      <c r="IJ4" s="371"/>
      <c r="IK4" s="371"/>
      <c r="IL4" s="371"/>
      <c r="IM4" s="371"/>
      <c r="IN4" s="371"/>
      <c r="IO4" s="371"/>
      <c r="IP4" s="371"/>
      <c r="IQ4" s="371"/>
    </row>
    <row r="5" spans="1:251" ht="20.25" customHeight="1">
      <c r="A5" s="3508" t="s">
        <v>220</v>
      </c>
      <c r="B5" s="316"/>
      <c r="C5" s="371"/>
      <c r="D5" s="371"/>
      <c r="E5" s="371"/>
      <c r="F5" s="371"/>
      <c r="G5" s="371"/>
      <c r="H5" s="371"/>
      <c r="I5" s="371"/>
      <c r="J5" s="371"/>
      <c r="K5" s="371"/>
      <c r="L5" s="371"/>
      <c r="M5" s="371"/>
      <c r="N5" s="371"/>
      <c r="O5" s="371"/>
      <c r="P5" s="371"/>
      <c r="Q5" s="371"/>
      <c r="R5" s="371"/>
      <c r="S5" s="371"/>
      <c r="T5" s="371"/>
      <c r="U5" s="371"/>
      <c r="V5" s="371"/>
      <c r="W5" s="371"/>
      <c r="X5" s="3213"/>
      <c r="Y5" s="3213"/>
      <c r="Z5" s="3213"/>
      <c r="AB5" s="3214"/>
      <c r="AC5" s="3214"/>
      <c r="AD5" s="3214"/>
      <c r="AE5" s="3192"/>
      <c r="AJ5" s="371"/>
      <c r="AK5" s="371"/>
      <c r="AL5" s="371"/>
      <c r="AM5" s="371"/>
      <c r="AN5" s="371"/>
      <c r="AO5" s="371"/>
      <c r="AP5" s="371"/>
      <c r="AQ5" s="371"/>
      <c r="AR5" s="371"/>
      <c r="AS5" s="371"/>
      <c r="AT5" s="371"/>
      <c r="AU5" s="371"/>
      <c r="AV5" s="371"/>
      <c r="AW5" s="371"/>
      <c r="AX5" s="371"/>
      <c r="AY5" s="371"/>
      <c r="AZ5" s="371"/>
      <c r="BA5" s="371"/>
      <c r="BB5" s="371"/>
      <c r="BC5" s="371"/>
      <c r="BD5" s="371"/>
      <c r="BE5" s="371"/>
      <c r="BF5" s="371"/>
      <c r="BG5" s="371"/>
      <c r="BH5" s="371"/>
      <c r="BI5" s="371"/>
      <c r="BJ5" s="371"/>
      <c r="BK5" s="371"/>
      <c r="BL5" s="371"/>
      <c r="BM5" s="371"/>
      <c r="BN5" s="371"/>
      <c r="BO5" s="371"/>
      <c r="BP5" s="371"/>
      <c r="BQ5" s="371"/>
      <c r="BR5" s="371"/>
      <c r="BS5" s="371"/>
      <c r="BT5" s="371"/>
      <c r="BU5" s="371"/>
      <c r="BV5" s="371"/>
      <c r="BW5" s="371"/>
      <c r="BX5" s="371"/>
      <c r="BY5" s="371"/>
      <c r="BZ5" s="371"/>
      <c r="CA5" s="371"/>
      <c r="CB5" s="371"/>
      <c r="CC5" s="371"/>
      <c r="CD5" s="371"/>
      <c r="CE5" s="371"/>
      <c r="CF5" s="371"/>
      <c r="CG5" s="371"/>
      <c r="CH5" s="371"/>
      <c r="CI5" s="371"/>
      <c r="CJ5" s="371"/>
      <c r="CK5" s="371"/>
      <c r="CL5" s="371"/>
      <c r="CM5" s="371"/>
      <c r="CN5" s="371"/>
      <c r="CO5" s="371"/>
      <c r="CP5" s="371"/>
      <c r="CQ5" s="371"/>
      <c r="CR5" s="371"/>
      <c r="CS5" s="371"/>
      <c r="CT5" s="371"/>
      <c r="CU5" s="371"/>
      <c r="CV5" s="371"/>
      <c r="CW5" s="371"/>
      <c r="CX5" s="371"/>
      <c r="CY5" s="371"/>
      <c r="CZ5" s="371"/>
      <c r="DA5" s="371"/>
      <c r="DB5" s="371"/>
      <c r="DC5" s="371"/>
      <c r="DD5" s="371"/>
      <c r="DE5" s="371"/>
      <c r="DF5" s="371"/>
      <c r="DG5" s="371"/>
      <c r="DH5" s="371"/>
      <c r="DI5" s="371"/>
      <c r="DJ5" s="371"/>
      <c r="DK5" s="371"/>
      <c r="DL5" s="371"/>
      <c r="DM5" s="371"/>
      <c r="DN5" s="371"/>
      <c r="DO5" s="371"/>
      <c r="DP5" s="371"/>
      <c r="DQ5" s="371"/>
      <c r="DR5" s="371"/>
      <c r="DS5" s="371"/>
      <c r="DT5" s="371"/>
      <c r="DU5" s="371"/>
      <c r="DV5" s="371"/>
      <c r="DW5" s="371"/>
      <c r="DX5" s="371"/>
      <c r="DY5" s="371"/>
      <c r="DZ5" s="371"/>
      <c r="EA5" s="371"/>
      <c r="EB5" s="371"/>
      <c r="EC5" s="371"/>
      <c r="ED5" s="371"/>
      <c r="EE5" s="371"/>
      <c r="EF5" s="371"/>
      <c r="EG5" s="371"/>
      <c r="EH5" s="371"/>
      <c r="EI5" s="371"/>
      <c r="EJ5" s="371"/>
      <c r="EK5" s="371"/>
      <c r="EL5" s="371"/>
      <c r="EM5" s="371"/>
      <c r="EN5" s="371"/>
      <c r="EO5" s="371"/>
      <c r="EP5" s="371"/>
      <c r="EQ5" s="371"/>
      <c r="ER5" s="371"/>
      <c r="ES5" s="371"/>
      <c r="ET5" s="371"/>
      <c r="EU5" s="371"/>
      <c r="EV5" s="371"/>
      <c r="EW5" s="371"/>
      <c r="EX5" s="371"/>
      <c r="EY5" s="371"/>
      <c r="EZ5" s="371"/>
      <c r="FA5" s="371"/>
      <c r="FB5" s="371"/>
      <c r="FC5" s="371"/>
      <c r="FD5" s="371"/>
      <c r="FE5" s="371"/>
      <c r="FF5" s="371"/>
      <c r="FG5" s="371"/>
      <c r="FH5" s="371"/>
      <c r="FI5" s="371"/>
      <c r="FJ5" s="371"/>
      <c r="FK5" s="371"/>
      <c r="FL5" s="371"/>
      <c r="FM5" s="371"/>
      <c r="FN5" s="371"/>
      <c r="FO5" s="371"/>
      <c r="FP5" s="371"/>
      <c r="FQ5" s="371"/>
      <c r="FR5" s="371"/>
      <c r="FS5" s="371"/>
      <c r="FT5" s="371"/>
      <c r="FU5" s="371"/>
      <c r="FV5" s="371"/>
      <c r="FW5" s="371"/>
      <c r="FX5" s="371"/>
      <c r="FY5" s="371"/>
      <c r="FZ5" s="371"/>
      <c r="GA5" s="371"/>
      <c r="GB5" s="371"/>
      <c r="GC5" s="371"/>
      <c r="GD5" s="371"/>
      <c r="GE5" s="371"/>
      <c r="GF5" s="371"/>
      <c r="GG5" s="371"/>
      <c r="GH5" s="371"/>
      <c r="GI5" s="371"/>
      <c r="GJ5" s="371"/>
      <c r="GK5" s="371"/>
      <c r="GL5" s="371"/>
      <c r="GM5" s="371"/>
      <c r="GN5" s="371"/>
      <c r="GO5" s="371"/>
      <c r="GP5" s="371"/>
      <c r="GQ5" s="371"/>
      <c r="GR5" s="371"/>
      <c r="GS5" s="371"/>
      <c r="GT5" s="371"/>
      <c r="GU5" s="371"/>
      <c r="GV5" s="371"/>
      <c r="GW5" s="371"/>
      <c r="GX5" s="371"/>
      <c r="GY5" s="371"/>
      <c r="GZ5" s="371"/>
      <c r="HA5" s="371"/>
      <c r="HB5" s="371"/>
      <c r="HC5" s="371"/>
      <c r="HD5" s="371"/>
      <c r="HE5" s="371"/>
      <c r="HF5" s="371"/>
      <c r="HG5" s="371"/>
      <c r="HH5" s="371"/>
      <c r="HI5" s="371"/>
      <c r="HJ5" s="371"/>
      <c r="HK5" s="371"/>
      <c r="HL5" s="371"/>
      <c r="HM5" s="371"/>
      <c r="HN5" s="371"/>
      <c r="HO5" s="371"/>
      <c r="HP5" s="371"/>
      <c r="HQ5" s="371"/>
      <c r="HR5" s="371"/>
      <c r="HS5" s="371"/>
      <c r="HT5" s="371"/>
      <c r="HU5" s="371"/>
      <c r="HV5" s="371"/>
      <c r="HW5" s="371"/>
      <c r="HX5" s="371"/>
      <c r="HY5" s="371"/>
      <c r="HZ5" s="371"/>
      <c r="IA5" s="371"/>
      <c r="IB5" s="371"/>
      <c r="IC5" s="371"/>
      <c r="ID5" s="371"/>
      <c r="IE5" s="371"/>
      <c r="IF5" s="371"/>
      <c r="IG5" s="371"/>
      <c r="IH5" s="371"/>
      <c r="II5" s="371"/>
      <c r="IJ5" s="371"/>
      <c r="IK5" s="371"/>
      <c r="IL5" s="371"/>
      <c r="IM5" s="371"/>
      <c r="IN5" s="371"/>
      <c r="IO5" s="371"/>
      <c r="IP5" s="371"/>
      <c r="IQ5" s="371"/>
    </row>
    <row r="6" spans="1:251" ht="20.25" customHeight="1">
      <c r="A6" s="3509" t="str">
        <f>'Cashflow Governmental'!A6</f>
        <v xml:space="preserve">FISCAL YEAR 2021-2022   </v>
      </c>
      <c r="B6" s="316"/>
      <c r="C6" s="371"/>
      <c r="D6" s="371"/>
      <c r="E6" s="371"/>
      <c r="F6" s="371"/>
      <c r="G6" s="371"/>
      <c r="H6" s="371"/>
      <c r="I6" s="371"/>
      <c r="J6" s="371"/>
      <c r="K6" s="371"/>
      <c r="L6" s="371"/>
      <c r="M6" s="371"/>
      <c r="N6" s="371"/>
      <c r="O6" s="371"/>
      <c r="P6" s="371"/>
      <c r="Q6" s="371"/>
      <c r="R6" s="371"/>
      <c r="S6" s="371"/>
      <c r="T6" s="371"/>
      <c r="U6" s="371"/>
      <c r="V6" s="371"/>
      <c r="W6" s="371"/>
      <c r="X6" s="3213"/>
      <c r="Y6" s="3213"/>
      <c r="Z6" s="3213"/>
      <c r="AA6" s="3213"/>
      <c r="AB6" s="3213"/>
      <c r="AC6" s="3213"/>
      <c r="AD6" s="3213"/>
      <c r="AE6" s="104"/>
      <c r="AJ6" s="371"/>
      <c r="AK6" s="371"/>
      <c r="AL6" s="371"/>
      <c r="AM6" s="371"/>
      <c r="AN6" s="371"/>
      <c r="AO6" s="371"/>
      <c r="AP6" s="371"/>
      <c r="AQ6" s="371"/>
      <c r="AR6" s="371"/>
      <c r="AS6" s="371"/>
      <c r="AT6" s="371"/>
      <c r="AU6" s="371"/>
      <c r="AV6" s="371"/>
      <c r="AW6" s="371"/>
      <c r="AX6" s="371"/>
      <c r="AY6" s="371"/>
      <c r="AZ6" s="371"/>
      <c r="BA6" s="371"/>
      <c r="BB6" s="371"/>
      <c r="BC6" s="371"/>
      <c r="BD6" s="371"/>
      <c r="BE6" s="371"/>
      <c r="BF6" s="371"/>
      <c r="BG6" s="371"/>
      <c r="BH6" s="371"/>
      <c r="BI6" s="371"/>
      <c r="BJ6" s="371"/>
      <c r="BK6" s="371"/>
      <c r="BL6" s="371"/>
      <c r="BM6" s="371"/>
      <c r="BN6" s="371"/>
      <c r="BO6" s="371"/>
      <c r="BP6" s="371"/>
      <c r="BQ6" s="371"/>
      <c r="BR6" s="371"/>
      <c r="BS6" s="371"/>
      <c r="BT6" s="371"/>
      <c r="BU6" s="371"/>
      <c r="BV6" s="371"/>
      <c r="BW6" s="371"/>
      <c r="BX6" s="371"/>
      <c r="BY6" s="371"/>
      <c r="BZ6" s="371"/>
      <c r="CA6" s="371"/>
      <c r="CB6" s="371"/>
      <c r="CC6" s="371"/>
      <c r="CD6" s="371"/>
      <c r="CE6" s="371"/>
      <c r="CF6" s="371"/>
      <c r="CG6" s="371"/>
      <c r="CH6" s="371"/>
      <c r="CI6" s="371"/>
      <c r="CJ6" s="371"/>
      <c r="CK6" s="371"/>
      <c r="CL6" s="371"/>
      <c r="CM6" s="371"/>
      <c r="CN6" s="371"/>
      <c r="CO6" s="371"/>
      <c r="CP6" s="371"/>
      <c r="CQ6" s="371"/>
      <c r="CR6" s="371"/>
      <c r="CS6" s="371"/>
      <c r="CT6" s="371"/>
      <c r="CU6" s="371"/>
      <c r="CV6" s="371"/>
      <c r="CW6" s="371"/>
      <c r="CX6" s="371"/>
      <c r="CY6" s="371"/>
      <c r="CZ6" s="371"/>
      <c r="DA6" s="371"/>
      <c r="DB6" s="371"/>
      <c r="DC6" s="371"/>
      <c r="DD6" s="371"/>
      <c r="DE6" s="371"/>
      <c r="DF6" s="371"/>
      <c r="DG6" s="371"/>
      <c r="DH6" s="371"/>
      <c r="DI6" s="371"/>
      <c r="DJ6" s="371"/>
      <c r="DK6" s="371"/>
      <c r="DL6" s="371"/>
      <c r="DM6" s="371"/>
      <c r="DN6" s="371"/>
      <c r="DO6" s="371"/>
      <c r="DP6" s="371"/>
      <c r="DQ6" s="371"/>
      <c r="DR6" s="371"/>
      <c r="DS6" s="371"/>
      <c r="DT6" s="371"/>
      <c r="DU6" s="371"/>
      <c r="DV6" s="371"/>
      <c r="DW6" s="371"/>
      <c r="DX6" s="371"/>
      <c r="DY6" s="371"/>
      <c r="DZ6" s="371"/>
      <c r="EA6" s="371"/>
      <c r="EB6" s="371"/>
      <c r="EC6" s="371"/>
      <c r="ED6" s="371"/>
      <c r="EE6" s="371"/>
      <c r="EF6" s="371"/>
      <c r="EG6" s="371"/>
      <c r="EH6" s="371"/>
      <c r="EI6" s="371"/>
      <c r="EJ6" s="371"/>
      <c r="EK6" s="371"/>
      <c r="EL6" s="371"/>
      <c r="EM6" s="371"/>
      <c r="EN6" s="371"/>
      <c r="EO6" s="371"/>
      <c r="EP6" s="371"/>
      <c r="EQ6" s="371"/>
      <c r="ER6" s="371"/>
      <c r="ES6" s="371"/>
      <c r="ET6" s="371"/>
      <c r="EU6" s="371"/>
      <c r="EV6" s="371"/>
      <c r="EW6" s="371"/>
      <c r="EX6" s="371"/>
      <c r="EY6" s="371"/>
      <c r="EZ6" s="371"/>
      <c r="FA6" s="371"/>
      <c r="FB6" s="371"/>
      <c r="FC6" s="371"/>
      <c r="FD6" s="371"/>
      <c r="FE6" s="371"/>
      <c r="FF6" s="371"/>
      <c r="FG6" s="371"/>
      <c r="FH6" s="371"/>
      <c r="FI6" s="371"/>
      <c r="FJ6" s="371"/>
      <c r="FK6" s="371"/>
      <c r="FL6" s="371"/>
      <c r="FM6" s="371"/>
      <c r="FN6" s="371"/>
      <c r="FO6" s="371"/>
      <c r="FP6" s="371"/>
      <c r="FQ6" s="371"/>
      <c r="FR6" s="371"/>
      <c r="FS6" s="371"/>
      <c r="FT6" s="371"/>
      <c r="FU6" s="371"/>
      <c r="FV6" s="371"/>
      <c r="FW6" s="371"/>
      <c r="FX6" s="371"/>
      <c r="FY6" s="371"/>
      <c r="FZ6" s="371"/>
      <c r="GA6" s="371"/>
      <c r="GB6" s="371"/>
      <c r="GC6" s="371"/>
      <c r="GD6" s="371"/>
      <c r="GE6" s="371"/>
      <c r="GF6" s="371"/>
      <c r="GG6" s="371"/>
      <c r="GH6" s="371"/>
      <c r="GI6" s="371"/>
      <c r="GJ6" s="371"/>
      <c r="GK6" s="371"/>
      <c r="GL6" s="371"/>
      <c r="GM6" s="371"/>
      <c r="GN6" s="371"/>
      <c r="GO6" s="371"/>
      <c r="GP6" s="371"/>
      <c r="GQ6" s="371"/>
      <c r="GR6" s="371"/>
      <c r="GS6" s="371"/>
      <c r="GT6" s="371"/>
      <c r="GU6" s="371"/>
      <c r="GV6" s="371"/>
      <c r="GW6" s="371"/>
      <c r="GX6" s="371"/>
      <c r="GY6" s="371"/>
      <c r="GZ6" s="371"/>
      <c r="HA6" s="371"/>
      <c r="HB6" s="371"/>
      <c r="HC6" s="371"/>
      <c r="HD6" s="371"/>
      <c r="HE6" s="371"/>
      <c r="HF6" s="371"/>
      <c r="HG6" s="371"/>
      <c r="HH6" s="371"/>
      <c r="HI6" s="371"/>
      <c r="HJ6" s="371"/>
      <c r="HK6" s="371"/>
      <c r="HL6" s="371"/>
      <c r="HM6" s="371"/>
      <c r="HN6" s="371"/>
      <c r="HO6" s="371"/>
      <c r="HP6" s="371"/>
      <c r="HQ6" s="371"/>
      <c r="HR6" s="371"/>
      <c r="HS6" s="371"/>
      <c r="HT6" s="371"/>
      <c r="HU6" s="371"/>
      <c r="HV6" s="371"/>
      <c r="HW6" s="371"/>
      <c r="HX6" s="371"/>
      <c r="HY6" s="371"/>
      <c r="HZ6" s="371"/>
      <c r="IA6" s="371"/>
      <c r="IB6" s="371"/>
      <c r="IC6" s="371"/>
      <c r="ID6" s="371"/>
      <c r="IE6" s="371"/>
      <c r="IF6" s="371"/>
      <c r="IG6" s="371"/>
      <c r="IH6" s="371"/>
      <c r="II6" s="371"/>
      <c r="IJ6" s="371"/>
      <c r="IK6" s="371"/>
      <c r="IL6" s="371"/>
      <c r="IM6" s="371"/>
      <c r="IN6" s="371"/>
      <c r="IO6" s="371"/>
      <c r="IP6" s="371"/>
      <c r="IQ6" s="371"/>
    </row>
    <row r="7" spans="1:251" ht="20.25" customHeight="1">
      <c r="A7" s="3508" t="s">
        <v>1277</v>
      </c>
      <c r="B7" s="316"/>
      <c r="C7" s="371"/>
      <c r="D7" s="371"/>
      <c r="E7" s="371"/>
      <c r="F7" s="371"/>
      <c r="G7" s="371"/>
      <c r="H7" s="371"/>
      <c r="I7" s="371"/>
      <c r="J7" s="371"/>
      <c r="K7" s="371"/>
      <c r="L7" s="371"/>
      <c r="M7" s="371"/>
      <c r="N7" s="371"/>
      <c r="O7" s="371"/>
      <c r="P7" s="371"/>
      <c r="Q7" s="371"/>
      <c r="R7" s="371"/>
      <c r="S7" s="371"/>
      <c r="T7" s="371"/>
      <c r="U7" s="371"/>
      <c r="V7" s="371"/>
      <c r="W7" s="371"/>
      <c r="X7" s="3213"/>
      <c r="Y7" s="3213"/>
      <c r="Z7" s="3213"/>
      <c r="AA7" s="3213"/>
      <c r="AB7" s="3213"/>
      <c r="AC7" s="3213"/>
      <c r="AD7" s="3213"/>
      <c r="AE7" s="104"/>
      <c r="AJ7" s="371"/>
      <c r="AK7" s="371"/>
      <c r="AL7" s="371"/>
      <c r="AM7" s="371"/>
      <c r="AN7" s="371"/>
      <c r="AO7" s="371"/>
      <c r="AP7" s="371"/>
      <c r="AQ7" s="371"/>
      <c r="AR7" s="371"/>
      <c r="AS7" s="371"/>
      <c r="AT7" s="371"/>
      <c r="AU7" s="371"/>
      <c r="AV7" s="371"/>
      <c r="AW7" s="371"/>
      <c r="AX7" s="371"/>
      <c r="AY7" s="371"/>
      <c r="AZ7" s="371"/>
      <c r="BA7" s="371"/>
      <c r="BB7" s="371"/>
      <c r="BC7" s="371"/>
      <c r="BD7" s="371"/>
      <c r="BE7" s="371"/>
      <c r="BF7" s="371"/>
      <c r="BG7" s="371"/>
      <c r="BH7" s="371"/>
      <c r="BI7" s="371"/>
      <c r="BJ7" s="371"/>
      <c r="BK7" s="371"/>
      <c r="BL7" s="371"/>
      <c r="BM7" s="371"/>
      <c r="BN7" s="371"/>
      <c r="BO7" s="371"/>
      <c r="BP7" s="371"/>
      <c r="BQ7" s="371"/>
      <c r="BR7" s="371"/>
      <c r="BS7" s="371"/>
      <c r="BT7" s="371"/>
      <c r="BU7" s="371"/>
      <c r="BV7" s="371"/>
      <c r="BW7" s="371"/>
      <c r="BX7" s="371"/>
      <c r="BY7" s="371"/>
      <c r="BZ7" s="371"/>
      <c r="CA7" s="371"/>
      <c r="CB7" s="371"/>
      <c r="CC7" s="371"/>
      <c r="CD7" s="371"/>
      <c r="CE7" s="371"/>
      <c r="CF7" s="371"/>
      <c r="CG7" s="371"/>
      <c r="CH7" s="371"/>
      <c r="CI7" s="371"/>
      <c r="CJ7" s="371"/>
      <c r="CK7" s="371"/>
      <c r="CL7" s="371"/>
      <c r="CM7" s="371"/>
      <c r="CN7" s="371"/>
      <c r="CO7" s="371"/>
      <c r="CP7" s="371"/>
      <c r="CQ7" s="371"/>
      <c r="CR7" s="371"/>
      <c r="CS7" s="371"/>
      <c r="CT7" s="371"/>
      <c r="CU7" s="371"/>
      <c r="CV7" s="371"/>
      <c r="CW7" s="371"/>
      <c r="CX7" s="371"/>
      <c r="CY7" s="371"/>
      <c r="CZ7" s="371"/>
      <c r="DA7" s="371"/>
      <c r="DB7" s="371"/>
      <c r="DC7" s="371"/>
      <c r="DD7" s="371"/>
      <c r="DE7" s="371"/>
      <c r="DF7" s="371"/>
      <c r="DG7" s="371"/>
      <c r="DH7" s="371"/>
      <c r="DI7" s="371"/>
      <c r="DJ7" s="371"/>
      <c r="DK7" s="371"/>
      <c r="DL7" s="371"/>
      <c r="DM7" s="371"/>
      <c r="DN7" s="371"/>
      <c r="DO7" s="371"/>
      <c r="DP7" s="371"/>
      <c r="DQ7" s="371"/>
      <c r="DR7" s="371"/>
      <c r="DS7" s="371"/>
      <c r="DT7" s="371"/>
      <c r="DU7" s="371"/>
      <c r="DV7" s="371"/>
      <c r="DW7" s="371"/>
      <c r="DX7" s="371"/>
      <c r="DY7" s="371"/>
      <c r="DZ7" s="371"/>
      <c r="EA7" s="371"/>
      <c r="EB7" s="371"/>
      <c r="EC7" s="371"/>
      <c r="ED7" s="371"/>
      <c r="EE7" s="371"/>
      <c r="EF7" s="371"/>
      <c r="EG7" s="371"/>
      <c r="EH7" s="371"/>
      <c r="EI7" s="371"/>
      <c r="EJ7" s="371"/>
      <c r="EK7" s="371"/>
      <c r="EL7" s="371"/>
      <c r="EM7" s="371"/>
      <c r="EN7" s="371"/>
      <c r="EO7" s="371"/>
      <c r="EP7" s="371"/>
      <c r="EQ7" s="371"/>
      <c r="ER7" s="371"/>
      <c r="ES7" s="371"/>
      <c r="ET7" s="371"/>
      <c r="EU7" s="371"/>
      <c r="EV7" s="371"/>
      <c r="EW7" s="371"/>
      <c r="EX7" s="371"/>
      <c r="EY7" s="371"/>
      <c r="EZ7" s="371"/>
      <c r="FA7" s="371"/>
      <c r="FB7" s="371"/>
      <c r="FC7" s="371"/>
      <c r="FD7" s="371"/>
      <c r="FE7" s="371"/>
      <c r="FF7" s="371"/>
      <c r="FG7" s="371"/>
      <c r="FH7" s="371"/>
      <c r="FI7" s="371"/>
      <c r="FJ7" s="371"/>
      <c r="FK7" s="371"/>
      <c r="FL7" s="371"/>
      <c r="FM7" s="371"/>
      <c r="FN7" s="371"/>
      <c r="FO7" s="371"/>
      <c r="FP7" s="371"/>
      <c r="FQ7" s="371"/>
      <c r="FR7" s="371"/>
      <c r="FS7" s="371"/>
      <c r="FT7" s="371"/>
      <c r="FU7" s="371"/>
      <c r="FV7" s="371"/>
      <c r="FW7" s="371"/>
      <c r="FX7" s="371"/>
      <c r="FY7" s="371"/>
      <c r="FZ7" s="371"/>
      <c r="GA7" s="371"/>
      <c r="GB7" s="371"/>
      <c r="GC7" s="371"/>
      <c r="GD7" s="371"/>
      <c r="GE7" s="371"/>
      <c r="GF7" s="371"/>
      <c r="GG7" s="371"/>
      <c r="GH7" s="371"/>
      <c r="GI7" s="371"/>
      <c r="GJ7" s="371"/>
      <c r="GK7" s="371"/>
      <c r="GL7" s="371"/>
      <c r="GM7" s="371"/>
      <c r="GN7" s="371"/>
      <c r="GO7" s="371"/>
      <c r="GP7" s="371"/>
      <c r="GQ7" s="371"/>
      <c r="GR7" s="371"/>
      <c r="GS7" s="371"/>
      <c r="GT7" s="371"/>
      <c r="GU7" s="371"/>
      <c r="GV7" s="371"/>
      <c r="GW7" s="371"/>
      <c r="GX7" s="371"/>
      <c r="GY7" s="371"/>
      <c r="GZ7" s="371"/>
      <c r="HA7" s="371"/>
      <c r="HB7" s="371"/>
      <c r="HC7" s="371"/>
      <c r="HD7" s="371"/>
      <c r="HE7" s="371"/>
      <c r="HF7" s="371"/>
      <c r="HG7" s="371"/>
      <c r="HH7" s="371"/>
      <c r="HI7" s="371"/>
      <c r="HJ7" s="371"/>
      <c r="HK7" s="371"/>
      <c r="HL7" s="371"/>
      <c r="HM7" s="371"/>
      <c r="HN7" s="371"/>
      <c r="HO7" s="371"/>
      <c r="HP7" s="371"/>
      <c r="HQ7" s="371"/>
      <c r="HR7" s="371"/>
      <c r="HS7" s="371"/>
      <c r="HT7" s="371"/>
      <c r="HU7" s="371"/>
      <c r="HV7" s="371"/>
      <c r="HW7" s="371"/>
      <c r="HX7" s="371"/>
      <c r="HY7" s="371"/>
      <c r="HZ7" s="371"/>
      <c r="IA7" s="371"/>
      <c r="IB7" s="371"/>
      <c r="IC7" s="371"/>
      <c r="ID7" s="371"/>
      <c r="IE7" s="371"/>
      <c r="IF7" s="371"/>
      <c r="IG7" s="371"/>
      <c r="IH7" s="371"/>
      <c r="II7" s="371"/>
      <c r="IJ7" s="371"/>
      <c r="IK7" s="371"/>
      <c r="IL7" s="371"/>
      <c r="IM7" s="371"/>
      <c r="IN7" s="371"/>
      <c r="IO7" s="371"/>
      <c r="IP7" s="371"/>
      <c r="IQ7" s="371"/>
    </row>
    <row r="8" spans="1:251" ht="16.5" customHeight="1">
      <c r="L8" s="2100"/>
      <c r="AE8" s="104"/>
    </row>
    <row r="9" spans="1:251" ht="16.5" customHeight="1">
      <c r="A9" s="372"/>
      <c r="B9" s="214"/>
      <c r="C9" s="214"/>
      <c r="D9" s="214"/>
      <c r="E9" s="214"/>
      <c r="F9" s="214"/>
      <c r="G9" s="214"/>
      <c r="H9" s="263"/>
      <c r="I9" s="263"/>
      <c r="J9" s="263"/>
      <c r="K9" s="214"/>
      <c r="L9" s="214"/>
      <c r="M9" s="214"/>
      <c r="N9" s="214"/>
      <c r="O9" s="214"/>
      <c r="P9" s="214"/>
      <c r="Q9" s="214"/>
      <c r="R9" s="214"/>
      <c r="S9" s="214"/>
      <c r="T9" s="214"/>
      <c r="U9" s="214"/>
      <c r="V9" s="214"/>
      <c r="W9" s="214"/>
      <c r="X9" s="3215"/>
      <c r="Y9" s="3215"/>
      <c r="Z9" s="3215"/>
      <c r="AA9" s="3215"/>
      <c r="AB9" s="3215"/>
      <c r="AC9" s="3215"/>
      <c r="AD9" s="3215"/>
      <c r="AE9" s="1077"/>
      <c r="AF9" s="3193"/>
      <c r="AG9" s="3193"/>
      <c r="AH9" s="1123"/>
      <c r="AI9" s="1123"/>
    </row>
    <row r="10" spans="1:251" ht="16.5" customHeight="1">
      <c r="A10" s="242"/>
      <c r="B10" s="245"/>
      <c r="C10" s="245"/>
      <c r="D10" s="245"/>
      <c r="E10" s="245"/>
      <c r="F10" s="245"/>
      <c r="G10" s="245"/>
      <c r="H10" s="245"/>
      <c r="I10" s="245"/>
      <c r="J10" s="245"/>
      <c r="K10" s="245"/>
      <c r="L10" s="245"/>
      <c r="M10" s="245"/>
      <c r="N10" s="245"/>
      <c r="O10" s="245"/>
      <c r="P10" s="245"/>
      <c r="Q10" s="245"/>
      <c r="R10" s="245"/>
      <c r="S10" s="245"/>
      <c r="T10" s="245"/>
      <c r="U10" s="245"/>
      <c r="V10" s="245"/>
      <c r="W10" s="245"/>
      <c r="X10" s="3216"/>
      <c r="Y10" s="3216"/>
      <c r="Z10" s="3217"/>
      <c r="AA10" s="3978" t="s">
        <v>1563</v>
      </c>
      <c r="AB10" s="3979"/>
      <c r="AC10" s="3979"/>
      <c r="AD10" s="3979"/>
      <c r="AE10" s="3979"/>
      <c r="AF10" s="3979"/>
      <c r="AG10" s="3979"/>
      <c r="AH10" s="3979"/>
      <c r="AI10" s="3979"/>
    </row>
    <row r="11" spans="1:251" ht="16.5" customHeight="1">
      <c r="A11" s="242"/>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246"/>
      <c r="W11" s="246"/>
      <c r="X11" s="1637"/>
      <c r="Y11" s="1637"/>
      <c r="Z11" s="3217"/>
      <c r="AA11" s="3217"/>
      <c r="AB11" s="3217"/>
      <c r="AC11" s="3217"/>
      <c r="AD11" s="3217"/>
      <c r="AE11" s="3195"/>
      <c r="AF11" s="3196"/>
      <c r="AG11" s="3199" t="s">
        <v>7</v>
      </c>
      <c r="AH11" s="1125"/>
      <c r="AI11" s="1126" t="s">
        <v>8</v>
      </c>
    </row>
    <row r="12" spans="1:251" ht="16.5" customHeight="1">
      <c r="A12" s="242"/>
      <c r="B12" s="760" t="s">
        <v>123</v>
      </c>
      <c r="C12" s="246"/>
      <c r="D12" s="760" t="s">
        <v>124</v>
      </c>
      <c r="E12" s="246"/>
      <c r="F12" s="760" t="s">
        <v>125</v>
      </c>
      <c r="G12" s="246"/>
      <c r="H12" s="760" t="s">
        <v>126</v>
      </c>
      <c r="I12" s="246"/>
      <c r="J12" s="760" t="s">
        <v>127</v>
      </c>
      <c r="K12" s="246"/>
      <c r="L12" s="758" t="s">
        <v>142</v>
      </c>
      <c r="M12" s="246"/>
      <c r="N12" s="758" t="s">
        <v>143</v>
      </c>
      <c r="O12" s="246"/>
      <c r="P12" s="760" t="s">
        <v>130</v>
      </c>
      <c r="Q12" s="246"/>
      <c r="R12" s="760" t="s">
        <v>131</v>
      </c>
      <c r="S12" s="246"/>
      <c r="T12" s="760" t="s">
        <v>132</v>
      </c>
      <c r="U12" s="246"/>
      <c r="V12" s="760" t="s">
        <v>133</v>
      </c>
      <c r="W12" s="246"/>
      <c r="X12" s="3218" t="s">
        <v>184</v>
      </c>
      <c r="Y12" s="1637"/>
      <c r="Z12" s="1637"/>
      <c r="AA12" s="3219">
        <f>'Cashflow Governmental'!AB14</f>
        <v>2021</v>
      </c>
      <c r="AB12" s="1637" t="s">
        <v>14</v>
      </c>
      <c r="AC12" s="1637"/>
      <c r="AD12" s="3219">
        <f>'Cashflow Governmental'!AE14</f>
        <v>2020</v>
      </c>
      <c r="AE12" s="3234"/>
      <c r="AF12" s="3235"/>
      <c r="AG12" s="3202" t="s">
        <v>11</v>
      </c>
      <c r="AH12" s="1128"/>
      <c r="AI12" s="1127" t="s">
        <v>12</v>
      </c>
    </row>
    <row r="13" spans="1:251" ht="4.5" customHeight="1">
      <c r="A13" s="242"/>
      <c r="B13" s="373"/>
      <c r="C13" s="242"/>
      <c r="D13" s="373"/>
      <c r="E13" s="242"/>
      <c r="F13" s="373"/>
      <c r="G13" s="242"/>
      <c r="H13" s="373"/>
      <c r="I13" s="242"/>
      <c r="J13" s="373"/>
      <c r="K13" s="242"/>
      <c r="L13" s="373"/>
      <c r="M13" s="242"/>
      <c r="N13" s="373"/>
      <c r="O13" s="242"/>
      <c r="P13" s="373"/>
      <c r="Q13" s="242"/>
      <c r="R13" s="373"/>
      <c r="S13" s="242"/>
      <c r="T13" s="373"/>
      <c r="U13" s="242"/>
      <c r="V13" s="373"/>
      <c r="W13" s="242"/>
      <c r="X13" s="3220"/>
      <c r="Y13" s="3221"/>
      <c r="Z13" s="3221"/>
      <c r="AA13" s="3220"/>
      <c r="AB13" s="3221"/>
      <c r="AC13" s="3221"/>
      <c r="AD13" s="3220"/>
      <c r="AE13" s="3197"/>
      <c r="AF13" s="1644"/>
    </row>
    <row r="14" spans="1:251" ht="16.5" customHeight="1">
      <c r="A14" s="317" t="s">
        <v>135</v>
      </c>
      <c r="B14" s="2125">
        <v>-363.5</v>
      </c>
      <c r="C14" s="374"/>
      <c r="D14" s="374">
        <f>B46</f>
        <v>-349.4</v>
      </c>
      <c r="E14" s="374"/>
      <c r="F14" s="374">
        <f>D46</f>
        <v>-398.2</v>
      </c>
      <c r="G14" s="374"/>
      <c r="H14" s="374">
        <f>F46</f>
        <v>-339</v>
      </c>
      <c r="I14" s="374"/>
      <c r="J14" s="374">
        <f>H46</f>
        <v>-344.8</v>
      </c>
      <c r="K14" s="374"/>
      <c r="L14" s="374">
        <f>J46</f>
        <v>-336.3</v>
      </c>
      <c r="M14" s="374"/>
      <c r="N14" s="374" t="s">
        <v>14</v>
      </c>
      <c r="O14" s="374"/>
      <c r="P14" s="374" t="s">
        <v>14</v>
      </c>
      <c r="Q14" s="374"/>
      <c r="R14" s="374" t="s">
        <v>14</v>
      </c>
      <c r="S14" s="374"/>
      <c r="T14" s="374" t="s">
        <v>14</v>
      </c>
      <c r="U14" s="374"/>
      <c r="V14" s="374" t="s">
        <v>14</v>
      </c>
      <c r="W14" s="374"/>
      <c r="X14" s="1639" t="s">
        <v>14</v>
      </c>
      <c r="Y14" s="1639"/>
      <c r="Z14" s="3222"/>
      <c r="AA14" s="1639">
        <f>B14</f>
        <v>-363.5</v>
      </c>
      <c r="AB14" s="3223"/>
      <c r="AC14" s="2190"/>
      <c r="AD14" s="2125">
        <v>-297.5</v>
      </c>
      <c r="AE14" s="3200"/>
      <c r="AF14" s="3236"/>
      <c r="AG14" s="1645">
        <f>ROUND(SUM(AA14-AD14),1)</f>
        <v>-66</v>
      </c>
      <c r="AI14" s="1357">
        <f>-ROUND(IF(AG14=0,0,AG14/(AD14)),3)</f>
        <v>-0.222</v>
      </c>
    </row>
    <row r="15" spans="1:251" ht="16.5" customHeight="1">
      <c r="A15" s="146"/>
      <c r="B15" s="376"/>
      <c r="C15" s="376"/>
      <c r="D15" s="376"/>
      <c r="E15" s="376"/>
      <c r="F15" s="376"/>
      <c r="G15" s="376"/>
      <c r="H15" s="376"/>
      <c r="I15" s="376"/>
      <c r="J15" s="376"/>
      <c r="K15" s="376"/>
      <c r="L15" s="376"/>
      <c r="M15" s="376"/>
      <c r="N15" s="376"/>
      <c r="O15" s="376"/>
      <c r="P15" s="376"/>
      <c r="Q15" s="376"/>
      <c r="R15" s="376"/>
      <c r="S15" s="376"/>
      <c r="T15" s="376"/>
      <c r="U15" s="376"/>
      <c r="V15" s="376"/>
      <c r="W15" s="376"/>
      <c r="X15" s="3200"/>
      <c r="Y15" s="3200"/>
      <c r="Z15" s="3224"/>
      <c r="AA15" s="3200"/>
      <c r="AB15" s="3225"/>
      <c r="AC15" s="3226"/>
      <c r="AD15" s="3200"/>
      <c r="AE15" s="3200"/>
      <c r="AF15" s="3236"/>
      <c r="AG15" s="3205"/>
      <c r="AI15" s="1122"/>
    </row>
    <row r="16" spans="1:251" ht="16.5" customHeight="1">
      <c r="A16" s="246" t="s">
        <v>13</v>
      </c>
      <c r="B16" s="376"/>
      <c r="C16" s="376"/>
      <c r="D16" s="376"/>
      <c r="E16" s="376"/>
      <c r="F16" s="376"/>
      <c r="G16" s="376"/>
      <c r="H16" s="376"/>
      <c r="I16" s="376"/>
      <c r="J16" s="376"/>
      <c r="K16" s="376"/>
      <c r="L16" s="376"/>
      <c r="M16" s="376"/>
      <c r="N16" s="234"/>
      <c r="O16" s="376"/>
      <c r="P16" s="376"/>
      <c r="Q16" s="376"/>
      <c r="R16" s="376"/>
      <c r="S16" s="376"/>
      <c r="T16" s="376"/>
      <c r="U16" s="376"/>
      <c r="V16" s="376"/>
      <c r="W16" s="376"/>
      <c r="X16" s="3200"/>
      <c r="Y16" s="3200"/>
      <c r="Z16" s="3224"/>
      <c r="AA16" s="3200"/>
      <c r="AB16" s="3225"/>
      <c r="AC16" s="3226"/>
      <c r="AD16" s="3200"/>
      <c r="AE16" s="1672"/>
      <c r="AF16" s="1656"/>
      <c r="AG16" s="1673"/>
      <c r="AI16" s="1135"/>
    </row>
    <row r="17" spans="1:36" s="1077" customFormat="1" ht="16.5" customHeight="1">
      <c r="A17" s="190" t="s">
        <v>177</v>
      </c>
      <c r="B17" s="234">
        <v>55.2</v>
      </c>
      <c r="C17" s="234"/>
      <c r="D17" s="234">
        <v>27.299999999999997</v>
      </c>
      <c r="E17" s="234"/>
      <c r="F17" s="234">
        <v>41.400000000000006</v>
      </c>
      <c r="G17" s="234"/>
      <c r="H17" s="234">
        <v>38.599999999999994</v>
      </c>
      <c r="I17" s="1564"/>
      <c r="J17" s="234">
        <v>32.399999999999991</v>
      </c>
      <c r="K17" s="1564"/>
      <c r="L17" s="234">
        <f>$AA17-$B17-$D17-$F17-$H17-$J17</f>
        <v>50.100000000000009</v>
      </c>
      <c r="M17" s="1564"/>
      <c r="N17" s="234"/>
      <c r="O17" s="1564"/>
      <c r="P17" s="1561"/>
      <c r="Q17" s="1564"/>
      <c r="R17" s="1561"/>
      <c r="S17" s="1564"/>
      <c r="T17" s="1561"/>
      <c r="U17" s="1564"/>
      <c r="V17" s="1561"/>
      <c r="W17" s="1564"/>
      <c r="X17" s="1561"/>
      <c r="Y17" s="1564"/>
      <c r="Z17" s="1683"/>
      <c r="AA17" s="3227">
        <v>245</v>
      </c>
      <c r="AB17" s="3228"/>
      <c r="AC17" s="1657"/>
      <c r="AD17" s="3227">
        <v>168.7</v>
      </c>
      <c r="AE17" s="1684"/>
      <c r="AF17" s="1656"/>
      <c r="AG17" s="1685">
        <f>ROUND(SUM(AA17-AD17),1)</f>
        <v>76.3</v>
      </c>
      <c r="AH17" s="1646"/>
      <c r="AI17" s="1686">
        <f>ROUND(IF(AG17=0,0,AG17/ABS(AD17)),3)</f>
        <v>0.45200000000000001</v>
      </c>
    </row>
    <row r="18" spans="1:36" ht="16.5" customHeight="1">
      <c r="A18" s="146"/>
      <c r="B18" s="378"/>
      <c r="C18" s="234"/>
      <c r="D18" s="378"/>
      <c r="E18" s="234"/>
      <c r="F18" s="378"/>
      <c r="G18" s="234"/>
      <c r="H18" s="378"/>
      <c r="I18" s="234"/>
      <c r="J18" s="378"/>
      <c r="K18" s="234"/>
      <c r="L18" s="378"/>
      <c r="M18" s="234"/>
      <c r="N18" s="378"/>
      <c r="O18" s="234"/>
      <c r="P18" s="378"/>
      <c r="Q18" s="234"/>
      <c r="R18" s="378"/>
      <c r="S18" s="234"/>
      <c r="T18" s="378"/>
      <c r="U18" s="234"/>
      <c r="V18" s="378"/>
      <c r="W18" s="234"/>
      <c r="X18" s="2183"/>
      <c r="Y18" s="1564"/>
      <c r="Z18" s="1683"/>
      <c r="AA18" s="1013"/>
      <c r="AB18" s="3228"/>
      <c r="AC18" s="1657"/>
      <c r="AD18" s="1013"/>
      <c r="AE18" s="1657"/>
      <c r="AF18" s="1656"/>
      <c r="AG18" s="1673"/>
      <c r="AI18" s="1122"/>
    </row>
    <row r="19" spans="1:36" ht="16.5" customHeight="1">
      <c r="A19" s="246" t="s">
        <v>149</v>
      </c>
      <c r="B19" s="379">
        <f>ROUND(SUM(B17),1)</f>
        <v>55.2</v>
      </c>
      <c r="C19" s="379"/>
      <c r="D19" s="379">
        <f>ROUND(SUM(D17),1)</f>
        <v>27.3</v>
      </c>
      <c r="E19" s="379"/>
      <c r="F19" s="379">
        <f>ROUND(SUM(F17),1)</f>
        <v>41.4</v>
      </c>
      <c r="G19" s="379"/>
      <c r="H19" s="379">
        <f>ROUND(SUM(H17),1)</f>
        <v>38.6</v>
      </c>
      <c r="I19" s="379"/>
      <c r="J19" s="379">
        <f>ROUND(SUM(J17),1)</f>
        <v>32.4</v>
      </c>
      <c r="K19" s="379"/>
      <c r="L19" s="379">
        <f>ROUND(SUM(L17),1)</f>
        <v>50.1</v>
      </c>
      <c r="M19" s="379"/>
      <c r="N19" s="379">
        <f>ROUND(SUM(N17),1)</f>
        <v>0</v>
      </c>
      <c r="O19" s="379"/>
      <c r="P19" s="379">
        <f>ROUND(SUM(P17),1)</f>
        <v>0</v>
      </c>
      <c r="Q19" s="379"/>
      <c r="R19" s="379">
        <f>ROUND(SUM(R17),1)</f>
        <v>0</v>
      </c>
      <c r="S19" s="379"/>
      <c r="T19" s="379">
        <f>ROUND(SUM(T17),1)</f>
        <v>0</v>
      </c>
      <c r="U19" s="379"/>
      <c r="V19" s="379">
        <f>ROUND(SUM(V17),1)</f>
        <v>0</v>
      </c>
      <c r="W19" s="379"/>
      <c r="X19" s="2185">
        <f>ROUND(SUM(X17),1)</f>
        <v>0</v>
      </c>
      <c r="Y19" s="2185"/>
      <c r="Z19" s="2186"/>
      <c r="AA19" s="2185">
        <f>ROUND(SUM(AA17),1)</f>
        <v>245</v>
      </c>
      <c r="AB19" s="3229"/>
      <c r="AC19" s="3230"/>
      <c r="AD19" s="2185">
        <f>ROUND(SUM(AD17),1)</f>
        <v>168.7</v>
      </c>
      <c r="AE19" s="1564"/>
      <c r="AF19" s="1656"/>
      <c r="AG19" s="3209">
        <f>ROUND(SUM(AG17),1)</f>
        <v>76.3</v>
      </c>
      <c r="AH19" s="1133"/>
      <c r="AI19" s="1134">
        <f>ROUND(IF(AG19=0,0,AG19/ABS(AD19)),3)</f>
        <v>0.45200000000000001</v>
      </c>
    </row>
    <row r="20" spans="1:36" ht="16.5" customHeight="1">
      <c r="A20" s="146"/>
      <c r="B20" s="378"/>
      <c r="C20" s="234"/>
      <c r="D20" s="378"/>
      <c r="E20" s="234"/>
      <c r="F20" s="378"/>
      <c r="G20" s="234"/>
      <c r="H20" s="378"/>
      <c r="I20" s="234"/>
      <c r="J20" s="378"/>
      <c r="K20" s="234"/>
      <c r="L20" s="378"/>
      <c r="M20" s="234"/>
      <c r="N20" s="378"/>
      <c r="O20" s="234"/>
      <c r="P20" s="378"/>
      <c r="Q20" s="234"/>
      <c r="R20" s="378"/>
      <c r="S20" s="234"/>
      <c r="T20" s="378"/>
      <c r="U20" s="234"/>
      <c r="V20" s="378"/>
      <c r="W20" s="234"/>
      <c r="X20" s="2183"/>
      <c r="Y20" s="1564"/>
      <c r="Z20" s="1683"/>
      <c r="AA20" s="2183"/>
      <c r="AB20" s="3228"/>
      <c r="AC20" s="1657"/>
      <c r="AD20" s="2183"/>
      <c r="AE20" s="1564"/>
      <c r="AF20" s="1656"/>
      <c r="AG20" s="1673"/>
      <c r="AI20" s="1122"/>
    </row>
    <row r="21" spans="1:36" ht="16.5" customHeight="1">
      <c r="A21" s="146"/>
      <c r="B21" s="234"/>
      <c r="C21" s="234"/>
      <c r="D21" s="234"/>
      <c r="E21" s="234"/>
      <c r="F21" s="234"/>
      <c r="G21" s="234"/>
      <c r="H21" s="234"/>
      <c r="I21" s="234"/>
      <c r="J21" s="234"/>
      <c r="K21" s="234"/>
      <c r="L21" s="234"/>
      <c r="M21" s="234"/>
      <c r="N21" s="234"/>
      <c r="O21" s="234"/>
      <c r="P21" s="234"/>
      <c r="Q21" s="234"/>
      <c r="R21" s="234"/>
      <c r="S21" s="234"/>
      <c r="T21" s="234"/>
      <c r="U21" s="234"/>
      <c r="V21" s="234"/>
      <c r="W21" s="234"/>
      <c r="X21" s="1564"/>
      <c r="Y21" s="1564"/>
      <c r="Z21" s="1683"/>
      <c r="AA21" s="1564"/>
      <c r="AB21" s="3228"/>
      <c r="AC21" s="1657"/>
      <c r="AD21" s="1564"/>
      <c r="AE21" s="1561"/>
      <c r="AF21" s="1662"/>
      <c r="AG21" s="1673"/>
      <c r="AI21" s="1135"/>
    </row>
    <row r="22" spans="1:36" ht="16.5" customHeight="1">
      <c r="A22" s="246" t="s">
        <v>22</v>
      </c>
      <c r="B22" s="234"/>
      <c r="C22" s="234"/>
      <c r="D22" s="234"/>
      <c r="E22" s="234"/>
      <c r="F22" s="234"/>
      <c r="G22" s="234"/>
      <c r="H22" s="234"/>
      <c r="I22" s="234"/>
      <c r="J22" s="234"/>
      <c r="K22" s="234"/>
      <c r="L22" s="234"/>
      <c r="M22" s="234"/>
      <c r="N22" s="234"/>
      <c r="O22" s="234"/>
      <c r="P22" s="234"/>
      <c r="Q22" s="234"/>
      <c r="R22" s="234"/>
      <c r="S22" s="234"/>
      <c r="T22" s="234"/>
      <c r="U22" s="234"/>
      <c r="V22" s="234"/>
      <c r="W22" s="234"/>
      <c r="X22" s="1564"/>
      <c r="Y22" s="1564"/>
      <c r="Z22" s="1683"/>
      <c r="AA22" s="1564"/>
      <c r="AB22" s="3228"/>
      <c r="AC22" s="1657"/>
      <c r="AD22" s="1564"/>
      <c r="AE22" s="1659"/>
      <c r="AF22" s="1662"/>
      <c r="AG22" s="1673"/>
      <c r="AH22" s="1136"/>
      <c r="AI22" s="1135"/>
    </row>
    <row r="23" spans="1:36" ht="16.5" customHeight="1">
      <c r="A23" s="146" t="s">
        <v>151</v>
      </c>
      <c r="B23" s="234"/>
      <c r="C23" s="234"/>
      <c r="D23" s="234"/>
      <c r="E23" s="234"/>
      <c r="F23" s="234"/>
      <c r="G23" s="234"/>
      <c r="H23" s="234"/>
      <c r="I23" s="234"/>
      <c r="J23" s="234"/>
      <c r="K23" s="234"/>
      <c r="L23" s="234"/>
      <c r="M23" s="234"/>
      <c r="N23" s="234"/>
      <c r="O23" s="234"/>
      <c r="P23" s="234"/>
      <c r="Q23" s="234"/>
      <c r="R23" s="234"/>
      <c r="S23" s="234"/>
      <c r="T23" s="234"/>
      <c r="U23" s="234"/>
      <c r="V23" s="234"/>
      <c r="W23" s="234"/>
      <c r="X23" s="1564" t="s">
        <v>14</v>
      </c>
      <c r="Y23" s="1564"/>
      <c r="Z23" s="1683"/>
      <c r="AA23" s="1659"/>
      <c r="AB23" s="3228"/>
      <c r="AC23" s="1657"/>
      <c r="AD23" s="1659"/>
      <c r="AE23" s="2181"/>
      <c r="AF23" s="1662"/>
      <c r="AG23" s="1673"/>
      <c r="AI23" s="1135"/>
    </row>
    <row r="24" spans="1:36" ht="16.5" customHeight="1">
      <c r="A24" s="146" t="s">
        <v>217</v>
      </c>
      <c r="B24" s="234">
        <v>9.6999999999999993</v>
      </c>
      <c r="C24" s="234"/>
      <c r="D24" s="234">
        <v>11.7</v>
      </c>
      <c r="E24" s="234"/>
      <c r="F24" s="234">
        <v>3.9000000000000021</v>
      </c>
      <c r="G24" s="234"/>
      <c r="H24" s="234">
        <v>11.400000000000002</v>
      </c>
      <c r="I24" s="1564"/>
      <c r="J24" s="234">
        <v>10.299999999999994</v>
      </c>
      <c r="K24" s="1564"/>
      <c r="L24" s="234">
        <f t="shared" ref="L24:L26" si="0">$AA24-$B24-$D24-$F24-$H24-$J24</f>
        <v>14.29999999999999</v>
      </c>
      <c r="M24" s="1564"/>
      <c r="N24" s="1561"/>
      <c r="O24" s="1564"/>
      <c r="P24" s="1561"/>
      <c r="Q24" s="1564"/>
      <c r="R24" s="1561"/>
      <c r="S24" s="1564"/>
      <c r="T24" s="1561"/>
      <c r="U24" s="1564"/>
      <c r="V24" s="1561"/>
      <c r="W24" s="1564"/>
      <c r="X24" s="1561"/>
      <c r="Y24" s="1564"/>
      <c r="Z24" s="1683"/>
      <c r="AA24" s="1561">
        <v>61.3</v>
      </c>
      <c r="AB24" s="3228"/>
      <c r="AC24" s="1657"/>
      <c r="AD24" s="1561">
        <v>73.400000000000006</v>
      </c>
      <c r="AE24" s="2182"/>
      <c r="AF24" s="1662"/>
      <c r="AG24" s="1673">
        <f>ROUND(SUM(AA24-AD24),1)</f>
        <v>-12.1</v>
      </c>
      <c r="AI24" s="1137">
        <f>ROUND(IF(AG24=0,0,AG24/ABS(AD24)),3)</f>
        <v>-0.16500000000000001</v>
      </c>
    </row>
    <row r="25" spans="1:36" ht="16.5" customHeight="1">
      <c r="A25" s="146" t="s">
        <v>178</v>
      </c>
      <c r="B25" s="234">
        <v>31.1</v>
      </c>
      <c r="C25" s="234"/>
      <c r="D25" s="234">
        <v>61.6</v>
      </c>
      <c r="E25" s="234"/>
      <c r="F25" s="234">
        <v>5.8000000000000043</v>
      </c>
      <c r="G25" s="234"/>
      <c r="H25" s="234">
        <v>32.1</v>
      </c>
      <c r="I25" s="1564"/>
      <c r="J25" s="234">
        <v>38.300000000000004</v>
      </c>
      <c r="K25" s="1564"/>
      <c r="L25" s="234">
        <f t="shared" si="0"/>
        <v>47.29999999999999</v>
      </c>
      <c r="M25" s="1564"/>
      <c r="N25" s="1561"/>
      <c r="O25" s="1564"/>
      <c r="P25" s="1561"/>
      <c r="Q25" s="1564"/>
      <c r="R25" s="1561"/>
      <c r="S25" s="1564"/>
      <c r="T25" s="1561"/>
      <c r="U25" s="1564"/>
      <c r="V25" s="1561"/>
      <c r="W25" s="1564"/>
      <c r="X25" s="1561"/>
      <c r="Y25" s="1564"/>
      <c r="Z25" s="1683"/>
      <c r="AA25" s="1561">
        <v>216.2</v>
      </c>
      <c r="AB25" s="3228"/>
      <c r="AC25" s="1657"/>
      <c r="AD25" s="1561">
        <v>209.1</v>
      </c>
      <c r="AE25" s="1657"/>
      <c r="AF25" s="1656"/>
      <c r="AG25" s="1673">
        <f>ROUND(SUM(AA25-AD25),1)</f>
        <v>7.1</v>
      </c>
      <c r="AI25" s="1137">
        <f>ROUND(IF(AG25=0,0,AG25/ABS(AD25)),3)</f>
        <v>3.4000000000000002E-2</v>
      </c>
      <c r="AJ25" s="3520"/>
    </row>
    <row r="26" spans="1:36" ht="16.5" customHeight="1">
      <c r="A26" s="146" t="s">
        <v>154</v>
      </c>
      <c r="B26" s="234">
        <v>2.7</v>
      </c>
      <c r="C26" s="234"/>
      <c r="D26" s="234">
        <v>5.4999999999999991</v>
      </c>
      <c r="E26" s="234"/>
      <c r="F26" s="234">
        <v>6.5000000000000009</v>
      </c>
      <c r="G26" s="234"/>
      <c r="H26" s="234">
        <v>4.1999999999999984</v>
      </c>
      <c r="I26" s="1564"/>
      <c r="J26" s="234">
        <v>5.7000000000000037</v>
      </c>
      <c r="K26" s="1564"/>
      <c r="L26" s="234">
        <f t="shared" si="0"/>
        <v>4.3999999999999977</v>
      </c>
      <c r="M26" s="1564"/>
      <c r="N26" s="1561"/>
      <c r="O26" s="1564"/>
      <c r="P26" s="1561"/>
      <c r="Q26" s="1564"/>
      <c r="R26" s="1561"/>
      <c r="S26" s="1564"/>
      <c r="T26" s="1561"/>
      <c r="U26" s="1564"/>
      <c r="V26" s="1561"/>
      <c r="W26" s="1564"/>
      <c r="X26" s="1561"/>
      <c r="Y26" s="1564"/>
      <c r="Z26" s="1683"/>
      <c r="AA26" s="1561">
        <v>29</v>
      </c>
      <c r="AB26" s="3228"/>
      <c r="AC26" s="1657"/>
      <c r="AD26" s="1561">
        <v>33.799999999999997</v>
      </c>
      <c r="AE26" s="1564"/>
      <c r="AF26" s="1656"/>
      <c r="AG26" s="1685">
        <f>ROUND(SUM(AA26-AD26),1)</f>
        <v>-4.8</v>
      </c>
      <c r="AI26" s="3522">
        <f>ROUND(IF(AD26=0,1,AG26/ABS(AD26)),3)</f>
        <v>-0.14199999999999999</v>
      </c>
      <c r="AJ26" s="3520"/>
    </row>
    <row r="27" spans="1:36" ht="16.5" customHeight="1">
      <c r="A27" s="146"/>
      <c r="B27" s="378"/>
      <c r="C27" s="234"/>
      <c r="D27" s="378"/>
      <c r="E27" s="234"/>
      <c r="F27" s="378"/>
      <c r="G27" s="234"/>
      <c r="H27" s="378"/>
      <c r="I27" s="234"/>
      <c r="J27" s="378"/>
      <c r="K27" s="234"/>
      <c r="L27" s="378"/>
      <c r="M27" s="234"/>
      <c r="N27" s="378"/>
      <c r="O27" s="234"/>
      <c r="P27" s="378"/>
      <c r="Q27" s="234"/>
      <c r="R27" s="378"/>
      <c r="S27" s="234"/>
      <c r="T27" s="378"/>
      <c r="U27" s="234"/>
      <c r="V27" s="378"/>
      <c r="W27" s="234"/>
      <c r="X27" s="2183"/>
      <c r="Y27" s="1564"/>
      <c r="Z27" s="1683"/>
      <c r="AA27" s="2183"/>
      <c r="AB27" s="3228"/>
      <c r="AC27" s="1657"/>
      <c r="AD27" s="2183"/>
      <c r="AE27" s="2184"/>
      <c r="AF27" s="1662"/>
      <c r="AG27" s="1673"/>
      <c r="AH27" s="1138"/>
      <c r="AI27" s="1135"/>
    </row>
    <row r="28" spans="1:36" ht="16.5" customHeight="1">
      <c r="A28" s="246" t="s">
        <v>155</v>
      </c>
      <c r="B28" s="379">
        <f>ROUND(SUM(B24:B27),1)</f>
        <v>43.5</v>
      </c>
      <c r="C28" s="379"/>
      <c r="D28" s="379">
        <f>ROUND(SUM(D24:D27),1)</f>
        <v>78.8</v>
      </c>
      <c r="E28" s="379"/>
      <c r="F28" s="379">
        <f>ROUND(SUM(F24:F27),1)</f>
        <v>16.2</v>
      </c>
      <c r="G28" s="379"/>
      <c r="H28" s="379">
        <f>ROUND(SUM(H24:H27),1)</f>
        <v>47.7</v>
      </c>
      <c r="I28" s="379"/>
      <c r="J28" s="379">
        <f>ROUND(SUM(J24:J27),1)</f>
        <v>54.3</v>
      </c>
      <c r="K28" s="379"/>
      <c r="L28" s="379">
        <f>ROUND(SUM(L24:L27),1)</f>
        <v>66</v>
      </c>
      <c r="M28" s="379"/>
      <c r="N28" s="379">
        <f>ROUND(SUM(N24:N27),1)</f>
        <v>0</v>
      </c>
      <c r="O28" s="379"/>
      <c r="P28" s="379">
        <f>ROUND(SUM(P24:P27),1)</f>
        <v>0</v>
      </c>
      <c r="Q28" s="379"/>
      <c r="R28" s="379">
        <f>ROUND(SUM(R24:R27),1)</f>
        <v>0</v>
      </c>
      <c r="S28" s="379"/>
      <c r="T28" s="379">
        <f>ROUND(SUM(T24:T27),1)</f>
        <v>0</v>
      </c>
      <c r="U28" s="379"/>
      <c r="V28" s="379">
        <f>ROUND(SUM(V24:V27),1)</f>
        <v>0</v>
      </c>
      <c r="W28" s="379">
        <f>SUM(W24:W27)</f>
        <v>0</v>
      </c>
      <c r="X28" s="2185">
        <f>ROUND(SUM(X24:X26),1)</f>
        <v>0</v>
      </c>
      <c r="Y28" s="2185"/>
      <c r="Z28" s="2186"/>
      <c r="AA28" s="2185">
        <f>ROUND(SUM(AA23:AA26),1)</f>
        <v>306.5</v>
      </c>
      <c r="AB28" s="3229"/>
      <c r="AC28" s="3230"/>
      <c r="AD28" s="2185">
        <f>ROUND(SUM(AD23:AD26),1)</f>
        <v>316.3</v>
      </c>
      <c r="AE28" s="1657"/>
      <c r="AF28" s="1667"/>
      <c r="AG28" s="3209">
        <f>ROUND(SUM(AG24:AG26),1)</f>
        <v>-9.8000000000000007</v>
      </c>
      <c r="AH28" s="1133"/>
      <c r="AI28" s="1134">
        <f>ROUND(IF(AG28=0,0,AG28/ABS(AD28)),3)</f>
        <v>-3.1E-2</v>
      </c>
    </row>
    <row r="29" spans="1:36" ht="16.5" customHeight="1">
      <c r="A29" s="146"/>
      <c r="B29" s="378"/>
      <c r="C29" s="234"/>
      <c r="D29" s="378"/>
      <c r="E29" s="234"/>
      <c r="F29" s="378"/>
      <c r="G29" s="234"/>
      <c r="H29" s="378"/>
      <c r="I29" s="234"/>
      <c r="J29" s="378"/>
      <c r="K29" s="234"/>
      <c r="L29" s="378"/>
      <c r="M29" s="234"/>
      <c r="N29" s="378"/>
      <c r="O29" s="234"/>
      <c r="P29" s="378"/>
      <c r="Q29" s="234"/>
      <c r="R29" s="378"/>
      <c r="S29" s="234"/>
      <c r="T29" s="378"/>
      <c r="U29" s="234"/>
      <c r="V29" s="378"/>
      <c r="W29" s="234"/>
      <c r="X29" s="2183"/>
      <c r="Y29" s="1564"/>
      <c r="Z29" s="1683"/>
      <c r="AA29" s="2183"/>
      <c r="AB29" s="3228"/>
      <c r="AC29" s="1657"/>
      <c r="AD29" s="2183"/>
      <c r="AE29" s="1564"/>
      <c r="AF29" s="1667"/>
      <c r="AG29" s="1673"/>
      <c r="AI29" s="1122"/>
    </row>
    <row r="30" spans="1:36" ht="16.5" customHeight="1">
      <c r="A30" s="146"/>
      <c r="B30" s="234"/>
      <c r="C30" s="234"/>
      <c r="D30" s="234"/>
      <c r="E30" s="234"/>
      <c r="F30" s="234"/>
      <c r="G30" s="234"/>
      <c r="H30" s="234"/>
      <c r="I30" s="234"/>
      <c r="J30" s="234"/>
      <c r="K30" s="234"/>
      <c r="L30" s="234"/>
      <c r="M30" s="234"/>
      <c r="N30" s="234"/>
      <c r="O30" s="234"/>
      <c r="P30" s="234"/>
      <c r="Q30" s="234"/>
      <c r="R30" s="234"/>
      <c r="S30" s="234"/>
      <c r="T30" s="234"/>
      <c r="U30" s="234"/>
      <c r="V30" s="234"/>
      <c r="W30" s="234"/>
      <c r="X30" s="1564"/>
      <c r="Y30" s="1564"/>
      <c r="Z30" s="1683"/>
      <c r="AA30" s="1564"/>
      <c r="AB30" s="3228"/>
      <c r="AC30" s="1657"/>
      <c r="AD30" s="1564"/>
      <c r="AE30" s="1659"/>
      <c r="AF30" s="1667"/>
      <c r="AG30" s="1673"/>
      <c r="AH30" s="1136"/>
      <c r="AI30" s="1135"/>
    </row>
    <row r="31" spans="1:36" ht="16.5" customHeight="1">
      <c r="A31" s="246" t="s">
        <v>156</v>
      </c>
      <c r="B31" s="234"/>
      <c r="C31" s="234"/>
      <c r="D31" s="234"/>
      <c r="E31" s="234"/>
      <c r="F31" s="234"/>
      <c r="G31" s="234"/>
      <c r="H31" s="234"/>
      <c r="I31" s="234"/>
      <c r="J31" s="234"/>
      <c r="K31" s="234"/>
      <c r="L31" s="234"/>
      <c r="M31" s="234"/>
      <c r="N31" s="234"/>
      <c r="O31" s="234"/>
      <c r="P31" s="234"/>
      <c r="Q31" s="234"/>
      <c r="R31" s="234"/>
      <c r="S31" s="234"/>
      <c r="T31" s="234"/>
      <c r="U31" s="234"/>
      <c r="V31" s="234"/>
      <c r="W31" s="234"/>
      <c r="X31" s="1564"/>
      <c r="Y31" s="1564"/>
      <c r="Z31" s="1683"/>
      <c r="AA31" s="1564"/>
      <c r="AB31" s="3228"/>
      <c r="AC31" s="1657"/>
      <c r="AD31" s="1564"/>
      <c r="AE31" s="2187"/>
      <c r="AF31" s="1666"/>
      <c r="AG31" s="1673"/>
      <c r="AH31" s="1136"/>
      <c r="AI31" s="1135"/>
    </row>
    <row r="32" spans="1:36" ht="16.5" customHeight="1">
      <c r="A32" s="246" t="s">
        <v>44</v>
      </c>
      <c r="B32" s="379">
        <f>ROUND(B19-B28,1)</f>
        <v>11.7</v>
      </c>
      <c r="C32" s="379"/>
      <c r="D32" s="379">
        <f>ROUND(D19-D28,1)</f>
        <v>-51.5</v>
      </c>
      <c r="E32" s="379"/>
      <c r="F32" s="379">
        <f>ROUND(F19-F28,1)</f>
        <v>25.2</v>
      </c>
      <c r="G32" s="379"/>
      <c r="H32" s="379">
        <f>ROUND(H19-H28,1)</f>
        <v>-9.1</v>
      </c>
      <c r="I32" s="379"/>
      <c r="J32" s="379">
        <f>ROUND(J19-J28,1)</f>
        <v>-21.9</v>
      </c>
      <c r="K32" s="379"/>
      <c r="L32" s="379">
        <f>ROUND(L19-L28,1)</f>
        <v>-15.9</v>
      </c>
      <c r="M32" s="379"/>
      <c r="N32" s="379">
        <f>ROUND(N19-N28,1)</f>
        <v>0</v>
      </c>
      <c r="O32" s="379"/>
      <c r="P32" s="379">
        <f>ROUND(P19-P28,1)</f>
        <v>0</v>
      </c>
      <c r="Q32" s="379"/>
      <c r="R32" s="379">
        <f>ROUND(R19-R28,1)</f>
        <v>0</v>
      </c>
      <c r="S32" s="379"/>
      <c r="T32" s="379">
        <f>ROUND(T19-T28,1)</f>
        <v>0</v>
      </c>
      <c r="U32" s="379"/>
      <c r="V32" s="379">
        <f>ROUND(V19-V28,1)</f>
        <v>0</v>
      </c>
      <c r="W32" s="379"/>
      <c r="X32" s="2185">
        <f>ROUND(X19-X28,1)</f>
        <v>0</v>
      </c>
      <c r="Y32" s="2185"/>
      <c r="Z32" s="2186"/>
      <c r="AA32" s="2185">
        <f>ROUND(AA19-AA28,1)</f>
        <v>-61.5</v>
      </c>
      <c r="AB32" s="3229"/>
      <c r="AC32" s="3230"/>
      <c r="AD32" s="2185">
        <f>ROUND(AD19-AD28,1)</f>
        <v>-147.6</v>
      </c>
      <c r="AE32" s="1657"/>
      <c r="AF32" s="1656"/>
      <c r="AG32" s="3209">
        <f>ROUND(SUM(AG19-AG28),1)</f>
        <v>86.1</v>
      </c>
      <c r="AH32" s="1133"/>
      <c r="AI32" s="2103">
        <f>ROUND(IF(AG32=0,0,AG32/ABS(AD32)),3)</f>
        <v>0.58299999999999996</v>
      </c>
    </row>
    <row r="33" spans="1:35" ht="16.5" customHeight="1">
      <c r="A33" s="146"/>
      <c r="B33" s="378"/>
      <c r="C33" s="234"/>
      <c r="D33" s="378"/>
      <c r="E33" s="234"/>
      <c r="F33" s="378"/>
      <c r="G33" s="234"/>
      <c r="H33" s="378"/>
      <c r="I33" s="234"/>
      <c r="J33" s="378"/>
      <c r="K33" s="234"/>
      <c r="L33" s="378"/>
      <c r="M33" s="234"/>
      <c r="N33" s="378"/>
      <c r="O33" s="234"/>
      <c r="P33" s="378"/>
      <c r="Q33" s="234"/>
      <c r="R33" s="378"/>
      <c r="S33" s="234"/>
      <c r="T33" s="378"/>
      <c r="U33" s="234"/>
      <c r="V33" s="378"/>
      <c r="W33" s="234"/>
      <c r="X33" s="2183"/>
      <c r="Y33" s="1564"/>
      <c r="Z33" s="1683"/>
      <c r="AA33" s="2183"/>
      <c r="AB33" s="3228"/>
      <c r="AC33" s="1657"/>
      <c r="AD33" s="2183"/>
      <c r="AE33" s="1564"/>
      <c r="AF33" s="1656"/>
      <c r="AG33" s="1673"/>
      <c r="AI33" s="1122"/>
    </row>
    <row r="34" spans="1:35" ht="16.5" customHeight="1">
      <c r="A34" s="146"/>
      <c r="B34" s="234"/>
      <c r="C34" s="234"/>
      <c r="D34" s="234"/>
      <c r="E34" s="234"/>
      <c r="F34" s="234"/>
      <c r="G34" s="234"/>
      <c r="H34" s="234"/>
      <c r="I34" s="234"/>
      <c r="J34" s="234"/>
      <c r="K34" s="234"/>
      <c r="L34" s="234"/>
      <c r="M34" s="234"/>
      <c r="N34" s="234"/>
      <c r="O34" s="234"/>
      <c r="P34" s="234"/>
      <c r="Q34" s="234"/>
      <c r="R34" s="234"/>
      <c r="S34" s="234"/>
      <c r="T34" s="234"/>
      <c r="U34" s="234"/>
      <c r="V34" s="234"/>
      <c r="W34" s="234"/>
      <c r="X34" s="1564"/>
      <c r="Y34" s="1564"/>
      <c r="Z34" s="1683"/>
      <c r="AA34" s="1564"/>
      <c r="AB34" s="3228"/>
      <c r="AC34" s="1657"/>
      <c r="AD34" s="1564"/>
      <c r="AE34" s="2184"/>
      <c r="AF34" s="2189"/>
      <c r="AG34" s="1673"/>
      <c r="AI34" s="1135"/>
    </row>
    <row r="35" spans="1:35" ht="16.5" customHeight="1">
      <c r="A35" s="246" t="s">
        <v>45</v>
      </c>
      <c r="B35" s="234"/>
      <c r="C35" s="234"/>
      <c r="D35" s="234"/>
      <c r="E35" s="234"/>
      <c r="F35" s="234"/>
      <c r="G35" s="234"/>
      <c r="H35" s="234"/>
      <c r="I35" s="234"/>
      <c r="J35" s="234"/>
      <c r="K35" s="234"/>
      <c r="L35" s="234"/>
      <c r="M35" s="234"/>
      <c r="N35" s="234"/>
      <c r="O35" s="234"/>
      <c r="P35" s="234"/>
      <c r="Q35" s="234"/>
      <c r="R35" s="234"/>
      <c r="S35" s="234"/>
      <c r="T35" s="234"/>
      <c r="U35" s="234"/>
      <c r="V35" s="234"/>
      <c r="W35" s="234"/>
      <c r="X35" s="1564"/>
      <c r="Y35" s="1564"/>
      <c r="Z35" s="1683"/>
      <c r="AA35" s="1564"/>
      <c r="AB35" s="3228"/>
      <c r="AC35" s="1657"/>
      <c r="AD35" s="1564"/>
      <c r="AE35" s="2190"/>
      <c r="AF35" s="2191"/>
      <c r="AG35" s="1695"/>
      <c r="AH35" s="1139"/>
      <c r="AI35" s="1135"/>
    </row>
    <row r="36" spans="1:35" ht="16.5" customHeight="1">
      <c r="A36" s="146" t="s">
        <v>180</v>
      </c>
      <c r="B36" s="234">
        <v>2.5</v>
      </c>
      <c r="C36" s="234"/>
      <c r="D36" s="234">
        <v>2.7</v>
      </c>
      <c r="E36" s="234"/>
      <c r="F36" s="234">
        <v>38.299999999999997</v>
      </c>
      <c r="G36" s="234"/>
      <c r="H36" s="234">
        <v>3.3999999999999986</v>
      </c>
      <c r="I36" s="1564"/>
      <c r="J36" s="234">
        <v>30.4</v>
      </c>
      <c r="K36" s="1564"/>
      <c r="L36" s="234">
        <f t="shared" ref="L36:L37" si="1">$AA36-$B36-$D36-$F36-$H36-$J36</f>
        <v>4.7000000000000028</v>
      </c>
      <c r="M36" s="1564"/>
      <c r="N36" s="1561"/>
      <c r="O36" s="1564"/>
      <c r="P36" s="1561"/>
      <c r="Q36" s="1564"/>
      <c r="R36" s="1561"/>
      <c r="S36" s="1564"/>
      <c r="T36" s="1561"/>
      <c r="U36" s="1564"/>
      <c r="V36" s="1561"/>
      <c r="W36" s="1564"/>
      <c r="X36" s="1561"/>
      <c r="Y36" s="1564"/>
      <c r="Z36" s="1683"/>
      <c r="AA36" s="1561">
        <v>82</v>
      </c>
      <c r="AB36" s="3228"/>
      <c r="AC36" s="1657"/>
      <c r="AD36" s="1561">
        <v>72.7</v>
      </c>
      <c r="AE36" s="2192"/>
      <c r="AF36" s="1694"/>
      <c r="AG36" s="1673">
        <f>ROUND(SUM(AA36-AD36),1)</f>
        <v>9.3000000000000007</v>
      </c>
      <c r="AH36" s="1136"/>
      <c r="AI36" s="1137">
        <f>ROUND(IF(AG36=0,0,AG36/ABS(AD36)),3)</f>
        <v>0.128</v>
      </c>
    </row>
    <row r="37" spans="1:35" s="1077" customFormat="1" ht="16.5" customHeight="1">
      <c r="A37" s="190" t="s">
        <v>181</v>
      </c>
      <c r="B37" s="234">
        <v>-0.1</v>
      </c>
      <c r="C37" s="1564"/>
      <c r="D37" s="234">
        <v>0</v>
      </c>
      <c r="E37" s="1564"/>
      <c r="F37" s="234">
        <v>-4.3000000000000007</v>
      </c>
      <c r="G37" s="1564"/>
      <c r="H37" s="234">
        <v>-9.9999999999999645E-2</v>
      </c>
      <c r="I37" s="1564"/>
      <c r="J37" s="234">
        <v>0</v>
      </c>
      <c r="K37" s="1564"/>
      <c r="L37" s="234">
        <f t="shared" si="1"/>
        <v>0</v>
      </c>
      <c r="M37" s="1564"/>
      <c r="N37" s="1561"/>
      <c r="O37" s="1564"/>
      <c r="P37" s="1561"/>
      <c r="Q37" s="1564"/>
      <c r="R37" s="1561"/>
      <c r="S37" s="1564"/>
      <c r="T37" s="1561"/>
      <c r="U37" s="1564"/>
      <c r="V37" s="1561"/>
      <c r="W37" s="1564"/>
      <c r="X37" s="1561"/>
      <c r="Y37" s="1564"/>
      <c r="Z37" s="1683"/>
      <c r="AA37" s="1561">
        <v>-4.5</v>
      </c>
      <c r="AB37" s="3228"/>
      <c r="AC37" s="1657"/>
      <c r="AD37" s="1561">
        <v>-0.3</v>
      </c>
      <c r="AE37" s="114"/>
      <c r="AF37" s="1694"/>
      <c r="AG37" s="3011">
        <f>-ROUND(SUM(AA37-AD37),1)</f>
        <v>4.2</v>
      </c>
      <c r="AH37" s="1665"/>
      <c r="AI37" s="3913">
        <f>ROUND(IF(AG37=0,0,AG37/ABS(AD37)),3)</f>
        <v>14</v>
      </c>
    </row>
    <row r="38" spans="1:35" ht="16.5" customHeight="1">
      <c r="A38" s="146"/>
      <c r="B38" s="378"/>
      <c r="C38" s="234"/>
      <c r="D38" s="378"/>
      <c r="E38" s="234"/>
      <c r="F38" s="378"/>
      <c r="G38" s="234"/>
      <c r="H38" s="378"/>
      <c r="I38" s="234"/>
      <c r="J38" s="378"/>
      <c r="K38" s="234"/>
      <c r="L38" s="378"/>
      <c r="M38" s="234"/>
      <c r="N38" s="378"/>
      <c r="O38" s="234"/>
      <c r="P38" s="378"/>
      <c r="Q38" s="234"/>
      <c r="R38" s="378"/>
      <c r="S38" s="234"/>
      <c r="T38" s="378"/>
      <c r="U38" s="234"/>
      <c r="V38" s="378"/>
      <c r="W38" s="234"/>
      <c r="X38" s="2183"/>
      <c r="Y38" s="1564"/>
      <c r="Z38" s="1683"/>
      <c r="AA38" s="3231"/>
      <c r="AB38" s="3228"/>
      <c r="AC38" s="1657"/>
      <c r="AD38" s="3231"/>
      <c r="AE38" s="137"/>
      <c r="AF38" s="1694"/>
      <c r="AG38" s="3205"/>
    </row>
    <row r="39" spans="1:35" ht="16.5" customHeight="1">
      <c r="A39" s="246" t="s">
        <v>206</v>
      </c>
      <c r="B39" s="379">
        <f>ROUND(SUM(B36:B38),1)</f>
        <v>2.4</v>
      </c>
      <c r="C39" s="379"/>
      <c r="D39" s="379">
        <f>ROUND(SUM(D36:D38),1)</f>
        <v>2.7</v>
      </c>
      <c r="E39" s="379"/>
      <c r="F39" s="379">
        <f>ROUND(SUM(F36:F38),1)</f>
        <v>34</v>
      </c>
      <c r="G39" s="379"/>
      <c r="H39" s="379">
        <f>ROUND(SUM(H36:H38),1)</f>
        <v>3.3</v>
      </c>
      <c r="I39" s="379"/>
      <c r="J39" s="379">
        <f>ROUND(SUM(J36:J38),1)</f>
        <v>30.4</v>
      </c>
      <c r="K39" s="379"/>
      <c r="L39" s="379">
        <f>ROUND(SUM(L36:L38),1)</f>
        <v>4.7</v>
      </c>
      <c r="M39" s="379"/>
      <c r="N39" s="379">
        <f>ROUND(SUM(N36:N38),1)</f>
        <v>0</v>
      </c>
      <c r="O39" s="379"/>
      <c r="P39" s="379">
        <f>ROUND(SUM(P36:P38),1)</f>
        <v>0</v>
      </c>
      <c r="Q39" s="379"/>
      <c r="R39" s="379">
        <f>ROUND(SUM(R36:R38),1)</f>
        <v>0</v>
      </c>
      <c r="S39" s="379"/>
      <c r="T39" s="379">
        <f>ROUND(SUM(T36:T38),1)</f>
        <v>0</v>
      </c>
      <c r="U39" s="379"/>
      <c r="V39" s="379">
        <f>ROUND(SUM(V36:V38),1)</f>
        <v>0</v>
      </c>
      <c r="W39" s="379"/>
      <c r="X39" s="2185">
        <f>ROUND(SUM(X36:X38),1)</f>
        <v>0</v>
      </c>
      <c r="Y39" s="2185"/>
      <c r="Z39" s="2186"/>
      <c r="AA39" s="2185">
        <f>ROUND(SUM(AA36:AA38),1)</f>
        <v>77.5</v>
      </c>
      <c r="AB39" s="3229"/>
      <c r="AC39" s="3230"/>
      <c r="AD39" s="2185">
        <f>ROUND(SUM(AD36:AD38),1)</f>
        <v>72.400000000000006</v>
      </c>
      <c r="AF39" s="1662"/>
      <c r="AG39" s="3209">
        <f>AA39-AD39</f>
        <v>5.0999999999999943</v>
      </c>
      <c r="AH39" s="1140"/>
      <c r="AI39" s="1134">
        <f>ROUND(IF(AG39=0,0,AG39/ABS(AD39)),3)</f>
        <v>7.0000000000000007E-2</v>
      </c>
    </row>
    <row r="40" spans="1:35" ht="16.5" customHeight="1">
      <c r="A40" s="146"/>
      <c r="B40" s="378"/>
      <c r="C40" s="234"/>
      <c r="D40" s="378"/>
      <c r="E40" s="234"/>
      <c r="F40" s="378"/>
      <c r="G40" s="234"/>
      <c r="H40" s="378"/>
      <c r="I40" s="234"/>
      <c r="J40" s="378"/>
      <c r="K40" s="234"/>
      <c r="L40" s="378"/>
      <c r="M40" s="234"/>
      <c r="N40" s="378"/>
      <c r="O40" s="234"/>
      <c r="P40" s="378"/>
      <c r="Q40" s="234"/>
      <c r="R40" s="378"/>
      <c r="S40" s="234"/>
      <c r="T40" s="378"/>
      <c r="U40" s="234"/>
      <c r="V40" s="378"/>
      <c r="W40" s="234"/>
      <c r="X40" s="2183"/>
      <c r="Y40" s="1564"/>
      <c r="Z40" s="1683"/>
      <c r="AA40" s="2183"/>
      <c r="AB40" s="3228"/>
      <c r="AC40" s="1657"/>
      <c r="AD40" s="2183"/>
      <c r="AE40" s="137"/>
      <c r="AF40" s="1694"/>
      <c r="AG40" s="3205"/>
    </row>
    <row r="41" spans="1:35" ht="16.5" customHeight="1">
      <c r="A41" s="146"/>
      <c r="B41" s="234"/>
      <c r="C41" s="234"/>
      <c r="D41" s="234"/>
      <c r="E41" s="234"/>
      <c r="F41" s="234"/>
      <c r="G41" s="234"/>
      <c r="H41" s="234"/>
      <c r="I41" s="234"/>
      <c r="J41" s="234"/>
      <c r="K41" s="234"/>
      <c r="L41" s="234"/>
      <c r="M41" s="234"/>
      <c r="N41" s="234"/>
      <c r="O41" s="234"/>
      <c r="P41" s="234"/>
      <c r="Q41" s="234"/>
      <c r="R41" s="234"/>
      <c r="S41" s="234"/>
      <c r="T41" s="234"/>
      <c r="U41" s="234"/>
      <c r="V41" s="234"/>
      <c r="W41" s="234"/>
      <c r="X41" s="1564"/>
      <c r="Y41" s="1564"/>
      <c r="Z41" s="1683"/>
      <c r="AA41" s="1564"/>
      <c r="AB41" s="3228"/>
      <c r="AC41" s="1657"/>
      <c r="AD41" s="1564"/>
      <c r="AE41" s="137"/>
      <c r="AF41" s="1694"/>
    </row>
    <row r="42" spans="1:35" ht="16.5" customHeight="1">
      <c r="A42" s="246" t="s">
        <v>164</v>
      </c>
      <c r="B42" s="234"/>
      <c r="C42" s="234"/>
      <c r="D42" s="234"/>
      <c r="E42" s="234"/>
      <c r="F42" s="234"/>
      <c r="G42" s="234"/>
      <c r="H42" s="234"/>
      <c r="I42" s="234"/>
      <c r="J42" s="234"/>
      <c r="K42" s="234"/>
      <c r="L42" s="234"/>
      <c r="M42" s="234"/>
      <c r="N42" s="234"/>
      <c r="O42" s="234"/>
      <c r="P42" s="234"/>
      <c r="Q42" s="234"/>
      <c r="R42" s="234"/>
      <c r="S42" s="234"/>
      <c r="T42" s="234"/>
      <c r="U42" s="234"/>
      <c r="V42" s="234"/>
      <c r="W42" s="234"/>
      <c r="X42" s="1564"/>
      <c r="Y42" s="1564"/>
      <c r="Z42" s="1683"/>
      <c r="AA42" s="1564"/>
      <c r="AB42" s="3228"/>
      <c r="AC42" s="1657"/>
      <c r="AD42" s="1564"/>
      <c r="AE42" s="137"/>
      <c r="AF42" s="1694"/>
    </row>
    <row r="43" spans="1:35" ht="16.5" customHeight="1">
      <c r="A43" s="246" t="s">
        <v>225</v>
      </c>
      <c r="B43" s="234"/>
      <c r="C43" s="234"/>
      <c r="D43" s="234"/>
      <c r="E43" s="234"/>
      <c r="F43" s="234"/>
      <c r="G43" s="234"/>
      <c r="H43" s="234"/>
      <c r="I43" s="234"/>
      <c r="J43" s="234"/>
      <c r="K43" s="234"/>
      <c r="L43" s="234"/>
      <c r="M43" s="234"/>
      <c r="N43" s="234"/>
      <c r="O43" s="234"/>
      <c r="P43" s="234"/>
      <c r="Q43" s="234"/>
      <c r="R43" s="234"/>
      <c r="S43" s="234"/>
      <c r="T43" s="234"/>
      <c r="U43" s="234"/>
      <c r="V43" s="234"/>
      <c r="W43" s="234"/>
      <c r="X43" s="1564"/>
      <c r="Y43" s="1564"/>
      <c r="Z43" s="1683"/>
      <c r="AA43" s="1564"/>
      <c r="AB43" s="3228"/>
      <c r="AC43" s="1657"/>
      <c r="AD43" s="1564"/>
      <c r="AE43" s="104"/>
      <c r="AF43" s="1662"/>
    </row>
    <row r="44" spans="1:35" s="214" customFormat="1" ht="16.5" customHeight="1">
      <c r="A44" s="246" t="s">
        <v>166</v>
      </c>
      <c r="B44" s="379">
        <f>ROUND(SUM(B32,B39),1)</f>
        <v>14.1</v>
      </c>
      <c r="C44" s="379"/>
      <c r="D44" s="379">
        <f>ROUND(SUM(D32,D39),1)</f>
        <v>-48.8</v>
      </c>
      <c r="E44" s="379"/>
      <c r="F44" s="379">
        <f>ROUND(SUM(F32,F39),1)</f>
        <v>59.2</v>
      </c>
      <c r="G44" s="379"/>
      <c r="H44" s="379">
        <f>ROUND(SUM(H32,H39),1)</f>
        <v>-5.8</v>
      </c>
      <c r="I44" s="379"/>
      <c r="J44" s="379">
        <f>ROUND(SUM(J32,J39),1)</f>
        <v>8.5</v>
      </c>
      <c r="K44" s="379"/>
      <c r="L44" s="379">
        <f>ROUND(SUM(L32,L39),1)</f>
        <v>-11.2</v>
      </c>
      <c r="M44" s="379"/>
      <c r="N44" s="379">
        <f>ROUND(SUM(N32,N39),1)</f>
        <v>0</v>
      </c>
      <c r="O44" s="379"/>
      <c r="P44" s="379">
        <f>ROUND(SUM(P32,P39),1)</f>
        <v>0</v>
      </c>
      <c r="Q44" s="379"/>
      <c r="R44" s="379">
        <f>ROUND(SUM(R32,R39),1)</f>
        <v>0</v>
      </c>
      <c r="S44" s="379"/>
      <c r="T44" s="379">
        <f>ROUND(SUM(T32,T39),1)</f>
        <v>0</v>
      </c>
      <c r="U44" s="379"/>
      <c r="V44" s="379">
        <f>ROUND(SUM(V32,V39),1)</f>
        <v>0</v>
      </c>
      <c r="W44" s="379"/>
      <c r="X44" s="2185">
        <f>ROUND(SUM(X32,X39),1)</f>
        <v>0</v>
      </c>
      <c r="Y44" s="2185"/>
      <c r="Z44" s="2186"/>
      <c r="AA44" s="2188">
        <f>ROUND(AA32+AA39,1)</f>
        <v>16</v>
      </c>
      <c r="AB44" s="3229"/>
      <c r="AC44" s="3230"/>
      <c r="AD44" s="2188">
        <f>ROUND(AD32+AD39,1)</f>
        <v>-75.2</v>
      </c>
      <c r="AE44" s="2193"/>
      <c r="AF44" s="1662"/>
      <c r="AG44" s="3209">
        <f>ROUND(SUM(AG32+AG39),1)</f>
        <v>91.2</v>
      </c>
      <c r="AH44" s="1113"/>
      <c r="AI44" s="2103">
        <f>ROUND(IF(AG44=0,0,AG44/ABS(AD44)),3)</f>
        <v>1.2130000000000001</v>
      </c>
    </row>
    <row r="45" spans="1:35" ht="16.5" customHeight="1">
      <c r="A45" s="146"/>
      <c r="B45" s="382"/>
      <c r="C45" s="376"/>
      <c r="D45" s="382"/>
      <c r="E45" s="376"/>
      <c r="F45" s="382"/>
      <c r="G45" s="376"/>
      <c r="H45" s="382"/>
      <c r="I45" s="376"/>
      <c r="J45" s="382"/>
      <c r="K45" s="376"/>
      <c r="L45" s="382"/>
      <c r="M45" s="376"/>
      <c r="N45" s="382"/>
      <c r="O45" s="376"/>
      <c r="P45" s="382"/>
      <c r="Q45" s="376"/>
      <c r="R45" s="382"/>
      <c r="S45" s="376"/>
      <c r="T45" s="382"/>
      <c r="U45" s="376"/>
      <c r="V45" s="382"/>
      <c r="W45" s="376"/>
      <c r="X45" s="3232"/>
      <c r="Y45" s="3200"/>
      <c r="Z45" s="3224"/>
      <c r="AA45" s="3232"/>
      <c r="AB45" s="3225"/>
      <c r="AC45" s="3226"/>
      <c r="AD45" s="3232"/>
      <c r="AF45" s="1662"/>
      <c r="AI45" s="1122"/>
    </row>
    <row r="46" spans="1:35" ht="16.5" customHeight="1" thickBot="1">
      <c r="A46" s="317" t="s">
        <v>140</v>
      </c>
      <c r="B46" s="374">
        <f>ROUND(SUM(B14,B44),1)</f>
        <v>-349.4</v>
      </c>
      <c r="C46" s="374"/>
      <c r="D46" s="374">
        <f>ROUND(SUM(D14,D44),1)</f>
        <v>-398.2</v>
      </c>
      <c r="E46" s="374"/>
      <c r="F46" s="374">
        <f>ROUND(SUM(F14,F44),1)</f>
        <v>-339</v>
      </c>
      <c r="G46" s="374"/>
      <c r="H46" s="374">
        <f>ROUND(SUM(H14,H44),1)</f>
        <v>-344.8</v>
      </c>
      <c r="I46" s="374"/>
      <c r="J46" s="374">
        <f>ROUND(SUM(J14,J44),1)</f>
        <v>-336.3</v>
      </c>
      <c r="K46" s="374"/>
      <c r="L46" s="374">
        <f>ROUND(SUM(L14,L44),1)</f>
        <v>-347.5</v>
      </c>
      <c r="M46" s="374"/>
      <c r="N46" s="374">
        <f>ROUND(SUM(N14,N44),1)</f>
        <v>0</v>
      </c>
      <c r="O46" s="374"/>
      <c r="P46" s="374">
        <f>ROUND(SUM(P14,P44),1)</f>
        <v>0</v>
      </c>
      <c r="Q46" s="374"/>
      <c r="R46" s="383">
        <f>ROUND(SUM(R14,R44),1)</f>
        <v>0</v>
      </c>
      <c r="S46" s="374"/>
      <c r="T46" s="374">
        <f>ROUND(SUM(T14,T44),1)</f>
        <v>0</v>
      </c>
      <c r="U46" s="374"/>
      <c r="V46" s="374">
        <f>ROUND(SUM(V14,V44),1)</f>
        <v>0</v>
      </c>
      <c r="W46" s="374"/>
      <c r="X46" s="1639">
        <f>ROUND(SUM(X14,X44),1)</f>
        <v>0</v>
      </c>
      <c r="Y46" s="1639"/>
      <c r="Z46" s="3222"/>
      <c r="AA46" s="1639">
        <f>ROUND(SUM(AA14,AA44),1)</f>
        <v>-347.5</v>
      </c>
      <c r="AB46" s="3223"/>
      <c r="AC46" s="2190"/>
      <c r="AD46" s="1639">
        <f>ROUND(SUM(AD14,AD44),1)</f>
        <v>-372.7</v>
      </c>
      <c r="AF46" s="1662"/>
      <c r="AG46" s="3212">
        <f>ROUND(SUM(AA46-AD46),1)</f>
        <v>25.2</v>
      </c>
      <c r="AH46" s="1139"/>
      <c r="AI46" s="1141">
        <f>ROUND(IF(AG46=0,0,AG46/ABS(AD46)),3)</f>
        <v>6.8000000000000005E-2</v>
      </c>
    </row>
    <row r="47" spans="1:35" ht="16.5" customHeight="1" thickTop="1">
      <c r="A47" s="146"/>
      <c r="B47" s="384"/>
      <c r="C47" s="376"/>
      <c r="D47" s="384"/>
      <c r="E47" s="376"/>
      <c r="F47" s="384"/>
      <c r="G47" s="376"/>
      <c r="H47" s="384"/>
      <c r="I47" s="376"/>
      <c r="J47" s="384"/>
      <c r="K47" s="376"/>
      <c r="L47" s="384"/>
      <c r="M47" s="376"/>
      <c r="N47" s="384"/>
      <c r="O47" s="376"/>
      <c r="P47" s="384"/>
      <c r="Q47" s="376"/>
      <c r="R47" s="377"/>
      <c r="S47" s="376"/>
      <c r="T47" s="384"/>
      <c r="U47" s="376"/>
      <c r="V47" s="384"/>
      <c r="W47" s="376"/>
      <c r="X47" s="3233"/>
      <c r="Y47" s="3200"/>
      <c r="Z47" s="3200"/>
      <c r="AA47" s="3233"/>
      <c r="AB47" s="3200"/>
      <c r="AC47" s="3200"/>
      <c r="AD47" s="3233"/>
    </row>
    <row r="49" spans="1:1" ht="16.5" customHeight="1">
      <c r="A49" s="385"/>
    </row>
    <row r="50" spans="1:1" ht="16.5" customHeight="1">
      <c r="A50" s="244"/>
    </row>
  </sheetData>
  <mergeCells count="1">
    <mergeCell ref="AA10:AI10"/>
  </mergeCells>
  <pageMargins left="0.25" right="0.25" top="0.5" bottom="0.25" header="0" footer="0.25"/>
  <pageSetup scale="42"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autoPageBreaks="0" fitToPage="1"/>
  </sheetPr>
  <dimension ref="A1:AI47"/>
  <sheetViews>
    <sheetView showGridLines="0" zoomScale="80" zoomScaleNormal="60" workbookViewId="0"/>
  </sheetViews>
  <sheetFormatPr defaultColWidth="8.84375" defaultRowHeight="17.5"/>
  <cols>
    <col min="1" max="1" width="45.53515625" style="386" customWidth="1"/>
    <col min="2" max="2" width="11.07421875" style="386" customWidth="1"/>
    <col min="3" max="3" width="1.84375" style="386" customWidth="1"/>
    <col min="4" max="4" width="8.84375" style="386" customWidth="1"/>
    <col min="5" max="5" width="1.84375" style="386" customWidth="1"/>
    <col min="6" max="6" width="8.84375" style="386" customWidth="1"/>
    <col min="7" max="7" width="1.84375" style="386" customWidth="1"/>
    <col min="8" max="8" width="9.4609375" style="386" customWidth="1"/>
    <col min="9" max="9" width="1.84375" style="386" customWidth="1"/>
    <col min="10" max="10" width="10.84375" style="386" customWidth="1"/>
    <col min="11" max="11" width="1.84375" style="386" customWidth="1"/>
    <col min="12" max="12" width="14.07421875" style="386" customWidth="1"/>
    <col min="13" max="13" width="1.84375" style="386" customWidth="1"/>
    <col min="14" max="14" width="12" style="386" bestFit="1" customWidth="1"/>
    <col min="15" max="15" width="1.84375" style="386" customWidth="1"/>
    <col min="16" max="16" width="13.53515625" style="386" bestFit="1" customWidth="1"/>
    <col min="17" max="17" width="1.84375" style="386" customWidth="1"/>
    <col min="18" max="18" width="13.53515625" style="386" bestFit="1" customWidth="1"/>
    <col min="19" max="19" width="1.84375" style="386" customWidth="1"/>
    <col min="20" max="20" width="11" style="386" bestFit="1" customWidth="1"/>
    <col min="21" max="21" width="1.84375" style="386" customWidth="1"/>
    <col min="22" max="22" width="12.84375" style="386" bestFit="1" customWidth="1"/>
    <col min="23" max="23" width="1.84375" style="386" customWidth="1"/>
    <col min="24" max="24" width="11" style="386" customWidth="1"/>
    <col min="25" max="26" width="1.84375" style="386" customWidth="1"/>
    <col min="27" max="27" width="10.07421875" style="2193" customWidth="1"/>
    <col min="28" max="29" width="1.84375" style="2193" customWidth="1"/>
    <col min="30" max="30" width="10.07421875" style="3247" customWidth="1"/>
    <col min="31" max="31" width="1.84375" style="1121" customWidth="1"/>
    <col min="32" max="32" width="2.4609375" style="1121" customWidth="1"/>
    <col min="33" max="33" width="10.07421875" style="1122" bestFit="1" customWidth="1"/>
    <col min="34" max="34" width="1.84375" style="1122" customWidth="1"/>
    <col min="35" max="35" width="11.07421875" style="1121" customWidth="1"/>
    <col min="36" max="16384" width="8.84375" style="386"/>
  </cols>
  <sheetData>
    <row r="1" spans="1:35">
      <c r="A1" s="635" t="s">
        <v>882</v>
      </c>
    </row>
    <row r="2" spans="1:35">
      <c r="A2" s="813"/>
    </row>
    <row r="3" spans="1:35" ht="20.25" customHeight="1">
      <c r="A3" s="3510" t="s">
        <v>0</v>
      </c>
      <c r="B3" s="28"/>
      <c r="C3" s="28"/>
      <c r="D3" s="28"/>
      <c r="E3" s="28"/>
      <c r="F3" s="28"/>
      <c r="G3" s="28"/>
      <c r="H3" s="28"/>
      <c r="I3" s="28"/>
      <c r="J3" s="28"/>
      <c r="K3" s="26"/>
      <c r="L3" s="26"/>
      <c r="M3" s="28"/>
      <c r="N3" s="28"/>
      <c r="O3" s="28"/>
      <c r="P3" s="28"/>
      <c r="Q3" s="28"/>
      <c r="R3" s="28"/>
      <c r="S3" s="28"/>
      <c r="T3" s="28"/>
      <c r="U3" s="28"/>
      <c r="V3" s="28"/>
      <c r="W3" s="28"/>
      <c r="X3" s="28"/>
      <c r="Y3" s="28"/>
      <c r="Z3" s="28"/>
      <c r="AA3" s="104"/>
      <c r="AB3" s="104"/>
      <c r="AC3" s="104"/>
      <c r="AD3" s="190"/>
      <c r="AI3" s="1160" t="s">
        <v>223</v>
      </c>
    </row>
    <row r="4" spans="1:35" ht="20.25" customHeight="1">
      <c r="A4" s="287" t="s">
        <v>222</v>
      </c>
      <c r="B4" s="28"/>
      <c r="C4" s="28"/>
      <c r="D4" s="28"/>
      <c r="E4" s="28"/>
      <c r="F4" s="28"/>
      <c r="G4" s="28"/>
      <c r="H4" s="26" t="s">
        <v>14</v>
      </c>
      <c r="I4" s="28"/>
      <c r="J4" s="28"/>
      <c r="K4" s="26"/>
      <c r="L4" s="26"/>
      <c r="M4" s="28"/>
      <c r="N4" s="28"/>
      <c r="O4" s="28"/>
      <c r="P4" s="28"/>
      <c r="Q4" s="28"/>
      <c r="R4" s="28"/>
      <c r="S4" s="28"/>
      <c r="T4" s="28"/>
      <c r="U4" s="28"/>
      <c r="V4" s="28"/>
      <c r="W4" s="28"/>
      <c r="X4" s="28" t="s">
        <v>14</v>
      </c>
      <c r="Y4" s="28"/>
      <c r="Z4" s="28"/>
      <c r="AA4" s="104"/>
      <c r="AB4" s="104"/>
      <c r="AC4" s="104"/>
      <c r="AD4" s="190"/>
    </row>
    <row r="5" spans="1:35" ht="20.25" customHeight="1">
      <c r="A5" s="1519" t="s">
        <v>122</v>
      </c>
      <c r="B5" s="28"/>
      <c r="C5" s="28"/>
      <c r="D5" s="28"/>
      <c r="E5" s="28"/>
      <c r="F5" s="28"/>
      <c r="G5" s="28"/>
      <c r="H5" s="28"/>
      <c r="I5" s="28"/>
      <c r="J5" s="28"/>
      <c r="K5" s="26"/>
      <c r="L5" s="26"/>
      <c r="M5" s="28"/>
      <c r="N5" s="28"/>
      <c r="O5" s="28"/>
      <c r="P5" s="28"/>
      <c r="Q5" s="28"/>
      <c r="R5" s="28"/>
      <c r="S5" s="28"/>
      <c r="T5" s="28"/>
      <c r="U5" s="28"/>
      <c r="V5" s="28"/>
      <c r="W5" s="28"/>
      <c r="X5" s="28"/>
      <c r="Y5" s="28"/>
      <c r="Z5" s="28"/>
      <c r="AB5" s="3237"/>
      <c r="AC5" s="3237"/>
      <c r="AE5" s="1143"/>
    </row>
    <row r="6" spans="1:35" ht="20.25" customHeight="1">
      <c r="A6" s="1519"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28"/>
      <c r="Y6" s="28"/>
      <c r="Z6" s="28"/>
      <c r="AA6" s="104"/>
      <c r="AB6" s="104"/>
      <c r="AC6" s="104"/>
      <c r="AD6" s="190"/>
    </row>
    <row r="7" spans="1:35" ht="20.25" customHeight="1">
      <c r="A7" s="3510" t="s">
        <v>1277</v>
      </c>
      <c r="B7" s="28"/>
      <c r="C7" s="28"/>
      <c r="D7" s="28"/>
      <c r="E7" s="28"/>
      <c r="F7" s="28"/>
      <c r="G7" s="28"/>
      <c r="H7" s="28"/>
      <c r="I7" s="28"/>
      <c r="J7" s="28"/>
      <c r="K7" s="26"/>
      <c r="L7" s="28"/>
      <c r="M7" s="28"/>
      <c r="N7" s="28"/>
      <c r="O7" s="28"/>
      <c r="P7" s="28"/>
      <c r="Q7" s="28"/>
      <c r="R7" s="28"/>
      <c r="S7" s="28"/>
      <c r="T7" s="28"/>
      <c r="U7" s="28"/>
      <c r="V7" s="28"/>
      <c r="W7" s="28"/>
      <c r="X7" s="28"/>
      <c r="Y7" s="28"/>
      <c r="Z7" s="28"/>
      <c r="AA7" s="104"/>
      <c r="AB7" s="104"/>
      <c r="AC7" s="104"/>
      <c r="AD7" s="190"/>
    </row>
    <row r="8" spans="1:35" s="388" customFormat="1" ht="19.399999999999999" customHeight="1">
      <c r="A8" s="317"/>
      <c r="B8" s="28"/>
      <c r="C8" s="28"/>
      <c r="D8" s="28"/>
      <c r="E8" s="28"/>
      <c r="F8" s="28"/>
      <c r="G8" s="28"/>
      <c r="H8" s="28"/>
      <c r="I8" s="28"/>
      <c r="J8" s="28"/>
      <c r="K8" s="28"/>
      <c r="L8" s="28"/>
      <c r="M8" s="28"/>
      <c r="N8" s="28"/>
      <c r="O8" s="28"/>
      <c r="P8" s="28"/>
      <c r="Q8" s="28"/>
      <c r="R8" s="28"/>
      <c r="S8" s="28"/>
      <c r="T8" s="28"/>
      <c r="U8" s="28"/>
      <c r="V8" s="28"/>
      <c r="W8" s="28"/>
      <c r="X8" s="28"/>
      <c r="Y8" s="28"/>
      <c r="Z8" s="146"/>
      <c r="AA8" s="190"/>
      <c r="AB8" s="190"/>
      <c r="AC8" s="190"/>
      <c r="AD8" s="190"/>
      <c r="AE8" s="1121"/>
      <c r="AF8" s="1121"/>
      <c r="AG8" s="1122"/>
      <c r="AH8" s="1122"/>
      <c r="AI8" s="1121"/>
    </row>
    <row r="9" spans="1:35" s="388" customFormat="1" ht="19.399999999999999" customHeight="1">
      <c r="A9" s="679"/>
      <c r="B9" s="679"/>
      <c r="C9" s="679"/>
      <c r="D9" s="679"/>
      <c r="E9" s="679"/>
      <c r="F9" s="679"/>
      <c r="G9" s="679"/>
      <c r="H9" s="26"/>
      <c r="I9" s="26"/>
      <c r="J9" s="26"/>
      <c r="K9" s="679"/>
      <c r="L9" s="679"/>
      <c r="M9" s="679"/>
      <c r="N9" s="679"/>
      <c r="O9" s="679"/>
      <c r="P9" s="679"/>
      <c r="Q9" s="679"/>
      <c r="R9" s="679"/>
      <c r="S9" s="679"/>
      <c r="T9" s="679"/>
      <c r="U9" s="679"/>
      <c r="V9" s="679"/>
      <c r="W9" s="679"/>
      <c r="X9" s="679"/>
      <c r="Y9" s="679"/>
      <c r="Z9" s="146"/>
      <c r="AA9" s="190"/>
      <c r="AB9" s="190"/>
      <c r="AC9" s="3980"/>
      <c r="AD9" s="3981"/>
      <c r="AE9" s="3981"/>
      <c r="AF9" s="3981"/>
      <c r="AG9" s="3981"/>
      <c r="AH9" s="3981"/>
      <c r="AI9" s="3981"/>
    </row>
    <row r="10" spans="1:35" s="388" customFormat="1" ht="19.399999999999999" customHeight="1">
      <c r="A10" s="146"/>
      <c r="B10" s="146"/>
      <c r="C10" s="146"/>
      <c r="D10" s="146"/>
      <c r="E10" s="146"/>
      <c r="F10" s="146"/>
      <c r="G10" s="146"/>
      <c r="H10" s="146"/>
      <c r="I10" s="146"/>
      <c r="J10" s="146"/>
      <c r="K10" s="146"/>
      <c r="L10" s="146"/>
      <c r="M10" s="146"/>
      <c r="N10" s="146"/>
      <c r="O10" s="146"/>
      <c r="P10" s="146"/>
      <c r="Q10" s="146"/>
      <c r="R10" s="146"/>
      <c r="S10" s="146"/>
      <c r="T10" s="146"/>
      <c r="U10" s="146"/>
      <c r="V10" s="2099"/>
      <c r="W10" s="820"/>
      <c r="X10" s="821"/>
      <c r="Y10" s="822"/>
      <c r="Z10" s="3982" t="s">
        <v>1563</v>
      </c>
      <c r="AA10" s="3982"/>
      <c r="AB10" s="3982"/>
      <c r="AC10" s="3982"/>
      <c r="AD10" s="3982"/>
      <c r="AE10" s="3982"/>
      <c r="AF10" s="3982"/>
      <c r="AG10" s="3982"/>
      <c r="AH10" s="3982"/>
      <c r="AI10" s="3982"/>
    </row>
    <row r="11" spans="1:35" s="388" customFormat="1" ht="19.399999999999999" customHeight="1">
      <c r="A11" s="146"/>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760"/>
      <c r="W11" s="246"/>
      <c r="X11" s="246"/>
      <c r="Y11" s="246"/>
      <c r="Z11" s="759"/>
      <c r="AA11" s="3217"/>
      <c r="AB11" s="3217"/>
      <c r="AC11" s="3217"/>
      <c r="AD11" s="3195"/>
      <c r="AE11" s="1144"/>
      <c r="AF11" s="1113"/>
      <c r="AG11" s="1125" t="s">
        <v>7</v>
      </c>
      <c r="AH11" s="1125"/>
      <c r="AI11" s="1126" t="s">
        <v>8</v>
      </c>
    </row>
    <row r="12" spans="1:35" s="388" customFormat="1" ht="19.399999999999999" customHeight="1">
      <c r="A12" s="146"/>
      <c r="B12" s="823" t="s">
        <v>123</v>
      </c>
      <c r="C12" s="246"/>
      <c r="D12" s="823" t="s">
        <v>124</v>
      </c>
      <c r="E12" s="246"/>
      <c r="F12" s="823" t="s">
        <v>125</v>
      </c>
      <c r="G12" s="246"/>
      <c r="H12" s="823" t="s">
        <v>126</v>
      </c>
      <c r="I12" s="246"/>
      <c r="J12" s="824" t="s">
        <v>224</v>
      </c>
      <c r="K12" s="246"/>
      <c r="L12" s="824" t="s">
        <v>142</v>
      </c>
      <c r="M12" s="246"/>
      <c r="N12" s="824" t="s">
        <v>143</v>
      </c>
      <c r="O12" s="246"/>
      <c r="P12" s="823" t="s">
        <v>130</v>
      </c>
      <c r="Q12" s="246"/>
      <c r="R12" s="823" t="s">
        <v>131</v>
      </c>
      <c r="S12" s="246"/>
      <c r="T12" s="824" t="s">
        <v>132</v>
      </c>
      <c r="U12" s="246"/>
      <c r="V12" s="823" t="s">
        <v>133</v>
      </c>
      <c r="W12" s="246"/>
      <c r="X12" s="824" t="s">
        <v>184</v>
      </c>
      <c r="Y12" s="246"/>
      <c r="Z12" s="246"/>
      <c r="AA12" s="3219">
        <f>'Cashflow Governmental'!AB14</f>
        <v>2021</v>
      </c>
      <c r="AB12" s="3219"/>
      <c r="AC12" s="3234"/>
      <c r="AD12" s="3420">
        <f>'Cashflow Governmental'!AE14</f>
        <v>2020</v>
      </c>
      <c r="AE12" s="1140"/>
      <c r="AF12" s="1140"/>
      <c r="AG12" s="1127" t="s">
        <v>11</v>
      </c>
      <c r="AH12" s="1128"/>
      <c r="AI12" s="1127" t="s">
        <v>12</v>
      </c>
    </row>
    <row r="13" spans="1:35" s="1648" customFormat="1" ht="19.399999999999999" customHeight="1">
      <c r="A13" s="1637" t="s">
        <v>135</v>
      </c>
      <c r="B13" s="1668">
        <v>0</v>
      </c>
      <c r="C13" s="1639"/>
      <c r="D13" s="1668">
        <f>B38</f>
        <v>-2.4</v>
      </c>
      <c r="E13" s="1639"/>
      <c r="F13" s="1668">
        <f>D38</f>
        <v>0</v>
      </c>
      <c r="G13" s="1669"/>
      <c r="H13" s="1668">
        <f>F38</f>
        <v>-2.2000000000000002</v>
      </c>
      <c r="I13" s="1669"/>
      <c r="J13" s="1668">
        <f>H38</f>
        <v>-4.8</v>
      </c>
      <c r="K13" s="1669"/>
      <c r="L13" s="1668">
        <f>J38</f>
        <v>-1.7</v>
      </c>
      <c r="M13" s="1669"/>
      <c r="N13" s="1668"/>
      <c r="O13" s="1669"/>
      <c r="P13" s="1668"/>
      <c r="Q13" s="1669"/>
      <c r="R13" s="1668"/>
      <c r="S13" s="1669"/>
      <c r="T13" s="1668"/>
      <c r="U13" s="1669"/>
      <c r="V13" s="1668"/>
      <c r="W13" s="1669"/>
      <c r="X13" s="1668"/>
      <c r="Y13" s="1641"/>
      <c r="Z13" s="1642"/>
      <c r="AA13" s="1668">
        <f>B13</f>
        <v>0</v>
      </c>
      <c r="AB13" s="1641"/>
      <c r="AC13" s="3238"/>
      <c r="AD13" s="1668">
        <v>-1.1000000000000001</v>
      </c>
      <c r="AE13" s="1643"/>
      <c r="AF13" s="1644"/>
      <c r="AG13" s="1645">
        <f>ROUND(SUM(AA13-AD13),1)</f>
        <v>1.1000000000000001</v>
      </c>
      <c r="AH13" s="1646"/>
      <c r="AI13" s="2107">
        <f>-ROUND(IF(AG13=0,0,AG13/(AD13)),3)</f>
        <v>1</v>
      </c>
    </row>
    <row r="14" spans="1:35" s="388" customFormat="1" ht="19.399999999999999" customHeight="1">
      <c r="A14" s="146"/>
      <c r="B14" s="376"/>
      <c r="C14" s="376"/>
      <c r="D14" s="376"/>
      <c r="E14" s="376"/>
      <c r="F14" s="3676"/>
      <c r="G14" s="827"/>
      <c r="H14" s="828"/>
      <c r="I14" s="828"/>
      <c r="J14" s="828"/>
      <c r="K14" s="827"/>
      <c r="L14" s="828"/>
      <c r="M14" s="828"/>
      <c r="N14" s="828"/>
      <c r="O14" s="828"/>
      <c r="P14" s="828"/>
      <c r="Q14" s="828"/>
      <c r="R14" s="828"/>
      <c r="S14" s="828"/>
      <c r="T14" s="828"/>
      <c r="U14" s="828"/>
      <c r="V14" s="828"/>
      <c r="W14" s="828"/>
      <c r="X14" s="828"/>
      <c r="Y14" s="829"/>
      <c r="Z14" s="830"/>
      <c r="AA14" s="3200"/>
      <c r="AB14" s="3239"/>
      <c r="AC14" s="3240"/>
      <c r="AD14" s="3200"/>
      <c r="AE14" s="1145"/>
      <c r="AF14" s="1142"/>
      <c r="AG14" s="1130"/>
      <c r="AH14" s="1122"/>
      <c r="AI14" s="1121"/>
    </row>
    <row r="15" spans="1:35" s="388" customFormat="1" ht="19.399999999999999" customHeight="1">
      <c r="A15" s="246" t="s">
        <v>13</v>
      </c>
      <c r="B15" s="376"/>
      <c r="C15" s="376"/>
      <c r="D15" s="376"/>
      <c r="E15" s="376"/>
      <c r="F15" s="3676"/>
      <c r="G15" s="827"/>
      <c r="H15" s="828"/>
      <c r="I15" s="828"/>
      <c r="J15" s="828"/>
      <c r="K15" s="827"/>
      <c r="L15" s="828"/>
      <c r="M15" s="828"/>
      <c r="N15" s="828"/>
      <c r="O15" s="828"/>
      <c r="P15" s="828"/>
      <c r="Q15" s="828"/>
      <c r="R15" s="828"/>
      <c r="S15" s="828"/>
      <c r="T15" s="828"/>
      <c r="U15" s="828"/>
      <c r="V15" s="828"/>
      <c r="W15" s="828"/>
      <c r="X15" s="828"/>
      <c r="Y15" s="829"/>
      <c r="Z15" s="830"/>
      <c r="AA15" s="3200"/>
      <c r="AB15" s="3239"/>
      <c r="AC15" s="3240"/>
      <c r="AD15" s="3200"/>
      <c r="AE15" s="1145"/>
      <c r="AF15" s="1142"/>
      <c r="AG15" s="1130"/>
      <c r="AH15" s="1122"/>
      <c r="AI15" s="1121"/>
    </row>
    <row r="16" spans="1:35" s="388" customFormat="1" ht="19.399999999999999" customHeight="1">
      <c r="A16" s="832" t="s">
        <v>177</v>
      </c>
      <c r="B16" s="2145">
        <v>5.9</v>
      </c>
      <c r="C16" s="234"/>
      <c r="D16" s="2145">
        <v>13.1</v>
      </c>
      <c r="E16" s="234"/>
      <c r="F16" s="2145">
        <v>11.9</v>
      </c>
      <c r="G16" s="234"/>
      <c r="H16" s="2145">
        <v>8.6</v>
      </c>
      <c r="I16" s="1651"/>
      <c r="J16" s="2145">
        <v>13.000000000000002</v>
      </c>
      <c r="K16" s="1564"/>
      <c r="L16" s="2145">
        <f>$AA16-$B16-$D16-$F16-$H16-$J16</f>
        <v>14.400000000000004</v>
      </c>
      <c r="M16" s="1652"/>
      <c r="N16" s="1650"/>
      <c r="O16" s="1652"/>
      <c r="P16" s="1650"/>
      <c r="Q16" s="1652"/>
      <c r="R16" s="1650"/>
      <c r="S16" s="1652"/>
      <c r="T16" s="1650"/>
      <c r="U16" s="1652"/>
      <c r="V16" s="1650"/>
      <c r="W16" s="1652"/>
      <c r="X16" s="1650"/>
      <c r="Y16" s="1653"/>
      <c r="Z16" s="1654"/>
      <c r="AA16" s="1650">
        <v>66.900000000000006</v>
      </c>
      <c r="AB16" s="1653"/>
      <c r="AC16" s="1652"/>
      <c r="AD16" s="1650">
        <v>62.6</v>
      </c>
      <c r="AE16" s="1146"/>
      <c r="AF16" s="1114"/>
      <c r="AG16" s="1132">
        <f>ROUND(SUM(AA16-AD16),1)</f>
        <v>4.3</v>
      </c>
      <c r="AH16" s="1122"/>
      <c r="AI16" s="1137">
        <f>ROUND(IF(AG16=0,0,AG16/ABS(AD16)),3)</f>
        <v>6.9000000000000006E-2</v>
      </c>
    </row>
    <row r="17" spans="1:35" s="388" customFormat="1" ht="24" customHeight="1">
      <c r="A17" s="246" t="s">
        <v>149</v>
      </c>
      <c r="B17" s="2134">
        <f>ROUND(SUM(B16),1)</f>
        <v>5.9</v>
      </c>
      <c r="C17" s="379"/>
      <c r="D17" s="837">
        <f>ROUND(SUM(D16),1)</f>
        <v>13.1</v>
      </c>
      <c r="E17" s="379"/>
      <c r="F17" s="3677">
        <f>ROUND(SUM(F16),1)</f>
        <v>11.9</v>
      </c>
      <c r="G17" s="379"/>
      <c r="H17" s="837">
        <f>ROUND(SUM(H16),1)</f>
        <v>8.6</v>
      </c>
      <c r="I17" s="838"/>
      <c r="J17" s="837">
        <f>ROUND(SUM(J16),1)</f>
        <v>13</v>
      </c>
      <c r="K17" s="379"/>
      <c r="L17" s="837">
        <f>ROUND(SUM(L16),1)</f>
        <v>14.4</v>
      </c>
      <c r="M17" s="839"/>
      <c r="N17" s="837">
        <f>ROUND(SUM(N16),1)</f>
        <v>0</v>
      </c>
      <c r="O17" s="839"/>
      <c r="P17" s="837">
        <f>ROUND(SUM(P16),1)</f>
        <v>0</v>
      </c>
      <c r="Q17" s="839"/>
      <c r="R17" s="2134">
        <f>ROUND(SUM(R16),1)</f>
        <v>0</v>
      </c>
      <c r="S17" s="839"/>
      <c r="T17" s="837">
        <f>ROUND(SUM(T16),1)</f>
        <v>0</v>
      </c>
      <c r="U17" s="839"/>
      <c r="V17" s="837">
        <f>ROUND(SUM(V16),1)</f>
        <v>0</v>
      </c>
      <c r="W17" s="839"/>
      <c r="X17" s="837">
        <f>ROUND(SUM(X16),1)</f>
        <v>0</v>
      </c>
      <c r="Y17" s="840"/>
      <c r="Z17" s="841"/>
      <c r="AA17" s="1684">
        <f>ROUND(SUM(AA16),1)</f>
        <v>66.900000000000006</v>
      </c>
      <c r="AB17" s="3241"/>
      <c r="AC17" s="3242"/>
      <c r="AD17" s="1684">
        <f>ROUND(SUM(AD16),1)</f>
        <v>62.6</v>
      </c>
      <c r="AE17" s="1147"/>
      <c r="AF17" s="1114"/>
      <c r="AG17" s="1154">
        <f>ROUND(SUM(AG16),1)</f>
        <v>4.3</v>
      </c>
      <c r="AH17" s="1155"/>
      <c r="AI17" s="1156">
        <f>ROUND(IF(AG17=0,0,AG17/ABS(AD17)),3)</f>
        <v>6.9000000000000006E-2</v>
      </c>
    </row>
    <row r="18" spans="1:35" s="388" customFormat="1" ht="19.399999999999999" customHeight="1">
      <c r="A18" s="146"/>
      <c r="B18" s="378"/>
      <c r="C18" s="234"/>
      <c r="D18" s="378" t="s">
        <v>14</v>
      </c>
      <c r="E18" s="234"/>
      <c r="F18" s="2183"/>
      <c r="G18" s="234"/>
      <c r="H18" s="842"/>
      <c r="I18" s="834"/>
      <c r="J18" s="842"/>
      <c r="K18" s="234"/>
      <c r="L18" s="842"/>
      <c r="M18" s="834"/>
      <c r="N18" s="842"/>
      <c r="O18" s="834"/>
      <c r="P18" s="842"/>
      <c r="Q18" s="834"/>
      <c r="R18" s="842"/>
      <c r="S18" s="834"/>
      <c r="T18" s="842"/>
      <c r="U18" s="834"/>
      <c r="V18" s="842"/>
      <c r="W18" s="834"/>
      <c r="X18" s="842"/>
      <c r="Y18" s="835"/>
      <c r="Z18" s="836"/>
      <c r="AA18" s="2183"/>
      <c r="AB18" s="1653"/>
      <c r="AC18" s="1651"/>
      <c r="AD18" s="2183"/>
      <c r="AE18" s="1132"/>
      <c r="AF18" s="1114"/>
      <c r="AG18" s="1132"/>
      <c r="AH18" s="1122"/>
      <c r="AI18" s="1121"/>
    </row>
    <row r="19" spans="1:35" s="388" customFormat="1" ht="19.399999999999999" customHeight="1">
      <c r="A19" s="146"/>
      <c r="B19" s="234"/>
      <c r="C19" s="234"/>
      <c r="D19" s="234" t="s">
        <v>14</v>
      </c>
      <c r="E19" s="234"/>
      <c r="F19" s="1564"/>
      <c r="G19" s="234"/>
      <c r="H19" s="834"/>
      <c r="I19" s="834"/>
      <c r="J19" s="834"/>
      <c r="K19" s="234"/>
      <c r="L19" s="834"/>
      <c r="M19" s="834"/>
      <c r="N19" s="834"/>
      <c r="O19" s="834"/>
      <c r="P19" s="834"/>
      <c r="Q19" s="834"/>
      <c r="R19" s="834"/>
      <c r="S19" s="834"/>
      <c r="T19" s="834"/>
      <c r="U19" s="834"/>
      <c r="V19" s="834"/>
      <c r="W19" s="834"/>
      <c r="X19" s="834"/>
      <c r="Y19" s="835"/>
      <c r="Z19" s="836"/>
      <c r="AA19" s="1564"/>
      <c r="AB19" s="1653"/>
      <c r="AC19" s="1652"/>
      <c r="AD19" s="1564"/>
      <c r="AE19" s="1148"/>
      <c r="AF19" s="1114"/>
      <c r="AG19" s="1132"/>
      <c r="AH19" s="1122"/>
      <c r="AI19" s="1121"/>
    </row>
    <row r="20" spans="1:35" s="388" customFormat="1" ht="19.399999999999999" customHeight="1">
      <c r="A20" s="246" t="s">
        <v>22</v>
      </c>
      <c r="B20" s="234"/>
      <c r="C20" s="234"/>
      <c r="D20" s="234" t="s">
        <v>14</v>
      </c>
      <c r="E20" s="234"/>
      <c r="F20" s="1564"/>
      <c r="G20" s="234"/>
      <c r="H20" s="834"/>
      <c r="I20" s="834"/>
      <c r="J20" s="834"/>
      <c r="K20" s="234"/>
      <c r="L20" s="834"/>
      <c r="M20" s="834"/>
      <c r="N20" s="834"/>
      <c r="O20" s="834"/>
      <c r="P20" s="834"/>
      <c r="Q20" s="834"/>
      <c r="R20" s="834"/>
      <c r="S20" s="834"/>
      <c r="T20" s="834"/>
      <c r="U20" s="834"/>
      <c r="V20" s="834"/>
      <c r="W20" s="834"/>
      <c r="X20" s="834"/>
      <c r="Y20" s="835"/>
      <c r="Z20" s="836"/>
      <c r="AA20" s="1564"/>
      <c r="AB20" s="1653"/>
      <c r="AC20" s="1652"/>
      <c r="AD20" s="1564"/>
      <c r="AE20" s="1148"/>
      <c r="AF20" s="1114"/>
      <c r="AG20" s="1132"/>
      <c r="AH20" s="1122"/>
      <c r="AI20" s="1121"/>
    </row>
    <row r="21" spans="1:35" s="388" customFormat="1" ht="19.399999999999999" customHeight="1">
      <c r="A21" s="146" t="s">
        <v>151</v>
      </c>
      <c r="B21" s="235"/>
      <c r="C21" s="234"/>
      <c r="D21" s="234"/>
      <c r="E21" s="234"/>
      <c r="F21" s="1564"/>
      <c r="G21" s="234"/>
      <c r="H21" s="834"/>
      <c r="I21" s="834"/>
      <c r="J21" s="834"/>
      <c r="K21" s="234"/>
      <c r="L21" s="834"/>
      <c r="M21" s="834"/>
      <c r="N21" s="834"/>
      <c r="O21" s="834"/>
      <c r="P21" s="834"/>
      <c r="Q21" s="834"/>
      <c r="R21" s="834"/>
      <c r="S21" s="834"/>
      <c r="T21" s="834"/>
      <c r="U21" s="834"/>
      <c r="V21" s="834"/>
      <c r="W21" s="834"/>
      <c r="X21" s="834"/>
      <c r="Y21" s="835"/>
      <c r="Z21" s="836"/>
      <c r="AA21" s="1659"/>
      <c r="AB21" s="3700"/>
      <c r="AC21" s="3701"/>
      <c r="AD21" s="1659"/>
      <c r="AE21" s="1149"/>
      <c r="AF21" s="1115"/>
      <c r="AG21" s="1132"/>
      <c r="AH21" s="1122"/>
      <c r="AI21" s="1121"/>
    </row>
    <row r="22" spans="1:35" s="1648" customFormat="1" ht="19.399999999999999" customHeight="1">
      <c r="A22" s="190" t="s">
        <v>217</v>
      </c>
      <c r="B22" s="843">
        <v>5.9</v>
      </c>
      <c r="C22" s="234"/>
      <c r="D22" s="843">
        <v>5.6</v>
      </c>
      <c r="E22" s="234"/>
      <c r="F22" s="1672">
        <v>5.8</v>
      </c>
      <c r="G22" s="234"/>
      <c r="H22" s="1672">
        <v>5.9999999999999991</v>
      </c>
      <c r="I22" s="1652"/>
      <c r="J22" s="843">
        <v>5.5999999999999988</v>
      </c>
      <c r="K22" s="1564"/>
      <c r="L22" s="843">
        <f t="shared" ref="L22:L24" si="0">$AA22-$B22-$D22-$F22-$H22-$J22</f>
        <v>8.3000000000000043</v>
      </c>
      <c r="M22" s="1652"/>
      <c r="N22" s="1672"/>
      <c r="O22" s="1652"/>
      <c r="P22" s="1672"/>
      <c r="Q22" s="1652"/>
      <c r="R22" s="1672"/>
      <c r="S22" s="1652"/>
      <c r="T22" s="1672"/>
      <c r="U22" s="1652"/>
      <c r="V22" s="1672"/>
      <c r="W22" s="1652"/>
      <c r="X22" s="1672"/>
      <c r="Y22" s="1653"/>
      <c r="Z22" s="1654"/>
      <c r="AA22" s="1672">
        <v>37.200000000000003</v>
      </c>
      <c r="AB22" s="1653"/>
      <c r="AC22" s="1652"/>
      <c r="AD22" s="1672">
        <v>38.700000000000003</v>
      </c>
      <c r="AE22" s="1661"/>
      <c r="AF22" s="1662"/>
      <c r="AG22" s="1673">
        <f>ROUND(SUM(AA22-AD22),1)</f>
        <v>-1.5</v>
      </c>
      <c r="AH22" s="1646"/>
      <c r="AI22" s="1658">
        <f>ROUND(IF(AG22=0,0,AG22/ABS(AD22)),3)</f>
        <v>-3.9E-2</v>
      </c>
    </row>
    <row r="23" spans="1:35" s="388" customFormat="1" ht="19.399999999999999" customHeight="1">
      <c r="A23" s="832" t="s">
        <v>169</v>
      </c>
      <c r="B23" s="843">
        <v>0.6</v>
      </c>
      <c r="C23" s="234"/>
      <c r="D23" s="843">
        <v>1.2000000000000002</v>
      </c>
      <c r="E23" s="234"/>
      <c r="F23" s="1672">
        <v>1.5</v>
      </c>
      <c r="G23" s="234"/>
      <c r="H23" s="1672">
        <v>1.4000000000000004</v>
      </c>
      <c r="I23" s="1652"/>
      <c r="J23" s="843">
        <v>0.79999999999999982</v>
      </c>
      <c r="K23" s="1564"/>
      <c r="L23" s="843">
        <f t="shared" si="0"/>
        <v>0.90000000000000036</v>
      </c>
      <c r="M23" s="1652"/>
      <c r="N23" s="1672"/>
      <c r="O23" s="1652"/>
      <c r="P23" s="1672"/>
      <c r="Q23" s="1652"/>
      <c r="R23" s="1672"/>
      <c r="S23" s="1652"/>
      <c r="T23" s="1672"/>
      <c r="U23" s="1652"/>
      <c r="V23" s="1672"/>
      <c r="W23" s="1652"/>
      <c r="X23" s="1672"/>
      <c r="Y23" s="1653"/>
      <c r="Z23" s="1654"/>
      <c r="AA23" s="1672">
        <v>6.4</v>
      </c>
      <c r="AB23" s="1653"/>
      <c r="AC23" s="1652"/>
      <c r="AD23" s="1672">
        <v>4.5999999999999996</v>
      </c>
      <c r="AE23" s="1149"/>
      <c r="AF23" s="1115"/>
      <c r="AG23" s="1132">
        <f>ROUND(SUM(AA23-AD23),1)</f>
        <v>1.8</v>
      </c>
      <c r="AH23" s="1136"/>
      <c r="AI23" s="1137">
        <f>ROUND(IF(AG23=0,0,AG23/ABS(AD23)),3)</f>
        <v>0.39100000000000001</v>
      </c>
    </row>
    <row r="24" spans="1:35" s="1648" customFormat="1" ht="19.399999999999999" customHeight="1">
      <c r="A24" s="190" t="s">
        <v>154</v>
      </c>
      <c r="B24" s="2145">
        <v>1.8</v>
      </c>
      <c r="C24" s="234"/>
      <c r="D24" s="2145">
        <v>3.9000000000000004</v>
      </c>
      <c r="E24" s="234"/>
      <c r="F24" s="1672">
        <v>6.8</v>
      </c>
      <c r="G24" s="234"/>
      <c r="H24" s="2145">
        <v>3.8</v>
      </c>
      <c r="I24" s="1652"/>
      <c r="J24" s="2145">
        <v>3.5</v>
      </c>
      <c r="K24" s="1564"/>
      <c r="L24" s="2145">
        <f t="shared" si="0"/>
        <v>3.5000000000000009</v>
      </c>
      <c r="M24" s="1652"/>
      <c r="N24" s="1672"/>
      <c r="O24" s="1652"/>
      <c r="P24" s="1672"/>
      <c r="Q24" s="1652"/>
      <c r="R24" s="1650"/>
      <c r="S24" s="1652"/>
      <c r="T24" s="1672"/>
      <c r="U24" s="1652"/>
      <c r="V24" s="1672"/>
      <c r="W24" s="1652"/>
      <c r="X24" s="1672"/>
      <c r="Y24" s="1653"/>
      <c r="Z24" s="1654"/>
      <c r="AA24" s="3702">
        <v>23.3</v>
      </c>
      <c r="AB24" s="1653"/>
      <c r="AC24" s="1652"/>
      <c r="AD24" s="3702">
        <v>22.400000000000002</v>
      </c>
      <c r="AE24" s="1660"/>
      <c r="AF24" s="1662"/>
      <c r="AG24" s="1673">
        <f>ROUND(SUM(AA24-AD24),1)</f>
        <v>0.9</v>
      </c>
      <c r="AH24" s="1646"/>
      <c r="AI24" s="1137">
        <f>ROUND(IF(AD24=0,1,AG24/ABS(AD24)),3)</f>
        <v>0.04</v>
      </c>
    </row>
    <row r="25" spans="1:35" s="388" customFormat="1" ht="22.5" customHeight="1">
      <c r="A25" s="246" t="s">
        <v>155</v>
      </c>
      <c r="B25" s="2096">
        <f>ROUND(SUM(B22)+SUM(B23)+SUM(B24),1)</f>
        <v>8.3000000000000007</v>
      </c>
      <c r="C25" s="379"/>
      <c r="D25" s="844">
        <f>ROUND(SUM(D22)+SUM(D23)+SUM(D24),1)</f>
        <v>10.7</v>
      </c>
      <c r="E25" s="379"/>
      <c r="F25" s="3259">
        <f>ROUND(SUM(F22)+SUM(F23)+SUM(F24),1)</f>
        <v>14.1</v>
      </c>
      <c r="G25" s="844"/>
      <c r="H25" s="844">
        <f>ROUND(SUM(H22)+SUM(H23)+SUM(H24),1)</f>
        <v>11.2</v>
      </c>
      <c r="I25" s="839"/>
      <c r="J25" s="2101">
        <f>ROUND(SUM(J22)+SUM(J23)+SUM(J24),1)</f>
        <v>9.9</v>
      </c>
      <c r="K25" s="379"/>
      <c r="L25" s="2101">
        <f>ROUND(SUM(L22)+SUM(L23)+SUM(L24),1)</f>
        <v>12.7</v>
      </c>
      <c r="M25" s="839"/>
      <c r="N25" s="2101">
        <f>ROUND(SUM(N22)+SUM(N23)+SUM(N24),1)</f>
        <v>0</v>
      </c>
      <c r="O25" s="839"/>
      <c r="P25" s="2101">
        <f>ROUND(SUM(P22)+SUM(P23)+SUM(P24),1)</f>
        <v>0</v>
      </c>
      <c r="Q25" s="839"/>
      <c r="R25" s="2096">
        <f>ROUND(SUM(R22)+SUM(R23)+SUM(R24),1)</f>
        <v>0</v>
      </c>
      <c r="S25" s="839"/>
      <c r="T25" s="2096">
        <f>ROUND(SUM(T22)+SUM(T23)+SUM(T24),1)</f>
        <v>0</v>
      </c>
      <c r="U25" s="839"/>
      <c r="V25" s="2101">
        <f>ROUND(SUM(V22)+SUM(V23)+SUM(V24),1)</f>
        <v>0</v>
      </c>
      <c r="W25" s="839"/>
      <c r="X25" s="2101">
        <f>ROUND(SUM(X22)+SUM(X23)+SUM(X24),1)</f>
        <v>0</v>
      </c>
      <c r="Y25" s="840"/>
      <c r="Z25" s="841"/>
      <c r="AA25" s="2182">
        <f>ROUND(SUM(AA22:AA24),1)</f>
        <v>66.900000000000006</v>
      </c>
      <c r="AB25" s="3241"/>
      <c r="AC25" s="3242"/>
      <c r="AD25" s="2182">
        <f>ROUND(SUM(AD22:AD24),1)</f>
        <v>65.7</v>
      </c>
      <c r="AE25" s="1150"/>
      <c r="AF25" s="1115"/>
      <c r="AG25" s="1154">
        <f>ROUND(SUM(AG22:AG24),1)</f>
        <v>1.2</v>
      </c>
      <c r="AH25" s="1133"/>
      <c r="AI25" s="1156">
        <f>ROUND(IF(AG25=0,0,AG25/ABS(AD25)),3)</f>
        <v>1.7999999999999999E-2</v>
      </c>
    </row>
    <row r="26" spans="1:35" s="388" customFormat="1" ht="19.399999999999999" customHeight="1">
      <c r="A26" s="146"/>
      <c r="B26" s="378"/>
      <c r="C26" s="234"/>
      <c r="D26" s="378" t="s">
        <v>14</v>
      </c>
      <c r="E26" s="234"/>
      <c r="F26" s="2183"/>
      <c r="G26" s="234"/>
      <c r="H26" s="842"/>
      <c r="I26" s="834"/>
      <c r="J26" s="842"/>
      <c r="K26" s="234"/>
      <c r="L26" s="842"/>
      <c r="M26" s="834"/>
      <c r="N26" s="842"/>
      <c r="O26" s="834"/>
      <c r="P26" s="842"/>
      <c r="Q26" s="834"/>
      <c r="R26" s="842"/>
      <c r="S26" s="834"/>
      <c r="T26" s="842"/>
      <c r="U26" s="834"/>
      <c r="V26" s="842"/>
      <c r="W26" s="834"/>
      <c r="X26" s="842"/>
      <c r="Y26" s="835"/>
      <c r="Z26" s="836"/>
      <c r="AA26" s="2183"/>
      <c r="AB26" s="1653"/>
      <c r="AC26" s="1651"/>
      <c r="AD26" s="2183"/>
      <c r="AE26" s="1132"/>
      <c r="AF26" s="1114"/>
      <c r="AG26" s="1132"/>
      <c r="AH26" s="1122"/>
      <c r="AI26" s="1121"/>
    </row>
    <row r="27" spans="1:35" s="388" customFormat="1" ht="19.399999999999999" customHeight="1">
      <c r="A27" s="246" t="s">
        <v>156</v>
      </c>
      <c r="B27" s="234"/>
      <c r="C27" s="234"/>
      <c r="D27" s="238" t="s">
        <v>14</v>
      </c>
      <c r="E27" s="234"/>
      <c r="F27" s="1564"/>
      <c r="G27" s="234"/>
      <c r="H27" s="834"/>
      <c r="I27" s="834"/>
      <c r="J27" s="834"/>
      <c r="K27" s="234"/>
      <c r="L27" s="834"/>
      <c r="M27" s="834"/>
      <c r="N27" s="834"/>
      <c r="O27" s="834"/>
      <c r="P27" s="834"/>
      <c r="Q27" s="834"/>
      <c r="R27" s="834"/>
      <c r="S27" s="834"/>
      <c r="T27" s="834"/>
      <c r="U27" s="834"/>
      <c r="V27" s="834"/>
      <c r="W27" s="834"/>
      <c r="X27" s="834"/>
      <c r="Y27" s="835"/>
      <c r="Z27" s="836"/>
      <c r="AA27" s="1564"/>
      <c r="AB27" s="1653"/>
      <c r="AC27" s="1652"/>
      <c r="AD27" s="1564"/>
      <c r="AE27" s="1148"/>
      <c r="AF27" s="1114"/>
      <c r="AG27" s="1132"/>
      <c r="AH27" s="1122"/>
      <c r="AI27" s="1121"/>
    </row>
    <row r="28" spans="1:35" s="388" customFormat="1" ht="18.75" customHeight="1">
      <c r="A28" s="246" t="s">
        <v>44</v>
      </c>
      <c r="B28" s="845">
        <f>ROUND(B17-B25,1)</f>
        <v>-2.4</v>
      </c>
      <c r="C28" s="379"/>
      <c r="D28" s="845">
        <f>ROUND(D17-D25,1)</f>
        <v>2.4</v>
      </c>
      <c r="E28" s="379"/>
      <c r="F28" s="3678">
        <f>ROUND(F17-F25,1)</f>
        <v>-2.2000000000000002</v>
      </c>
      <c r="G28" s="379"/>
      <c r="H28" s="845">
        <f>ROUND(H17-H25,1)</f>
        <v>-2.6</v>
      </c>
      <c r="I28" s="380"/>
      <c r="J28" s="845">
        <f>ROUND(J17-J25,1)</f>
        <v>3.1</v>
      </c>
      <c r="K28" s="379"/>
      <c r="L28" s="845">
        <f>ROUND(L17-L25,1)</f>
        <v>1.7</v>
      </c>
      <c r="M28" s="839"/>
      <c r="N28" s="845">
        <f>ROUND(N17-N25,1)</f>
        <v>0</v>
      </c>
      <c r="O28" s="839"/>
      <c r="P28" s="845">
        <f>ROUND(P17-P25,1)</f>
        <v>0</v>
      </c>
      <c r="Q28" s="839"/>
      <c r="R28" s="845">
        <f>ROUND(R17-R25,1)</f>
        <v>0</v>
      </c>
      <c r="S28" s="839"/>
      <c r="T28" s="845">
        <f>ROUND(T17-T25,1)</f>
        <v>0</v>
      </c>
      <c r="U28" s="839"/>
      <c r="V28" s="845">
        <f>ROUND(V17-V25,1)</f>
        <v>0</v>
      </c>
      <c r="W28" s="839"/>
      <c r="X28" s="845">
        <f>ROUND(X17-X25,1)</f>
        <v>0</v>
      </c>
      <c r="Y28" s="840"/>
      <c r="Z28" s="841"/>
      <c r="AA28" s="3243">
        <f>ROUND(AA17-AA25,1)</f>
        <v>0</v>
      </c>
      <c r="AB28" s="3241"/>
      <c r="AC28" s="3703"/>
      <c r="AD28" s="3243">
        <f>ROUND(AD17-AD25,1)</f>
        <v>-3.1</v>
      </c>
      <c r="AE28" s="1151"/>
      <c r="AF28" s="1115"/>
      <c r="AG28" s="1399">
        <f>ROUND(SUM(AA28-AD28),1)</f>
        <v>3.1</v>
      </c>
      <c r="AH28" s="1122"/>
      <c r="AI28" s="1571">
        <f>ROUND(IF(AG28=0,0,AG28/ABS(AD28)),3)</f>
        <v>1</v>
      </c>
    </row>
    <row r="29" spans="1:35" s="388" customFormat="1" ht="19.399999999999999" customHeight="1">
      <c r="A29" s="146"/>
      <c r="B29" s="238"/>
      <c r="C29" s="234"/>
      <c r="D29" s="238" t="s">
        <v>14</v>
      </c>
      <c r="E29" s="234"/>
      <c r="F29" s="1657"/>
      <c r="G29" s="234"/>
      <c r="H29" s="833"/>
      <c r="I29" s="834"/>
      <c r="J29" s="833"/>
      <c r="K29" s="234"/>
      <c r="L29" s="833"/>
      <c r="M29" s="834"/>
      <c r="N29" s="842"/>
      <c r="O29" s="834"/>
      <c r="P29" s="833"/>
      <c r="Q29" s="834"/>
      <c r="R29" s="842"/>
      <c r="S29" s="834"/>
      <c r="T29" s="833"/>
      <c r="U29" s="834"/>
      <c r="V29" s="833"/>
      <c r="W29" s="834"/>
      <c r="X29" s="842"/>
      <c r="Y29" s="835"/>
      <c r="Z29" s="836"/>
      <c r="AA29" s="1657"/>
      <c r="AB29" s="1653"/>
      <c r="AC29" s="1651"/>
      <c r="AD29" s="1657"/>
      <c r="AE29" s="1132"/>
      <c r="AF29" s="1116"/>
      <c r="AG29" s="1132"/>
      <c r="AH29" s="1122"/>
      <c r="AI29" s="1121"/>
    </row>
    <row r="30" spans="1:35" s="388" customFormat="1" ht="19.399999999999999" customHeight="1">
      <c r="A30" s="246" t="s">
        <v>45</v>
      </c>
      <c r="B30" s="234"/>
      <c r="C30" s="234"/>
      <c r="D30" s="234"/>
      <c r="E30" s="234"/>
      <c r="F30" s="1564"/>
      <c r="G30" s="234"/>
      <c r="H30" s="834"/>
      <c r="I30" s="834"/>
      <c r="J30" s="834"/>
      <c r="K30" s="234"/>
      <c r="L30" s="834"/>
      <c r="M30" s="834"/>
      <c r="N30" s="834"/>
      <c r="O30" s="834"/>
      <c r="P30" s="834"/>
      <c r="Q30" s="834"/>
      <c r="R30" s="834"/>
      <c r="S30" s="834"/>
      <c r="T30" s="834"/>
      <c r="U30" s="834"/>
      <c r="V30" s="834"/>
      <c r="W30" s="834"/>
      <c r="X30" s="834"/>
      <c r="Y30" s="835"/>
      <c r="Z30" s="836"/>
      <c r="AA30" s="1564"/>
      <c r="AB30" s="1653"/>
      <c r="AC30" s="1652"/>
      <c r="AD30" s="1564"/>
      <c r="AE30" s="1148"/>
      <c r="AF30" s="1116"/>
      <c r="AG30" s="1132"/>
      <c r="AH30" s="1122"/>
      <c r="AI30" s="1121"/>
    </row>
    <row r="31" spans="1:35" s="388" customFormat="1" ht="19.399999999999999" customHeight="1">
      <c r="A31" s="146" t="s">
        <v>180</v>
      </c>
      <c r="B31" s="843">
        <v>0</v>
      </c>
      <c r="C31" s="234"/>
      <c r="D31" s="843">
        <v>0</v>
      </c>
      <c r="E31" s="234"/>
      <c r="F31" s="1672">
        <v>0</v>
      </c>
      <c r="G31" s="234"/>
      <c r="H31" s="1672">
        <v>0</v>
      </c>
      <c r="I31" s="1652"/>
      <c r="J31" s="843">
        <v>0</v>
      </c>
      <c r="K31" s="1564"/>
      <c r="L31" s="843">
        <f t="shared" ref="L31:L32" si="1">$AA31-$B31-$D31-$F31-$H31-$J31</f>
        <v>0</v>
      </c>
      <c r="M31" s="1652"/>
      <c r="N31" s="1672"/>
      <c r="O31" s="1652"/>
      <c r="P31" s="1672"/>
      <c r="Q31" s="1652"/>
      <c r="R31" s="1672"/>
      <c r="S31" s="1652"/>
      <c r="T31" s="1672"/>
      <c r="U31" s="1652"/>
      <c r="V31" s="1672"/>
      <c r="W31" s="1652"/>
      <c r="X31" s="1672"/>
      <c r="Y31" s="1653"/>
      <c r="Z31" s="1654"/>
      <c r="AA31" s="1672">
        <v>0</v>
      </c>
      <c r="AB31" s="1653"/>
      <c r="AC31" s="1652"/>
      <c r="AD31" s="1672">
        <v>0</v>
      </c>
      <c r="AE31" s="1149"/>
      <c r="AF31" s="1117"/>
      <c r="AG31" s="238">
        <f>ROUND(SUM(AA31-AD31),1)</f>
        <v>0</v>
      </c>
      <c r="AH31" s="1136"/>
      <c r="AI31" s="1137">
        <f>ROUND(IF(AG31=0,0,AG31/ABS(AD31)),3)</f>
        <v>0</v>
      </c>
    </row>
    <row r="32" spans="1:35" s="388" customFormat="1" ht="19.399999999999999" customHeight="1">
      <c r="A32" s="146" t="s">
        <v>181</v>
      </c>
      <c r="B32" s="843">
        <v>0</v>
      </c>
      <c r="C32" s="234"/>
      <c r="D32" s="843">
        <v>0</v>
      </c>
      <c r="E32" s="234"/>
      <c r="F32" s="1672">
        <v>0</v>
      </c>
      <c r="G32" s="234"/>
      <c r="H32" s="2145">
        <v>0</v>
      </c>
      <c r="I32" s="1652"/>
      <c r="J32" s="2145">
        <v>0</v>
      </c>
      <c r="K32" s="1564"/>
      <c r="L32" s="2145">
        <f t="shared" si="1"/>
        <v>0</v>
      </c>
      <c r="M32" s="1652"/>
      <c r="N32" s="1672"/>
      <c r="O32" s="1652"/>
      <c r="P32" s="1672"/>
      <c r="Q32" s="1652"/>
      <c r="R32" s="1672"/>
      <c r="S32" s="1652"/>
      <c r="T32" s="1672"/>
      <c r="U32" s="1652"/>
      <c r="V32" s="1672"/>
      <c r="W32" s="1652"/>
      <c r="X32" s="1672"/>
      <c r="Y32" s="1653"/>
      <c r="Z32" s="1654"/>
      <c r="AA32" s="3702">
        <v>0</v>
      </c>
      <c r="AB32" s="1653"/>
      <c r="AC32" s="1652"/>
      <c r="AD32" s="3702">
        <v>0</v>
      </c>
      <c r="AE32" s="1149"/>
      <c r="AF32" s="1116"/>
      <c r="AG32" s="238">
        <f>ROUND(SUM(AA32-AD32),1)</f>
        <v>0</v>
      </c>
      <c r="AH32" s="1136"/>
      <c r="AI32" s="1137">
        <f>ROUND(IF(AG32=0,0,AG32/ABS(AD32)),3)</f>
        <v>0</v>
      </c>
    </row>
    <row r="33" spans="1:35" s="388" customFormat="1" ht="22.5" customHeight="1">
      <c r="A33" s="246" t="s">
        <v>206</v>
      </c>
      <c r="B33" s="847">
        <f>ROUND(SUM(B31:B32),1)</f>
        <v>0</v>
      </c>
      <c r="C33" s="379"/>
      <c r="D33" s="847">
        <f>ROUND(SUM(D31:D32),1)</f>
        <v>0</v>
      </c>
      <c r="E33" s="381"/>
      <c r="F33" s="3679">
        <f>ROUND(SUM(F31:F32),1)</f>
        <v>0</v>
      </c>
      <c r="G33" s="381"/>
      <c r="H33" s="847">
        <f>ROUND(SUM(H31:H32),1)</f>
        <v>0</v>
      </c>
      <c r="I33" s="848"/>
      <c r="J33" s="847">
        <f>ROUND(SUM(J31:J32),1)</f>
        <v>0</v>
      </c>
      <c r="K33" s="381"/>
      <c r="L33" s="847">
        <f>ROUND(SUM(L31:L32),1)</f>
        <v>0</v>
      </c>
      <c r="M33" s="848"/>
      <c r="N33" s="847">
        <f>ROUND(SUM(N31:N32),1)</f>
        <v>0</v>
      </c>
      <c r="O33" s="848"/>
      <c r="P33" s="847">
        <f>ROUND(SUM(P31:P32),1)</f>
        <v>0</v>
      </c>
      <c r="Q33" s="848"/>
      <c r="R33" s="847">
        <f>ROUND(SUM(R31:R32),1)</f>
        <v>0</v>
      </c>
      <c r="S33" s="848"/>
      <c r="T33" s="847">
        <f>ROUND(SUM(T31:T32),1)</f>
        <v>0</v>
      </c>
      <c r="U33" s="848"/>
      <c r="V33" s="847">
        <f>ROUND(SUM(V31:V32),1)</f>
        <v>0</v>
      </c>
      <c r="W33" s="848"/>
      <c r="X33" s="847">
        <f>ROUND(SUM(X31:X32),1)</f>
        <v>0</v>
      </c>
      <c r="Y33" s="840"/>
      <c r="Z33" s="841"/>
      <c r="AA33" s="3244">
        <f>ROUND(SUM(AA31:AA32),1)</f>
        <v>0</v>
      </c>
      <c r="AB33" s="3704"/>
      <c r="AC33" s="3705"/>
      <c r="AD33" s="3244">
        <f>ROUND(SUM(AD31:AD32),1)</f>
        <v>0</v>
      </c>
      <c r="AE33" s="1152"/>
      <c r="AF33" s="1117"/>
      <c r="AG33" s="1154">
        <f>ROUND(SUM(AG31-AG32),1)</f>
        <v>0</v>
      </c>
      <c r="AH33" s="1140"/>
      <c r="AI33" s="1156">
        <f>ROUND(IF(AG33=0,0,AG33/ABS(AD33)),3)</f>
        <v>0</v>
      </c>
    </row>
    <row r="34" spans="1:35" s="388" customFormat="1" ht="19.399999999999999" customHeight="1">
      <c r="A34" s="146"/>
      <c r="B34" s="378"/>
      <c r="C34" s="234"/>
      <c r="D34" s="378" t="s">
        <v>14</v>
      </c>
      <c r="E34" s="234"/>
      <c r="F34" s="2183"/>
      <c r="G34" s="234"/>
      <c r="H34" s="842"/>
      <c r="I34" s="834"/>
      <c r="J34" s="842"/>
      <c r="K34" s="234"/>
      <c r="L34" s="842"/>
      <c r="M34" s="834"/>
      <c r="N34" s="842"/>
      <c r="O34" s="834"/>
      <c r="P34" s="842"/>
      <c r="Q34" s="834"/>
      <c r="R34" s="842"/>
      <c r="S34" s="834"/>
      <c r="T34" s="842"/>
      <c r="U34" s="834"/>
      <c r="V34" s="842"/>
      <c r="W34" s="834"/>
      <c r="X34" s="842"/>
      <c r="Y34" s="835"/>
      <c r="Z34" s="836"/>
      <c r="AA34" s="2183"/>
      <c r="AB34" s="1653"/>
      <c r="AC34" s="1651"/>
      <c r="AD34" s="2183"/>
      <c r="AE34" s="1132"/>
      <c r="AF34" s="1114"/>
      <c r="AG34" s="1132"/>
      <c r="AH34" s="1122"/>
      <c r="AI34" s="1121"/>
    </row>
    <row r="35" spans="1:35" s="388" customFormat="1" ht="19.399999999999999" customHeight="1">
      <c r="A35" s="246" t="s">
        <v>164</v>
      </c>
      <c r="B35" s="234"/>
      <c r="C35" s="234"/>
      <c r="D35" s="234" t="s">
        <v>14</v>
      </c>
      <c r="E35" s="234"/>
      <c r="F35" s="1564"/>
      <c r="G35" s="234"/>
      <c r="H35" s="834"/>
      <c r="I35" s="834"/>
      <c r="J35" s="834"/>
      <c r="K35" s="234"/>
      <c r="L35" s="834"/>
      <c r="M35" s="834"/>
      <c r="N35" s="834"/>
      <c r="O35" s="834"/>
      <c r="P35" s="834"/>
      <c r="Q35" s="834"/>
      <c r="R35" s="834"/>
      <c r="S35" s="834"/>
      <c r="T35" s="834"/>
      <c r="U35" s="834"/>
      <c r="V35" s="834"/>
      <c r="W35" s="834"/>
      <c r="X35" s="834"/>
      <c r="Y35" s="835"/>
      <c r="Z35" s="836"/>
      <c r="AA35" s="1564"/>
      <c r="AB35" s="1653"/>
      <c r="AC35" s="1652"/>
      <c r="AD35" s="1564"/>
      <c r="AE35" s="1148"/>
      <c r="AF35" s="1114"/>
      <c r="AG35" s="1132"/>
      <c r="AH35" s="1122"/>
      <c r="AI35" s="1121"/>
    </row>
    <row r="36" spans="1:35" s="388" customFormat="1" ht="19.399999999999999" customHeight="1">
      <c r="A36" s="246" t="s">
        <v>225</v>
      </c>
      <c r="B36" s="234"/>
      <c r="C36" s="234"/>
      <c r="D36" s="234"/>
      <c r="E36" s="234"/>
      <c r="F36" s="1564"/>
      <c r="G36" s="234"/>
      <c r="H36" s="834"/>
      <c r="I36" s="834"/>
      <c r="J36" s="834"/>
      <c r="K36" s="234"/>
      <c r="L36" s="834"/>
      <c r="M36" s="834"/>
      <c r="N36" s="834"/>
      <c r="O36" s="834"/>
      <c r="P36" s="834"/>
      <c r="Q36" s="834"/>
      <c r="R36" s="834"/>
      <c r="S36" s="834"/>
      <c r="T36" s="855"/>
      <c r="U36" s="834"/>
      <c r="V36" s="855"/>
      <c r="W36" s="834"/>
      <c r="X36" s="834"/>
      <c r="Y36" s="835"/>
      <c r="Z36" s="836"/>
      <c r="AA36" s="1564"/>
      <c r="AB36" s="1653"/>
      <c r="AC36" s="1652"/>
      <c r="AD36" s="2188"/>
      <c r="AE36" s="1153"/>
      <c r="AF36" s="1118"/>
      <c r="AG36" s="1132"/>
      <c r="AH36" s="1122"/>
      <c r="AI36" s="1121"/>
    </row>
    <row r="37" spans="1:35" s="390" customFormat="1" ht="19.399999999999999" customHeight="1">
      <c r="A37" s="246" t="s">
        <v>856</v>
      </c>
      <c r="B37" s="844">
        <f>ROUND(+B28+B33,1)</f>
        <v>-2.4</v>
      </c>
      <c r="C37" s="379"/>
      <c r="D37" s="844">
        <f>ROUND(+D28+D33,1)</f>
        <v>2.4</v>
      </c>
      <c r="E37" s="381"/>
      <c r="F37" s="1684">
        <f>ROUND(+F28+F33,1)</f>
        <v>-2.2000000000000002</v>
      </c>
      <c r="G37" s="381"/>
      <c r="H37" s="844">
        <f>ROUND(+H28+H33,1)</f>
        <v>-2.6</v>
      </c>
      <c r="I37" s="848"/>
      <c r="J37" s="844">
        <f>ROUND(+J28+J33,1)</f>
        <v>3.1</v>
      </c>
      <c r="K37" s="381"/>
      <c r="L37" s="844">
        <f>ROUND(+L28+L33,1)</f>
        <v>1.7</v>
      </c>
      <c r="M37" s="849"/>
      <c r="N37" s="844">
        <f>ROUND(+N28+N33,1)</f>
        <v>0</v>
      </c>
      <c r="O37" s="849"/>
      <c r="P37" s="844">
        <f>ROUND(+P28+P33,1)</f>
        <v>0</v>
      </c>
      <c r="Q37" s="849"/>
      <c r="R37" s="844">
        <f>ROUND(+R28+R33,1)</f>
        <v>0</v>
      </c>
      <c r="S37" s="848"/>
      <c r="T37" s="844">
        <f>ROUND(+T28+T33,1)</f>
        <v>0</v>
      </c>
      <c r="U37" s="848"/>
      <c r="V37" s="844">
        <f>ROUND(+V28+V33,1)</f>
        <v>0</v>
      </c>
      <c r="W37" s="848"/>
      <c r="X37" s="844">
        <f>ROUND(+X28+X33,1)</f>
        <v>0</v>
      </c>
      <c r="Y37" s="840"/>
      <c r="Z37" s="841"/>
      <c r="AA37" s="2184">
        <f>ROUND(AA28+AA33,1)</f>
        <v>0</v>
      </c>
      <c r="AB37" s="3230"/>
      <c r="AC37" s="3706"/>
      <c r="AD37" s="2184">
        <f>ROUND(AD28+AD33,1)</f>
        <v>-3.1</v>
      </c>
      <c r="AE37" s="1151"/>
      <c r="AF37" s="1119"/>
      <c r="AG37" s="1399">
        <f>ROUND(SUM(AA37-AD37),1)</f>
        <v>3.1</v>
      </c>
      <c r="AH37" s="1122"/>
      <c r="AI37" s="1570">
        <f>ROUND(IF(AG37=0,0,AG37/ABS(AD37)),3)</f>
        <v>1</v>
      </c>
    </row>
    <row r="38" spans="1:35" s="388" customFormat="1" ht="22.5" customHeight="1" thickBot="1">
      <c r="A38" s="246" t="s">
        <v>140</v>
      </c>
      <c r="B38" s="850">
        <f>ROUND(B13+B37,1)</f>
        <v>-2.4</v>
      </c>
      <c r="C38" s="374"/>
      <c r="D38" s="850">
        <f>ROUND(D13+D37,1)</f>
        <v>0</v>
      </c>
      <c r="E38" s="374"/>
      <c r="F38" s="3245">
        <f>ROUND(F13+F37,1)</f>
        <v>-2.2000000000000002</v>
      </c>
      <c r="G38" s="374"/>
      <c r="H38" s="850">
        <f>ROUND(H13+H37,1)</f>
        <v>-4.8</v>
      </c>
      <c r="I38" s="851"/>
      <c r="J38" s="850">
        <f>ROUND(J13+J37,1)</f>
        <v>-1.7</v>
      </c>
      <c r="K38" s="374"/>
      <c r="L38" s="850">
        <f>ROUND(L13+L37,1)</f>
        <v>0</v>
      </c>
      <c r="M38" s="375"/>
      <c r="N38" s="850">
        <f>ROUND(N13+N37,1)</f>
        <v>0</v>
      </c>
      <c r="O38" s="375"/>
      <c r="P38" s="850">
        <f>ROUND(P13+P37,1)</f>
        <v>0</v>
      </c>
      <c r="Q38" s="375"/>
      <c r="R38" s="850">
        <f>ROUND(R13+R37,1)</f>
        <v>0</v>
      </c>
      <c r="S38" s="851"/>
      <c r="T38" s="850">
        <f>ROUND(T13+T37,1)</f>
        <v>0</v>
      </c>
      <c r="U38" s="851"/>
      <c r="V38" s="850">
        <f>ROUND(V13+V37,1)</f>
        <v>0</v>
      </c>
      <c r="W38" s="851"/>
      <c r="X38" s="850">
        <f>ROUND(X13+X37,1)</f>
        <v>0</v>
      </c>
      <c r="Y38" s="825"/>
      <c r="Z38" s="826"/>
      <c r="AA38" s="3245">
        <f>ROUND(SUM(AA13,AA37),1)</f>
        <v>0</v>
      </c>
      <c r="AB38" s="2190"/>
      <c r="AC38" s="3707"/>
      <c r="AD38" s="3708">
        <f>ROUND(SUM(AD13,AD37),1)</f>
        <v>-4.2</v>
      </c>
      <c r="AE38" s="1129"/>
      <c r="AF38" s="1120"/>
      <c r="AG38" s="1157">
        <f>ROUND(SUM(AA38-AD38),1)</f>
        <v>4.2</v>
      </c>
      <c r="AH38" s="1139"/>
      <c r="AI38" s="1463">
        <f>ROUND(IF(AG38=0,0,AG38/ABS(AD38)),3)</f>
        <v>1</v>
      </c>
    </row>
    <row r="39" spans="1:35" s="388" customFormat="1" ht="19.399999999999999" customHeight="1" thickTop="1">
      <c r="A39" s="146" t="s">
        <v>14</v>
      </c>
      <c r="B39" s="852"/>
      <c r="C39" s="853"/>
      <c r="D39" s="852"/>
      <c r="E39" s="853"/>
      <c r="F39" s="3246"/>
      <c r="G39" s="853"/>
      <c r="H39" s="852"/>
      <c r="I39" s="853"/>
      <c r="J39" s="852"/>
      <c r="K39" s="853"/>
      <c r="L39" s="852"/>
      <c r="M39" s="853"/>
      <c r="N39" s="852"/>
      <c r="O39" s="853"/>
      <c r="P39" s="852"/>
      <c r="Q39" s="853"/>
      <c r="R39" s="852"/>
      <c r="S39" s="853"/>
      <c r="T39" s="852"/>
      <c r="U39" s="853"/>
      <c r="V39" s="852"/>
      <c r="W39" s="853"/>
      <c r="X39" s="852"/>
      <c r="Y39" s="853"/>
      <c r="Z39" s="853"/>
      <c r="AA39" s="3246"/>
      <c r="AB39" s="2192"/>
      <c r="AC39" s="2192"/>
      <c r="AD39" s="2192"/>
      <c r="AE39" s="1138"/>
      <c r="AF39" s="1138"/>
      <c r="AG39" s="1130"/>
      <c r="AH39" s="1122"/>
      <c r="AI39" s="1121"/>
    </row>
    <row r="40" spans="1:35" s="388" customFormat="1" ht="19.399999999999999" customHeight="1">
      <c r="B40" s="658"/>
      <c r="C40" s="804"/>
      <c r="D40" s="658"/>
      <c r="E40" s="658"/>
      <c r="F40" s="640"/>
      <c r="G40" s="658"/>
      <c r="H40" s="658"/>
      <c r="I40" s="658"/>
      <c r="J40" s="658"/>
      <c r="K40" s="658"/>
      <c r="L40" s="658"/>
      <c r="M40" s="658"/>
      <c r="N40" s="658"/>
      <c r="O40" s="658"/>
      <c r="P40" s="658"/>
      <c r="Q40" s="658"/>
      <c r="R40" s="658"/>
      <c r="S40" s="658"/>
      <c r="T40" s="658"/>
      <c r="U40" s="658"/>
      <c r="V40" s="658"/>
      <c r="W40" s="658"/>
      <c r="X40" s="658"/>
      <c r="Y40" s="658"/>
      <c r="Z40" s="854"/>
      <c r="AA40" s="2192"/>
      <c r="AB40" s="2192"/>
      <c r="AC40" s="2192"/>
      <c r="AD40" s="2192"/>
      <c r="AE40" s="1138"/>
      <c r="AF40" s="1138"/>
      <c r="AG40" s="1130"/>
      <c r="AH40" s="1122"/>
      <c r="AI40" s="1121"/>
    </row>
    <row r="41" spans="1:35" ht="15.75" customHeight="1">
      <c r="A41" s="391"/>
      <c r="B41" s="804"/>
      <c r="C41" s="804"/>
      <c r="D41" s="804"/>
      <c r="E41" s="804"/>
      <c r="F41" s="804"/>
      <c r="G41" s="804"/>
      <c r="H41" s="804"/>
      <c r="I41" s="804"/>
      <c r="J41" s="804"/>
      <c r="K41" s="804"/>
      <c r="L41" s="804"/>
      <c r="M41" s="804"/>
      <c r="N41" s="804"/>
      <c r="O41" s="804"/>
      <c r="P41" s="804"/>
      <c r="Q41" s="804"/>
      <c r="R41" s="804"/>
      <c r="S41" s="804"/>
      <c r="T41" s="804"/>
      <c r="U41" s="804"/>
      <c r="V41" s="804"/>
      <c r="W41" s="804"/>
      <c r="X41" s="804"/>
      <c r="Y41" s="804"/>
      <c r="Z41" s="804"/>
      <c r="AA41" s="137"/>
      <c r="AB41" s="137"/>
      <c r="AC41" s="137"/>
      <c r="AD41" s="3248"/>
      <c r="AE41" s="1124"/>
      <c r="AF41" s="1124"/>
      <c r="AG41" s="1130"/>
    </row>
    <row r="42" spans="1:35">
      <c r="A42" s="388"/>
      <c r="B42" s="388"/>
      <c r="C42" s="388"/>
      <c r="D42" s="388"/>
      <c r="E42" s="388"/>
      <c r="F42" s="388"/>
      <c r="G42" s="388"/>
      <c r="H42" s="388"/>
      <c r="I42" s="388"/>
      <c r="J42" s="388"/>
      <c r="K42" s="388"/>
      <c r="L42" s="388"/>
      <c r="M42" s="388"/>
      <c r="N42" s="388"/>
      <c r="O42" s="388"/>
      <c r="P42" s="388"/>
      <c r="Q42" s="388"/>
      <c r="R42" s="388"/>
      <c r="S42" s="388"/>
      <c r="T42" s="388"/>
      <c r="U42" s="388"/>
      <c r="V42" s="388"/>
      <c r="W42" s="388"/>
      <c r="X42" s="388"/>
      <c r="Y42" s="388"/>
      <c r="Z42" s="388"/>
    </row>
    <row r="43" spans="1:35" ht="13.5" customHeight="1">
      <c r="A43" s="679"/>
      <c r="B43" s="804"/>
      <c r="C43" s="804"/>
      <c r="D43" s="804"/>
      <c r="E43" s="804"/>
      <c r="F43" s="804"/>
      <c r="G43" s="804"/>
      <c r="H43" s="804"/>
      <c r="I43" s="804"/>
      <c r="J43" s="804"/>
      <c r="K43" s="804"/>
      <c r="L43" s="804"/>
      <c r="M43" s="804"/>
      <c r="N43" s="804"/>
      <c r="O43" s="804"/>
      <c r="P43" s="804"/>
      <c r="Q43" s="804"/>
      <c r="R43" s="804"/>
      <c r="S43" s="804"/>
      <c r="T43" s="804"/>
      <c r="U43" s="804"/>
      <c r="V43" s="804"/>
      <c r="W43" s="804"/>
      <c r="X43" s="804"/>
      <c r="Y43" s="804"/>
      <c r="Z43" s="804"/>
      <c r="AA43" s="137"/>
      <c r="AB43" s="137"/>
      <c r="AC43" s="137"/>
      <c r="AD43" s="3248"/>
      <c r="AE43" s="1124"/>
      <c r="AF43" s="1124"/>
      <c r="AG43" s="1130"/>
    </row>
    <row r="44" spans="1:35">
      <c r="A44" s="679"/>
      <c r="B44" s="804"/>
      <c r="C44" s="804"/>
      <c r="D44" s="804"/>
      <c r="E44" s="804"/>
      <c r="F44" s="804"/>
      <c r="G44" s="804"/>
      <c r="H44" s="804"/>
      <c r="I44" s="804"/>
      <c r="J44" s="804"/>
      <c r="K44" s="804"/>
      <c r="L44" s="804"/>
      <c r="M44" s="804"/>
      <c r="N44" s="804"/>
      <c r="O44" s="804"/>
      <c r="P44" s="804"/>
      <c r="Q44" s="804"/>
      <c r="R44" s="804"/>
      <c r="S44" s="804"/>
      <c r="T44" s="804"/>
      <c r="U44" s="804"/>
      <c r="V44" s="804"/>
      <c r="W44" s="804"/>
      <c r="X44" s="804"/>
      <c r="Y44" s="804"/>
      <c r="Z44" s="804"/>
      <c r="AA44" s="137"/>
      <c r="AB44" s="137"/>
      <c r="AC44" s="137"/>
      <c r="AD44" s="3248"/>
      <c r="AE44" s="1124"/>
      <c r="AF44" s="1124"/>
      <c r="AG44" s="1130"/>
    </row>
    <row r="45" spans="1:35">
      <c r="A45" s="679"/>
      <c r="B45" s="804"/>
      <c r="C45" s="804"/>
      <c r="D45" s="804"/>
      <c r="E45" s="804"/>
      <c r="F45" s="804"/>
      <c r="G45" s="804"/>
      <c r="H45" s="804"/>
      <c r="I45" s="804"/>
      <c r="J45" s="804"/>
      <c r="K45" s="804"/>
      <c r="L45" s="804"/>
      <c r="M45" s="804"/>
      <c r="N45" s="804"/>
      <c r="O45" s="804"/>
      <c r="P45" s="804"/>
      <c r="Q45" s="804"/>
      <c r="R45" s="804"/>
      <c r="S45" s="804"/>
      <c r="T45" s="804"/>
      <c r="U45" s="804"/>
      <c r="V45" s="804"/>
      <c r="W45" s="804"/>
      <c r="X45" s="804"/>
      <c r="Y45" s="804"/>
      <c r="Z45" s="804"/>
      <c r="AA45" s="137"/>
      <c r="AB45" s="137"/>
      <c r="AC45" s="137"/>
      <c r="AD45" s="3248"/>
      <c r="AE45" s="1124"/>
      <c r="AF45" s="1124"/>
    </row>
    <row r="46" spans="1:35">
      <c r="A46" s="679"/>
      <c r="B46" s="804"/>
      <c r="C46" s="804"/>
      <c r="D46" s="804"/>
      <c r="E46" s="804"/>
      <c r="F46" s="804"/>
      <c r="G46" s="804"/>
      <c r="H46" s="804"/>
      <c r="I46" s="804"/>
      <c r="J46" s="804"/>
      <c r="K46" s="804"/>
      <c r="L46" s="804"/>
      <c r="M46" s="804"/>
      <c r="N46" s="804"/>
      <c r="O46" s="804"/>
      <c r="P46" s="804"/>
      <c r="Q46" s="804"/>
      <c r="R46" s="804"/>
      <c r="S46" s="804"/>
      <c r="T46" s="804"/>
      <c r="U46" s="804"/>
      <c r="V46" s="804"/>
      <c r="W46" s="804"/>
      <c r="X46" s="804"/>
      <c r="Y46" s="804"/>
      <c r="Z46" s="804"/>
      <c r="AA46" s="137"/>
      <c r="AB46" s="137"/>
      <c r="AC46" s="137"/>
      <c r="AD46" s="3248"/>
      <c r="AE46" s="1124"/>
      <c r="AF46" s="1124"/>
    </row>
    <row r="47" spans="1:35">
      <c r="A47" s="679"/>
      <c r="B47" s="679"/>
      <c r="C47" s="679"/>
      <c r="D47" s="679"/>
      <c r="E47" s="679"/>
      <c r="F47" s="679"/>
      <c r="G47" s="679"/>
      <c r="H47" s="679"/>
      <c r="I47" s="679"/>
      <c r="J47" s="679"/>
      <c r="K47" s="679"/>
      <c r="L47" s="679"/>
      <c r="M47" s="679"/>
      <c r="N47" s="679"/>
      <c r="O47" s="679"/>
      <c r="P47" s="679"/>
      <c r="Q47" s="679"/>
      <c r="R47" s="679"/>
      <c r="S47" s="679"/>
      <c r="T47" s="679"/>
      <c r="U47" s="679"/>
      <c r="V47" s="679"/>
      <c r="W47" s="679"/>
      <c r="X47" s="679"/>
      <c r="Y47" s="679"/>
      <c r="Z47" s="679"/>
      <c r="AA47" s="104"/>
      <c r="AB47" s="104"/>
      <c r="AC47" s="104"/>
      <c r="AD47" s="190"/>
    </row>
  </sheetData>
  <mergeCells count="2">
    <mergeCell ref="AC9:AI9"/>
    <mergeCell ref="Z10:AI10"/>
  </mergeCells>
  <pageMargins left="0.25" right="0.25" top="0.5" bottom="0.25" header="0" footer="0.25"/>
  <pageSetup scale="43"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autoPageBreaks="0" fitToPage="1"/>
  </sheetPr>
  <dimension ref="A1:AI47"/>
  <sheetViews>
    <sheetView showGridLines="0" zoomScale="80" workbookViewId="0"/>
  </sheetViews>
  <sheetFormatPr defaultColWidth="8.84375" defaultRowHeight="12.5"/>
  <cols>
    <col min="1" max="1" width="46.84375" style="386" customWidth="1"/>
    <col min="2" max="2" width="10" style="386" customWidth="1"/>
    <col min="3" max="3" width="1.84375" style="386" customWidth="1"/>
    <col min="4" max="4" width="10.84375" style="386" customWidth="1"/>
    <col min="5" max="5" width="1.84375" style="386" customWidth="1"/>
    <col min="6" max="6" width="10" style="386" customWidth="1"/>
    <col min="7" max="7" width="1.84375" style="386" customWidth="1"/>
    <col min="8" max="8" width="10" style="386" customWidth="1"/>
    <col min="9" max="9" width="1.84375" style="386" customWidth="1"/>
    <col min="10" max="10" width="10.84375" style="386" customWidth="1"/>
    <col min="11" max="11" width="1.84375" style="386" customWidth="1"/>
    <col min="12" max="12" width="14.07421875" style="386" customWidth="1"/>
    <col min="13" max="13" width="1.84375" style="386" customWidth="1"/>
    <col min="14" max="14" width="15.4609375" style="386" bestFit="1" customWidth="1"/>
    <col min="15" max="15" width="1.84375" style="386" customWidth="1"/>
    <col min="16" max="16" width="13.53515625" style="386" bestFit="1" customWidth="1"/>
    <col min="17" max="17" width="1.84375" style="386" customWidth="1"/>
    <col min="18" max="18" width="15.07421875" style="386" bestFit="1" customWidth="1"/>
    <col min="19" max="19" width="1.84375" style="386" customWidth="1"/>
    <col min="20" max="20" width="11" style="386" bestFit="1" customWidth="1"/>
    <col min="21" max="21" width="1.84375" style="386" customWidth="1"/>
    <col min="22" max="22" width="12.84375" style="386" bestFit="1" customWidth="1"/>
    <col min="23" max="23" width="1.84375" style="386" customWidth="1"/>
    <col min="24" max="24" width="8.84375" style="2193" customWidth="1"/>
    <col min="25" max="26" width="1.84375" style="2193" customWidth="1"/>
    <col min="27" max="27" width="10.07421875" style="2193" customWidth="1"/>
    <col min="28" max="29" width="1.84375" style="2193" customWidth="1"/>
    <col min="30" max="30" width="10.07421875" style="2193" customWidth="1"/>
    <col min="31" max="31" width="1.84375" style="2193" customWidth="1"/>
    <col min="32" max="32" width="2.4609375" style="2193" customWidth="1"/>
    <col min="33" max="33" width="10.07421875" style="3269" bestFit="1" customWidth="1"/>
    <col min="34" max="34" width="1.84375" style="393" customWidth="1"/>
    <col min="35" max="35" width="11.07421875" style="386" customWidth="1"/>
    <col min="36" max="16384" width="8.84375" style="386"/>
  </cols>
  <sheetData>
    <row r="1" spans="1:35" ht="15.5">
      <c r="A1" s="635" t="s">
        <v>882</v>
      </c>
    </row>
    <row r="2" spans="1:35" ht="15.5">
      <c r="A2" s="813"/>
    </row>
    <row r="3" spans="1:35" ht="20.25" customHeight="1">
      <c r="A3" s="3510" t="s">
        <v>0</v>
      </c>
      <c r="B3" s="28"/>
      <c r="C3" s="28"/>
      <c r="D3" s="28"/>
      <c r="E3" s="28"/>
      <c r="F3" s="28"/>
      <c r="G3" s="28"/>
      <c r="H3" s="28"/>
      <c r="I3" s="28"/>
      <c r="J3" s="28"/>
      <c r="K3" s="26"/>
      <c r="L3" s="26"/>
      <c r="M3" s="28"/>
      <c r="N3" s="28"/>
      <c r="O3" s="28"/>
      <c r="P3" s="28"/>
      <c r="Q3" s="28"/>
      <c r="R3" s="28"/>
      <c r="S3" s="28"/>
      <c r="T3" s="28"/>
      <c r="U3" s="28"/>
      <c r="V3" s="28"/>
      <c r="W3" s="28"/>
      <c r="X3" s="104"/>
      <c r="Y3" s="104"/>
      <c r="Z3" s="104"/>
      <c r="AA3" s="104"/>
      <c r="AB3" s="104"/>
      <c r="AC3" s="104"/>
      <c r="AD3" s="104"/>
      <c r="AE3" s="104"/>
      <c r="AF3" s="104"/>
      <c r="AG3" s="3270"/>
      <c r="AI3" s="819" t="s">
        <v>227</v>
      </c>
    </row>
    <row r="4" spans="1:35" ht="20.25" customHeight="1">
      <c r="A4" s="1519" t="s">
        <v>226</v>
      </c>
      <c r="B4" s="28"/>
      <c r="C4" s="28"/>
      <c r="D4" s="28"/>
      <c r="E4" s="28"/>
      <c r="F4" s="28"/>
      <c r="G4" s="28"/>
      <c r="H4" s="26" t="s">
        <v>14</v>
      </c>
      <c r="I4" s="28"/>
      <c r="J4" s="28"/>
      <c r="K4" s="26"/>
      <c r="L4" s="26"/>
      <c r="M4" s="28"/>
      <c r="N4" s="28"/>
      <c r="O4" s="28"/>
      <c r="P4" s="28"/>
      <c r="Q4" s="28"/>
      <c r="R4" s="28"/>
      <c r="S4" s="28"/>
      <c r="T4" s="28"/>
      <c r="U4" s="28"/>
      <c r="V4" s="28"/>
      <c r="W4" s="28"/>
      <c r="X4" s="104" t="s">
        <v>14</v>
      </c>
      <c r="Y4" s="104"/>
      <c r="Z4" s="104"/>
      <c r="AA4" s="104"/>
      <c r="AB4" s="104"/>
      <c r="AC4" s="104"/>
      <c r="AD4" s="104"/>
      <c r="AE4" s="104"/>
      <c r="AF4" s="104"/>
      <c r="AG4" s="3270"/>
    </row>
    <row r="5" spans="1:35" ht="20.25" customHeight="1">
      <c r="A5" s="1519" t="s">
        <v>122</v>
      </c>
      <c r="B5" s="28"/>
      <c r="C5" s="28"/>
      <c r="D5" s="28"/>
      <c r="E5" s="28"/>
      <c r="F5" s="28"/>
      <c r="G5" s="28"/>
      <c r="H5" s="28"/>
      <c r="I5" s="28"/>
      <c r="J5" s="28"/>
      <c r="K5" s="26"/>
      <c r="L5" s="26"/>
      <c r="M5" s="28"/>
      <c r="N5" s="28"/>
      <c r="O5" s="28"/>
      <c r="P5" s="28"/>
      <c r="Q5" s="28"/>
      <c r="R5" s="28"/>
      <c r="S5" s="28"/>
      <c r="T5" s="28"/>
      <c r="U5" s="28"/>
      <c r="V5" s="28"/>
      <c r="W5" s="28"/>
      <c r="X5" s="104"/>
      <c r="Y5" s="104"/>
      <c r="Z5" s="104"/>
      <c r="AB5" s="3237"/>
      <c r="AC5" s="3237"/>
      <c r="AE5" s="3192"/>
      <c r="AG5" s="3270"/>
    </row>
    <row r="6" spans="1:35" ht="20.25" customHeight="1">
      <c r="A6" s="1519" t="str">
        <f>'Cashflow Governmental'!A6</f>
        <v xml:space="preserve">FISCAL YEAR 2021-2022   </v>
      </c>
      <c r="B6" s="28"/>
      <c r="C6" s="28"/>
      <c r="D6" s="28"/>
      <c r="E6" s="28"/>
      <c r="F6" s="28"/>
      <c r="G6" s="28"/>
      <c r="H6" s="28"/>
      <c r="I6" s="28"/>
      <c r="J6" s="28"/>
      <c r="K6" s="26"/>
      <c r="L6" s="26"/>
      <c r="M6" s="28"/>
      <c r="N6" s="28"/>
      <c r="O6" s="28"/>
      <c r="P6" s="28"/>
      <c r="Q6" s="28"/>
      <c r="R6" s="28"/>
      <c r="S6" s="28"/>
      <c r="T6" s="28"/>
      <c r="U6" s="28"/>
      <c r="V6" s="28"/>
      <c r="W6" s="28"/>
      <c r="X6" s="104"/>
      <c r="Y6" s="104"/>
      <c r="Z6" s="104"/>
      <c r="AA6" s="104"/>
      <c r="AB6" s="104"/>
      <c r="AC6" s="104"/>
      <c r="AD6" s="104"/>
      <c r="AE6" s="104"/>
      <c r="AF6" s="104"/>
      <c r="AG6" s="3270"/>
    </row>
    <row r="7" spans="1:35" ht="20.25" customHeight="1">
      <c r="A7" s="3510" t="s">
        <v>1277</v>
      </c>
      <c r="B7" s="28"/>
      <c r="C7" s="28"/>
      <c r="D7" s="28"/>
      <c r="E7" s="28"/>
      <c r="F7" s="28"/>
      <c r="G7" s="28"/>
      <c r="H7" s="28"/>
      <c r="I7" s="28"/>
      <c r="J7" s="28"/>
      <c r="K7" s="26"/>
      <c r="L7" s="28"/>
      <c r="M7" s="28"/>
      <c r="N7" s="28"/>
      <c r="O7" s="28"/>
      <c r="P7" s="28"/>
      <c r="Q7" s="28"/>
      <c r="R7" s="28"/>
      <c r="S7" s="28"/>
      <c r="T7" s="28"/>
      <c r="U7" s="28"/>
      <c r="V7" s="28"/>
      <c r="W7" s="28"/>
      <c r="X7" s="104"/>
      <c r="Y7" s="104"/>
      <c r="Z7" s="104"/>
      <c r="AA7" s="3191"/>
      <c r="AB7" s="3191"/>
      <c r="AC7" s="3191"/>
      <c r="AD7" s="3191"/>
      <c r="AE7" s="3191"/>
      <c r="AF7" s="3191"/>
      <c r="AG7" s="1646"/>
      <c r="AH7" s="1122"/>
      <c r="AI7" s="1121"/>
    </row>
    <row r="8" spans="1:35" s="388" customFormat="1" ht="19.399999999999999" customHeight="1">
      <c r="A8" s="317"/>
      <c r="B8" s="28"/>
      <c r="C8" s="28"/>
      <c r="D8" s="28"/>
      <c r="E8" s="28"/>
      <c r="F8" s="28"/>
      <c r="G8" s="28"/>
      <c r="H8" s="28"/>
      <c r="I8" s="28"/>
      <c r="J8" s="28"/>
      <c r="K8" s="28"/>
      <c r="L8" s="28"/>
      <c r="M8" s="28"/>
      <c r="N8" s="28"/>
      <c r="O8" s="28"/>
      <c r="P8" s="28"/>
      <c r="Q8" s="28"/>
      <c r="R8" s="28"/>
      <c r="S8" s="28"/>
      <c r="T8" s="28"/>
      <c r="U8" s="28"/>
      <c r="V8" s="28"/>
      <c r="W8" s="28"/>
      <c r="X8" s="104"/>
      <c r="Y8" s="104"/>
      <c r="Z8" s="104"/>
      <c r="AA8" s="3191"/>
      <c r="AB8" s="3191"/>
      <c r="AC8" s="3191"/>
      <c r="AD8" s="3191"/>
      <c r="AE8" s="3191"/>
      <c r="AF8" s="3191"/>
      <c r="AG8" s="1646"/>
      <c r="AH8" s="1122"/>
      <c r="AI8" s="1121"/>
    </row>
    <row r="9" spans="1:35" s="388" customFormat="1" ht="19.399999999999999" customHeight="1">
      <c r="A9" s="28"/>
      <c r="B9" s="28"/>
      <c r="C9" s="28"/>
      <c r="D9" s="28"/>
      <c r="E9" s="28"/>
      <c r="F9" s="28"/>
      <c r="G9" s="28"/>
      <c r="H9" s="26"/>
      <c r="I9" s="26"/>
      <c r="J9" s="26"/>
      <c r="K9" s="28"/>
      <c r="L9" s="28"/>
      <c r="M9" s="28"/>
      <c r="N9" s="28"/>
      <c r="O9" s="28"/>
      <c r="P9" s="28"/>
      <c r="Q9" s="28"/>
      <c r="R9" s="28"/>
      <c r="S9" s="28"/>
      <c r="T9" s="28"/>
      <c r="U9" s="28"/>
      <c r="V9" s="28"/>
      <c r="W9" s="28"/>
      <c r="X9" s="104"/>
      <c r="Y9" s="104"/>
      <c r="Z9" s="104"/>
      <c r="AA9" s="3191"/>
      <c r="AB9" s="3191"/>
      <c r="AC9" s="3983"/>
      <c r="AD9" s="3984"/>
      <c r="AE9" s="3984"/>
      <c r="AF9" s="3984"/>
      <c r="AG9" s="3984"/>
      <c r="AH9" s="3984"/>
      <c r="AI9" s="3984"/>
    </row>
    <row r="10" spans="1:35" s="388" customFormat="1" ht="19.399999999999999" customHeight="1">
      <c r="A10" s="146"/>
      <c r="B10" s="146"/>
      <c r="C10" s="146"/>
      <c r="D10" s="146"/>
      <c r="E10" s="146"/>
      <c r="F10" s="146"/>
      <c r="G10" s="146"/>
      <c r="H10" s="146"/>
      <c r="I10" s="146"/>
      <c r="J10" s="146"/>
      <c r="K10" s="146"/>
      <c r="L10" s="146"/>
      <c r="M10" s="146"/>
      <c r="N10" s="146"/>
      <c r="O10" s="146"/>
      <c r="P10" s="146"/>
      <c r="Q10" s="146"/>
      <c r="R10" s="146"/>
      <c r="S10" s="146"/>
      <c r="T10" s="146"/>
      <c r="U10" s="146"/>
      <c r="V10" s="2099"/>
      <c r="W10" s="820"/>
      <c r="X10" s="3249"/>
      <c r="Y10" s="3247"/>
      <c r="Z10" s="1648"/>
      <c r="AA10" s="3982" t="s">
        <v>1563</v>
      </c>
      <c r="AB10" s="3985"/>
      <c r="AC10" s="3985"/>
      <c r="AD10" s="3985"/>
      <c r="AE10" s="3985"/>
      <c r="AF10" s="3985"/>
      <c r="AG10" s="3985"/>
      <c r="AH10" s="3985"/>
      <c r="AI10" s="3985"/>
    </row>
    <row r="11" spans="1:35" s="388" customFormat="1" ht="19.399999999999999" customHeight="1">
      <c r="A11" s="146"/>
      <c r="B11" s="758" t="str">
        <f>'Cashflow Governmental'!C13</f>
        <v>2021</v>
      </c>
      <c r="C11" s="246"/>
      <c r="D11" s="246"/>
      <c r="E11" s="246"/>
      <c r="F11" s="246"/>
      <c r="G11" s="246"/>
      <c r="H11" s="246"/>
      <c r="I11" s="246"/>
      <c r="J11" s="246"/>
      <c r="K11" s="246"/>
      <c r="L11" s="246"/>
      <c r="M11" s="246"/>
      <c r="N11" s="246"/>
      <c r="O11" s="246"/>
      <c r="P11" s="246"/>
      <c r="Q11" s="246"/>
      <c r="R11" s="246"/>
      <c r="S11" s="246"/>
      <c r="T11" s="758">
        <f>'Cashflow Governmental'!U13</f>
        <v>2022</v>
      </c>
      <c r="U11" s="246"/>
      <c r="V11" s="760"/>
      <c r="W11" s="246"/>
      <c r="X11" s="1637"/>
      <c r="Y11" s="1637"/>
      <c r="Z11" s="3217"/>
      <c r="AA11" s="3196"/>
      <c r="AB11" s="3196"/>
      <c r="AC11" s="3196"/>
      <c r="AD11" s="3271"/>
      <c r="AE11" s="3271"/>
      <c r="AF11" s="3196"/>
      <c r="AG11" s="3199" t="s">
        <v>7</v>
      </c>
      <c r="AH11" s="1125"/>
      <c r="AI11" s="1126" t="s">
        <v>8</v>
      </c>
    </row>
    <row r="12" spans="1:35" s="388" customFormat="1" ht="19.399999999999999" customHeight="1">
      <c r="A12" s="146"/>
      <c r="B12" s="760" t="s">
        <v>123</v>
      </c>
      <c r="C12" s="246"/>
      <c r="D12" s="823" t="s">
        <v>124</v>
      </c>
      <c r="E12" s="246"/>
      <c r="F12" s="823" t="s">
        <v>125</v>
      </c>
      <c r="G12" s="246"/>
      <c r="H12" s="823" t="s">
        <v>126</v>
      </c>
      <c r="I12" s="246"/>
      <c r="J12" s="824" t="s">
        <v>224</v>
      </c>
      <c r="K12" s="246"/>
      <c r="L12" s="824" t="s">
        <v>142</v>
      </c>
      <c r="M12" s="246"/>
      <c r="N12" s="824" t="s">
        <v>143</v>
      </c>
      <c r="O12" s="246"/>
      <c r="P12" s="823" t="s">
        <v>130</v>
      </c>
      <c r="Q12" s="246"/>
      <c r="R12" s="823" t="s">
        <v>131</v>
      </c>
      <c r="S12" s="246"/>
      <c r="T12" s="824" t="s">
        <v>132</v>
      </c>
      <c r="U12" s="246"/>
      <c r="V12" s="823" t="s">
        <v>133</v>
      </c>
      <c r="W12" s="246"/>
      <c r="X12" s="3250" t="s">
        <v>184</v>
      </c>
      <c r="Y12" s="1637"/>
      <c r="Z12" s="1637"/>
      <c r="AA12" s="3251">
        <f>'Cashflow Governmental'!AB14</f>
        <v>2021</v>
      </c>
      <c r="AB12" s="3251"/>
      <c r="AC12" s="3235"/>
      <c r="AD12" s="3419">
        <f>'Cashflow Governmental'!AE14</f>
        <v>2020</v>
      </c>
      <c r="AE12" s="3235"/>
      <c r="AF12" s="3235"/>
      <c r="AG12" s="3202" t="s">
        <v>11</v>
      </c>
      <c r="AH12" s="1128"/>
      <c r="AI12" s="1127" t="s">
        <v>12</v>
      </c>
    </row>
    <row r="13" spans="1:35" s="1648" customFormat="1" ht="19.399999999999999" customHeight="1">
      <c r="A13" s="1637" t="s">
        <v>135</v>
      </c>
      <c r="B13" s="1638">
        <v>40.200000000000003</v>
      </c>
      <c r="C13" s="1639"/>
      <c r="D13" s="1638">
        <f>B38</f>
        <v>40.299999999999997</v>
      </c>
      <c r="E13" s="1639"/>
      <c r="F13" s="1638">
        <f>D38</f>
        <v>40.5</v>
      </c>
      <c r="G13" s="1639"/>
      <c r="H13" s="1638">
        <f>F38</f>
        <v>41.7</v>
      </c>
      <c r="I13" s="1640"/>
      <c r="J13" s="1638">
        <f>H38</f>
        <v>42.3</v>
      </c>
      <c r="K13" s="1639"/>
      <c r="L13" s="1638">
        <f>J38</f>
        <v>42.1</v>
      </c>
      <c r="M13" s="1640"/>
      <c r="N13" s="1638"/>
      <c r="O13" s="1640"/>
      <c r="P13" s="1638"/>
      <c r="Q13" s="1640"/>
      <c r="R13" s="1638"/>
      <c r="S13" s="1640"/>
      <c r="T13" s="1638"/>
      <c r="U13" s="1640"/>
      <c r="V13" s="1638"/>
      <c r="W13" s="1640"/>
      <c r="X13" s="1638"/>
      <c r="Y13" s="1641"/>
      <c r="Z13" s="1642"/>
      <c r="AA13" s="3252">
        <f>+B13</f>
        <v>40.200000000000003</v>
      </c>
      <c r="AB13" s="3253"/>
      <c r="AC13" s="3254"/>
      <c r="AD13" s="1638">
        <v>14.299999999999997</v>
      </c>
      <c r="AE13" s="1643"/>
      <c r="AF13" s="1644"/>
      <c r="AG13" s="1645">
        <f>ROUND(SUM(AA13-AD13),1)</f>
        <v>25.9</v>
      </c>
      <c r="AH13" s="1646"/>
      <c r="AI13" s="1647">
        <f>ROUND(IF(AG13=0,0,AG13/(AD13)),3)</f>
        <v>1.8109999999999999</v>
      </c>
    </row>
    <row r="14" spans="1:35" s="388" customFormat="1" ht="19.399999999999999" customHeight="1">
      <c r="A14" s="146"/>
      <c r="B14" s="376"/>
      <c r="C14" s="376"/>
      <c r="D14" s="376"/>
      <c r="E14" s="376"/>
      <c r="F14" s="3200"/>
      <c r="G14" s="376"/>
      <c r="H14" s="831"/>
      <c r="I14" s="831"/>
      <c r="J14" s="831"/>
      <c r="K14" s="376"/>
      <c r="L14" s="831"/>
      <c r="M14" s="831"/>
      <c r="N14" s="831"/>
      <c r="O14" s="831"/>
      <c r="P14" s="831"/>
      <c r="Q14" s="831"/>
      <c r="R14" s="831"/>
      <c r="S14" s="831"/>
      <c r="T14" s="831"/>
      <c r="U14" s="831"/>
      <c r="V14" s="831"/>
      <c r="W14" s="831"/>
      <c r="X14" s="3240"/>
      <c r="Y14" s="3239"/>
      <c r="Z14" s="3255"/>
      <c r="AA14" s="3256"/>
      <c r="AB14" s="3257"/>
      <c r="AC14" s="3258"/>
      <c r="AD14" s="3256"/>
      <c r="AE14" s="3256"/>
      <c r="AF14" s="3236"/>
      <c r="AG14" s="3205"/>
      <c r="AH14" s="1122"/>
      <c r="AI14" s="1121"/>
    </row>
    <row r="15" spans="1:35" s="388" customFormat="1" ht="19.399999999999999" customHeight="1">
      <c r="A15" s="246" t="s">
        <v>13</v>
      </c>
      <c r="B15" s="376"/>
      <c r="C15" s="376"/>
      <c r="D15" s="376"/>
      <c r="E15" s="376"/>
      <c r="F15" s="3200"/>
      <c r="G15" s="376"/>
      <c r="H15" s="831"/>
      <c r="I15" s="831"/>
      <c r="J15" s="831"/>
      <c r="K15" s="376"/>
      <c r="L15" s="831"/>
      <c r="M15" s="831"/>
      <c r="N15" s="831"/>
      <c r="O15" s="831"/>
      <c r="P15" s="831"/>
      <c r="Q15" s="831"/>
      <c r="R15" s="831"/>
      <c r="S15" s="831"/>
      <c r="T15" s="831"/>
      <c r="U15" s="831"/>
      <c r="V15" s="831"/>
      <c r="W15" s="831"/>
      <c r="X15" s="3240"/>
      <c r="Y15" s="3239"/>
      <c r="Z15" s="3255"/>
      <c r="AA15" s="3256"/>
      <c r="AB15" s="3257"/>
      <c r="AC15" s="3258"/>
      <c r="AD15" s="3256"/>
      <c r="AE15" s="3256"/>
      <c r="AF15" s="3236"/>
      <c r="AG15" s="3205"/>
      <c r="AH15" s="1122"/>
      <c r="AI15" s="1121"/>
    </row>
    <row r="16" spans="1:35" s="1648" customFormat="1" ht="19.399999999999999" customHeight="1">
      <c r="A16" s="1649" t="s">
        <v>177</v>
      </c>
      <c r="B16" s="1830">
        <v>0.1</v>
      </c>
      <c r="C16" s="234"/>
      <c r="D16" s="1830">
        <v>0.19999999999999998</v>
      </c>
      <c r="E16" s="234"/>
      <c r="F16" s="1650">
        <v>1.3</v>
      </c>
      <c r="G16" s="1672"/>
      <c r="H16" s="1650">
        <v>0.69999999999999973</v>
      </c>
      <c r="I16" s="1651"/>
      <c r="J16" s="1650">
        <v>-0.19999999999999973</v>
      </c>
      <c r="K16" s="1564"/>
      <c r="L16" s="1650">
        <f>$AA16-$B16-$D16-$F16-$H16-$J16</f>
        <v>0.59999999999999987</v>
      </c>
      <c r="M16" s="1652"/>
      <c r="N16" s="1650"/>
      <c r="O16" s="1652"/>
      <c r="P16" s="1650"/>
      <c r="Q16" s="1652"/>
      <c r="R16" s="1650"/>
      <c r="S16" s="1652"/>
      <c r="T16" s="1650"/>
      <c r="U16" s="1652"/>
      <c r="V16" s="1650"/>
      <c r="W16" s="1652"/>
      <c r="X16" s="1650"/>
      <c r="Y16" s="1653"/>
      <c r="Z16" s="1654"/>
      <c r="AA16" s="1650">
        <v>2.7</v>
      </c>
      <c r="AB16" s="3681"/>
      <c r="AC16" s="3682"/>
      <c r="AD16" s="1650">
        <v>0</v>
      </c>
      <c r="AE16" s="1655"/>
      <c r="AF16" s="1656"/>
      <c r="AG16" s="1657">
        <f>ROUND(SUM(AA16-AD16),1)</f>
        <v>2.7</v>
      </c>
      <c r="AH16" s="1646"/>
      <c r="AI16" s="1914">
        <f>ROUND(IF(AD16=0,1,AG16/ABS(AD16)),3)</f>
        <v>1</v>
      </c>
    </row>
    <row r="17" spans="1:35" s="388" customFormat="1" ht="24" customHeight="1">
      <c r="A17" s="246" t="s">
        <v>149</v>
      </c>
      <c r="B17" s="844">
        <f>ROUND(SUM(B16),1)</f>
        <v>0.1</v>
      </c>
      <c r="C17" s="379"/>
      <c r="D17" s="844">
        <f>ROUND(SUM(D16),1)</f>
        <v>0.2</v>
      </c>
      <c r="E17" s="379"/>
      <c r="F17" s="1684">
        <f>ROUND(SUM(F16),1)</f>
        <v>1.3</v>
      </c>
      <c r="G17" s="379"/>
      <c r="H17" s="844">
        <f>ROUND(SUM(H16),1)</f>
        <v>0.7</v>
      </c>
      <c r="I17" s="838"/>
      <c r="J17" s="3008">
        <f>ROUND(SUM(J16),1)</f>
        <v>-0.2</v>
      </c>
      <c r="K17" s="379"/>
      <c r="L17" s="844">
        <f>ROUND(SUM(L16),1)</f>
        <v>0.6</v>
      </c>
      <c r="M17" s="839"/>
      <c r="N17" s="844">
        <f>ROUND(SUM(N16),1)</f>
        <v>0</v>
      </c>
      <c r="O17" s="839"/>
      <c r="P17" s="844">
        <f>ROUND(SUM(P16),1)</f>
        <v>0</v>
      </c>
      <c r="Q17" s="839"/>
      <c r="R17" s="2095">
        <f>ROUND(SUM(R16),1)</f>
        <v>0</v>
      </c>
      <c r="S17" s="839"/>
      <c r="T17" s="844">
        <f>ROUND(SUM(T16),1)</f>
        <v>0</v>
      </c>
      <c r="U17" s="839"/>
      <c r="V17" s="2101">
        <f>ROUND(SUM(V16),1)</f>
        <v>0</v>
      </c>
      <c r="W17" s="839"/>
      <c r="X17" s="3259">
        <f>ROUND(SUM(X16),1)</f>
        <v>0</v>
      </c>
      <c r="Y17" s="3241"/>
      <c r="Z17" s="3242"/>
      <c r="AA17" s="3260">
        <f>ROUND(SUM(AA16),1)</f>
        <v>2.7</v>
      </c>
      <c r="AB17" s="3683"/>
      <c r="AC17" s="3684"/>
      <c r="AD17" s="1684">
        <f>ROUND(SUM(AD16),1)</f>
        <v>0</v>
      </c>
      <c r="AE17" s="3260"/>
      <c r="AF17" s="1656"/>
      <c r="AG17" s="3272">
        <f>ROUND(SUM(AG16),1)</f>
        <v>2.7</v>
      </c>
      <c r="AH17" s="1155"/>
      <c r="AI17" s="1915">
        <f>ROUND(IF(AD17=0,1,AG17/ABS(AD17)),3)</f>
        <v>1</v>
      </c>
    </row>
    <row r="18" spans="1:35" s="388" customFormat="1" ht="19.399999999999999" customHeight="1">
      <c r="A18" s="146"/>
      <c r="B18" s="378"/>
      <c r="C18" s="234"/>
      <c r="D18" s="378" t="s">
        <v>14</v>
      </c>
      <c r="E18" s="234"/>
      <c r="F18" s="2183"/>
      <c r="G18" s="234"/>
      <c r="H18" s="842"/>
      <c r="I18" s="834"/>
      <c r="J18" s="842"/>
      <c r="K18" s="234"/>
      <c r="L18" s="842"/>
      <c r="M18" s="834"/>
      <c r="N18" s="842"/>
      <c r="O18" s="834"/>
      <c r="P18" s="842"/>
      <c r="Q18" s="834"/>
      <c r="R18" s="842"/>
      <c r="S18" s="834"/>
      <c r="T18" s="842"/>
      <c r="U18" s="834"/>
      <c r="V18" s="842"/>
      <c r="W18" s="834"/>
      <c r="X18" s="3261"/>
      <c r="Y18" s="1653"/>
      <c r="Z18" s="1654"/>
      <c r="AA18" s="3685"/>
      <c r="AB18" s="3681"/>
      <c r="AC18" s="3686"/>
      <c r="AD18" s="3261"/>
      <c r="AE18" s="1673"/>
      <c r="AF18" s="1656"/>
      <c r="AG18" s="1673"/>
      <c r="AH18" s="1122"/>
      <c r="AI18" s="1121"/>
    </row>
    <row r="19" spans="1:35" s="388" customFormat="1" ht="19.399999999999999" customHeight="1">
      <c r="A19" s="146"/>
      <c r="B19" s="234"/>
      <c r="C19" s="234"/>
      <c r="D19" s="234" t="s">
        <v>14</v>
      </c>
      <c r="E19" s="234"/>
      <c r="F19" s="1564"/>
      <c r="G19" s="234"/>
      <c r="H19" s="834"/>
      <c r="I19" s="834"/>
      <c r="J19" s="834"/>
      <c r="K19" s="234"/>
      <c r="L19" s="834"/>
      <c r="M19" s="834"/>
      <c r="N19" s="834"/>
      <c r="O19" s="834"/>
      <c r="P19" s="834"/>
      <c r="Q19" s="834"/>
      <c r="R19" s="834"/>
      <c r="S19" s="834"/>
      <c r="T19" s="834"/>
      <c r="U19" s="834"/>
      <c r="V19" s="834"/>
      <c r="W19" s="834"/>
      <c r="X19" s="1652"/>
      <c r="Y19" s="1653"/>
      <c r="Z19" s="1654"/>
      <c r="AA19" s="3262"/>
      <c r="AB19" s="3681"/>
      <c r="AC19" s="3682"/>
      <c r="AD19" s="1652"/>
      <c r="AE19" s="3262"/>
      <c r="AF19" s="1656"/>
      <c r="AG19" s="1673"/>
      <c r="AH19" s="1122"/>
      <c r="AI19" s="1121"/>
    </row>
    <row r="20" spans="1:35" s="388" customFormat="1" ht="19.399999999999999" customHeight="1">
      <c r="A20" s="246" t="s">
        <v>22</v>
      </c>
      <c r="B20" s="234"/>
      <c r="C20" s="234"/>
      <c r="D20" s="234" t="s">
        <v>14</v>
      </c>
      <c r="E20" s="234"/>
      <c r="F20" s="1564"/>
      <c r="G20" s="234"/>
      <c r="H20" s="834"/>
      <c r="I20" s="834"/>
      <c r="J20" s="834"/>
      <c r="K20" s="234"/>
      <c r="L20" s="834"/>
      <c r="M20" s="834"/>
      <c r="N20" s="834"/>
      <c r="O20" s="834"/>
      <c r="P20" s="834"/>
      <c r="Q20" s="834"/>
      <c r="R20" s="834"/>
      <c r="S20" s="834"/>
      <c r="T20" s="834"/>
      <c r="U20" s="834"/>
      <c r="V20" s="834"/>
      <c r="W20" s="834"/>
      <c r="X20" s="1652"/>
      <c r="Y20" s="1653"/>
      <c r="Z20" s="1654"/>
      <c r="AA20" s="3262"/>
      <c r="AB20" s="3681"/>
      <c r="AC20" s="3682"/>
      <c r="AD20" s="1652"/>
      <c r="AE20" s="3262"/>
      <c r="AF20" s="1656"/>
      <c r="AG20" s="1673"/>
      <c r="AH20" s="1122"/>
      <c r="AI20" s="1121"/>
    </row>
    <row r="21" spans="1:35" s="388" customFormat="1" ht="19.399999999999999" customHeight="1">
      <c r="A21" s="146" t="s">
        <v>151</v>
      </c>
      <c r="B21" s="235"/>
      <c r="C21" s="234"/>
      <c r="D21" s="234"/>
      <c r="E21" s="234"/>
      <c r="F21" s="1564"/>
      <c r="G21" s="234"/>
      <c r="H21" s="834"/>
      <c r="I21" s="834"/>
      <c r="J21" s="834"/>
      <c r="K21" s="234"/>
      <c r="L21" s="834"/>
      <c r="M21" s="834"/>
      <c r="N21" s="834"/>
      <c r="O21" s="834"/>
      <c r="P21" s="834"/>
      <c r="Q21" s="834"/>
      <c r="R21" s="834"/>
      <c r="S21" s="834"/>
      <c r="T21" s="834"/>
      <c r="U21" s="834"/>
      <c r="V21" s="834"/>
      <c r="W21" s="834"/>
      <c r="X21" s="1652"/>
      <c r="Y21" s="1653"/>
      <c r="Z21" s="1654"/>
      <c r="AA21" s="1664"/>
      <c r="AB21" s="3687"/>
      <c r="AC21" s="3688"/>
      <c r="AD21" s="1652"/>
      <c r="AE21" s="1664"/>
      <c r="AF21" s="1662"/>
      <c r="AG21" s="1673"/>
      <c r="AH21" s="1122"/>
      <c r="AI21" s="1121"/>
    </row>
    <row r="22" spans="1:35" s="1648" customFormat="1" ht="19.399999999999999" customHeight="1">
      <c r="A22" s="190" t="s">
        <v>217</v>
      </c>
      <c r="B22" s="843">
        <v>0</v>
      </c>
      <c r="C22" s="234"/>
      <c r="D22" s="843">
        <v>0</v>
      </c>
      <c r="E22" s="234"/>
      <c r="F22" s="1672">
        <v>0</v>
      </c>
      <c r="G22" s="234"/>
      <c r="H22" s="1672">
        <v>0.1</v>
      </c>
      <c r="I22" s="1652"/>
      <c r="J22" s="1672">
        <v>0</v>
      </c>
      <c r="K22" s="1564"/>
      <c r="L22" s="1672">
        <f>$AA22-$B22-$D22-$F22-$H22-$J22</f>
        <v>0.1</v>
      </c>
      <c r="M22" s="1652"/>
      <c r="N22" s="1672"/>
      <c r="O22" s="1652"/>
      <c r="P22" s="1672"/>
      <c r="Q22" s="1652"/>
      <c r="R22" s="1672"/>
      <c r="S22" s="1652"/>
      <c r="T22" s="1672"/>
      <c r="U22" s="1652"/>
      <c r="V22" s="1672"/>
      <c r="W22" s="1652"/>
      <c r="X22" s="1672"/>
      <c r="Y22" s="1653"/>
      <c r="Z22" s="1654"/>
      <c r="AA22" s="1659">
        <v>0.2</v>
      </c>
      <c r="AB22" s="3681"/>
      <c r="AC22" s="3682"/>
      <c r="AD22" s="1659">
        <v>0.1</v>
      </c>
      <c r="AE22" s="1661"/>
      <c r="AF22" s="1662"/>
      <c r="AG22" s="1657">
        <f>ROUND(SUM(AA22-AD22),1)</f>
        <v>0.1</v>
      </c>
      <c r="AH22" s="1646"/>
      <c r="AI22" s="1663">
        <f>ROUND(IF(AD22=0,0,AG22/ABS(AD22)),3)</f>
        <v>1</v>
      </c>
    </row>
    <row r="23" spans="1:35" s="1648" customFormat="1" ht="19.399999999999999" customHeight="1">
      <c r="A23" s="1649" t="s">
        <v>169</v>
      </c>
      <c r="B23" s="843">
        <v>0</v>
      </c>
      <c r="C23" s="234"/>
      <c r="D23" s="843">
        <v>0</v>
      </c>
      <c r="E23" s="234"/>
      <c r="F23" s="1672">
        <v>0</v>
      </c>
      <c r="G23" s="234"/>
      <c r="H23" s="1672">
        <v>0</v>
      </c>
      <c r="I23" s="1652"/>
      <c r="J23" s="1672">
        <v>0</v>
      </c>
      <c r="K23" s="1564"/>
      <c r="L23" s="1672">
        <f>$AA23-$B23-$D23-$F23-$H23-$J23</f>
        <v>0</v>
      </c>
      <c r="M23" s="1652"/>
      <c r="N23" s="1672"/>
      <c r="O23" s="1659"/>
      <c r="P23" s="1672"/>
      <c r="Q23" s="1652"/>
      <c r="R23" s="1672"/>
      <c r="S23" s="1652"/>
      <c r="T23" s="1672"/>
      <c r="U23" s="1652"/>
      <c r="V23" s="1672"/>
      <c r="W23" s="1652"/>
      <c r="X23" s="1672"/>
      <c r="Y23" s="1653"/>
      <c r="Z23" s="1654"/>
      <c r="AA23" s="1659">
        <v>0</v>
      </c>
      <c r="AB23" s="3681"/>
      <c r="AC23" s="3682"/>
      <c r="AD23" s="1659">
        <v>0</v>
      </c>
      <c r="AE23" s="1664"/>
      <c r="AF23" s="1662"/>
      <c r="AG23" s="1657">
        <f>ROUND(SUM(AA23-AD23),1)</f>
        <v>0</v>
      </c>
      <c r="AH23" s="1665"/>
      <c r="AI23" s="1663">
        <f>ROUND(IF(AD23=0,0,AG23/ABS(AD23)),3)</f>
        <v>0</v>
      </c>
    </row>
    <row r="24" spans="1:35" s="1648" customFormat="1" ht="19.399999999999999" customHeight="1">
      <c r="A24" s="190" t="s">
        <v>154</v>
      </c>
      <c r="B24" s="843">
        <v>0</v>
      </c>
      <c r="C24" s="234"/>
      <c r="D24" s="843">
        <v>0</v>
      </c>
      <c r="E24" s="234"/>
      <c r="F24" s="1672">
        <v>0.1</v>
      </c>
      <c r="G24" s="234"/>
      <c r="H24" s="1650">
        <v>0</v>
      </c>
      <c r="I24" s="1652"/>
      <c r="J24" s="1650">
        <v>0</v>
      </c>
      <c r="K24" s="1564"/>
      <c r="L24" s="1650">
        <f>$AA24-$B24-$D24-$F24-$H24-$J24</f>
        <v>0</v>
      </c>
      <c r="M24" s="1652"/>
      <c r="N24" s="1672"/>
      <c r="O24" s="1652"/>
      <c r="P24" s="1650"/>
      <c r="Q24" s="1652"/>
      <c r="R24" s="1672"/>
      <c r="S24" s="1652"/>
      <c r="T24" s="1672"/>
      <c r="U24" s="1652"/>
      <c r="V24" s="1672"/>
      <c r="W24" s="1652"/>
      <c r="X24" s="1672"/>
      <c r="Y24" s="1653"/>
      <c r="Z24" s="1654"/>
      <c r="AA24" s="3689">
        <v>0.1</v>
      </c>
      <c r="AB24" s="3681"/>
      <c r="AC24" s="3682"/>
      <c r="AD24" s="3689">
        <v>0.1</v>
      </c>
      <c r="AE24" s="1660"/>
      <c r="AF24" s="1662"/>
      <c r="AG24" s="1657">
        <f>ROUND(SUM(AA24-AD24),1)</f>
        <v>0</v>
      </c>
      <c r="AH24" s="1646"/>
      <c r="AI24" s="1658">
        <f>ROUND(IF(AG24=0,0,AG24/ABS(AD24)),3)</f>
        <v>0</v>
      </c>
    </row>
    <row r="25" spans="1:35" s="388" customFormat="1" ht="22.5" customHeight="1">
      <c r="A25" s="246" t="s">
        <v>155</v>
      </c>
      <c r="B25" s="2102">
        <f>ROUND(SUM(B22:B24),1)</f>
        <v>0</v>
      </c>
      <c r="C25" s="379"/>
      <c r="D25" s="2119">
        <f>ROUND(SUM(D22:D24),1)</f>
        <v>0</v>
      </c>
      <c r="E25" s="379"/>
      <c r="F25" s="3680">
        <f>ROUND(SUM(F22:F24),1)</f>
        <v>0.1</v>
      </c>
      <c r="G25" s="379"/>
      <c r="H25" s="856">
        <f>ROUND(SUM(H22:H24),1)</f>
        <v>0.1</v>
      </c>
      <c r="I25" s="839"/>
      <c r="J25" s="2102">
        <f>ROUND(SUM(J22:J24),1)</f>
        <v>0</v>
      </c>
      <c r="K25" s="379"/>
      <c r="L25" s="2102">
        <f>ROUND(SUM(L22:L24),1)</f>
        <v>0.1</v>
      </c>
      <c r="M25" s="839"/>
      <c r="N25" s="1959">
        <f>ROUND(SUM(N22:N24),1)</f>
        <v>0</v>
      </c>
      <c r="O25" s="848"/>
      <c r="P25" s="856">
        <f>ROUND(SUM(P22:P24),1)</f>
        <v>0</v>
      </c>
      <c r="Q25" s="839"/>
      <c r="R25" s="2102">
        <f>ROUND(SUM(R22:R24),1)</f>
        <v>0</v>
      </c>
      <c r="S25" s="839"/>
      <c r="T25" s="2119">
        <f>ROUND(SUM(T22:T24),1)</f>
        <v>0</v>
      </c>
      <c r="U25" s="848"/>
      <c r="V25" s="2102">
        <f>ROUND(SUM(V22:V24),1)</f>
        <v>0</v>
      </c>
      <c r="W25" s="848"/>
      <c r="X25" s="3263">
        <f>ROUND(SUM(X22:X24),1)</f>
        <v>0</v>
      </c>
      <c r="Y25" s="3241"/>
      <c r="Z25" s="3242"/>
      <c r="AA25" s="3264">
        <f>ROUND(SUM(AA22:AA24),1)</f>
        <v>0.3</v>
      </c>
      <c r="AB25" s="3683"/>
      <c r="AC25" s="3684"/>
      <c r="AD25" s="2182">
        <f>ROUND(SUM(AD22:AD24),1)</f>
        <v>0.2</v>
      </c>
      <c r="AE25" s="3264"/>
      <c r="AF25" s="1662"/>
      <c r="AG25" s="3272">
        <f>ROUND(SUM(AG22:AG24),1)</f>
        <v>0.1</v>
      </c>
      <c r="AH25" s="1133"/>
      <c r="AI25" s="1156">
        <f>ROUND(IF(AD25=0,0,AG25/ABS(AD25)),3)</f>
        <v>0.5</v>
      </c>
    </row>
    <row r="26" spans="1:35" s="388" customFormat="1" ht="19.399999999999999" customHeight="1">
      <c r="A26" s="146"/>
      <c r="B26" s="378"/>
      <c r="C26" s="234"/>
      <c r="D26" s="378" t="s">
        <v>14</v>
      </c>
      <c r="E26" s="234"/>
      <c r="F26" s="2183"/>
      <c r="G26" s="234"/>
      <c r="H26" s="842"/>
      <c r="I26" s="834"/>
      <c r="J26" s="842"/>
      <c r="K26" s="234"/>
      <c r="L26" s="842"/>
      <c r="M26" s="834"/>
      <c r="N26" s="842"/>
      <c r="O26" s="834"/>
      <c r="P26" s="842"/>
      <c r="Q26" s="834"/>
      <c r="R26" s="842"/>
      <c r="S26" s="834"/>
      <c r="T26" s="842"/>
      <c r="U26" s="834"/>
      <c r="V26" s="842"/>
      <c r="W26" s="834"/>
      <c r="X26" s="3261"/>
      <c r="Y26" s="1653"/>
      <c r="Z26" s="1654"/>
      <c r="AA26" s="3685"/>
      <c r="AB26" s="3681"/>
      <c r="AC26" s="3686"/>
      <c r="AD26" s="3261"/>
      <c r="AE26" s="1673"/>
      <c r="AF26" s="1656"/>
      <c r="AG26" s="1673"/>
      <c r="AH26" s="1122"/>
      <c r="AI26" s="1121"/>
    </row>
    <row r="27" spans="1:35" s="388" customFormat="1" ht="19.399999999999999" customHeight="1">
      <c r="A27" s="246" t="s">
        <v>156</v>
      </c>
      <c r="B27" s="234"/>
      <c r="C27" s="234"/>
      <c r="D27" s="238" t="s">
        <v>14</v>
      </c>
      <c r="E27" s="234"/>
      <c r="F27" s="1564"/>
      <c r="G27" s="234"/>
      <c r="H27" s="834"/>
      <c r="I27" s="834"/>
      <c r="J27" s="834"/>
      <c r="K27" s="234"/>
      <c r="L27" s="834"/>
      <c r="M27" s="834"/>
      <c r="N27" s="834"/>
      <c r="O27" s="834"/>
      <c r="P27" s="834"/>
      <c r="Q27" s="834"/>
      <c r="R27" s="834"/>
      <c r="S27" s="834"/>
      <c r="T27" s="834"/>
      <c r="U27" s="834"/>
      <c r="V27" s="834"/>
      <c r="W27" s="834"/>
      <c r="X27" s="1652"/>
      <c r="Y27" s="1653"/>
      <c r="Z27" s="1654"/>
      <c r="AA27" s="3262"/>
      <c r="AB27" s="3681"/>
      <c r="AC27" s="3682"/>
      <c r="AD27" s="1652"/>
      <c r="AE27" s="3262"/>
      <c r="AF27" s="1656"/>
      <c r="AG27" s="1673"/>
      <c r="AH27" s="1122"/>
      <c r="AI27" s="1122"/>
    </row>
    <row r="28" spans="1:35" s="388" customFormat="1" ht="18.75" customHeight="1">
      <c r="A28" s="246" t="s">
        <v>44</v>
      </c>
      <c r="B28" s="846">
        <f>ROUND(B17-B25,1)</f>
        <v>0.1</v>
      </c>
      <c r="C28" s="379"/>
      <c r="D28" s="846">
        <f>ROUND(D17-D25,1)</f>
        <v>0.2</v>
      </c>
      <c r="E28" s="857"/>
      <c r="F28" s="3243">
        <f>ROUND(F17-F25,1)</f>
        <v>1.2</v>
      </c>
      <c r="G28" s="857"/>
      <c r="H28" s="846">
        <f>ROUND(H17-H25,1)</f>
        <v>0.6</v>
      </c>
      <c r="I28" s="858"/>
      <c r="J28" s="846">
        <f>ROUND(J17-J25,1)</f>
        <v>-0.2</v>
      </c>
      <c r="K28" s="857"/>
      <c r="L28" s="846">
        <f>ROUND(L17-L25,1)</f>
        <v>0.5</v>
      </c>
      <c r="M28" s="859"/>
      <c r="N28" s="846">
        <f>ROUND(N17-N25,1)</f>
        <v>0</v>
      </c>
      <c r="O28" s="859"/>
      <c r="P28" s="846">
        <f>ROUND(P17-P25,1)</f>
        <v>0</v>
      </c>
      <c r="Q28" s="859"/>
      <c r="R28" s="846">
        <f>ROUND(R17-R25,1)</f>
        <v>0</v>
      </c>
      <c r="S28" s="859"/>
      <c r="T28" s="846">
        <f>ROUND(T17-T25,1)</f>
        <v>0</v>
      </c>
      <c r="U28" s="859"/>
      <c r="V28" s="846">
        <f>ROUND(V17-V25,1)</f>
        <v>0</v>
      </c>
      <c r="W28" s="859"/>
      <c r="X28" s="3243">
        <f>ROUND(X17-X25,1)</f>
        <v>0</v>
      </c>
      <c r="Y28" s="3241"/>
      <c r="Z28" s="3242"/>
      <c r="AA28" s="3690">
        <f>ROUND(AA17-AA25,1)</f>
        <v>2.4</v>
      </c>
      <c r="AB28" s="3683"/>
      <c r="AC28" s="3691"/>
      <c r="AD28" s="3243">
        <f>ROUND(AD17-AD25,1)</f>
        <v>-0.2</v>
      </c>
      <c r="AE28" s="3265"/>
      <c r="AF28" s="1662"/>
      <c r="AG28" s="3209">
        <f>ROUND(SUM(AG17-AG25),1)</f>
        <v>2.6</v>
      </c>
      <c r="AH28" s="1133"/>
      <c r="AI28" s="2106">
        <f>ROUND(IF(AD28=0,-1,AG28/ABS(AD28)),3)</f>
        <v>13</v>
      </c>
    </row>
    <row r="29" spans="1:35" s="388" customFormat="1" ht="19.399999999999999" customHeight="1">
      <c r="A29" s="146"/>
      <c r="B29" s="238"/>
      <c r="C29" s="234"/>
      <c r="D29" s="238" t="s">
        <v>14</v>
      </c>
      <c r="E29" s="234"/>
      <c r="F29" s="1657"/>
      <c r="G29" s="234"/>
      <c r="H29" s="833"/>
      <c r="I29" s="834"/>
      <c r="J29" s="833"/>
      <c r="K29" s="234"/>
      <c r="L29" s="833"/>
      <c r="M29" s="834"/>
      <c r="N29" s="842"/>
      <c r="O29" s="834"/>
      <c r="P29" s="833"/>
      <c r="Q29" s="834"/>
      <c r="R29" s="833"/>
      <c r="S29" s="834"/>
      <c r="T29" s="833"/>
      <c r="U29" s="834"/>
      <c r="V29" s="833"/>
      <c r="W29" s="834"/>
      <c r="X29" s="3261"/>
      <c r="Y29" s="1653"/>
      <c r="Z29" s="1654"/>
      <c r="AA29" s="1673"/>
      <c r="AB29" s="3681"/>
      <c r="AC29" s="3686"/>
      <c r="AD29" s="1651"/>
      <c r="AE29" s="1673"/>
      <c r="AF29" s="1667"/>
      <c r="AG29" s="1673"/>
      <c r="AH29" s="1122"/>
      <c r="AI29" s="1121"/>
    </row>
    <row r="30" spans="1:35" s="388" customFormat="1" ht="19.399999999999999" customHeight="1">
      <c r="A30" s="246" t="s">
        <v>45</v>
      </c>
      <c r="B30" s="234"/>
      <c r="C30" s="234"/>
      <c r="D30" s="234"/>
      <c r="E30" s="234"/>
      <c r="F30" s="1564"/>
      <c r="G30" s="234"/>
      <c r="H30" s="834"/>
      <c r="I30" s="834"/>
      <c r="J30" s="834"/>
      <c r="K30" s="234"/>
      <c r="L30" s="834"/>
      <c r="M30" s="834"/>
      <c r="N30" s="834"/>
      <c r="O30" s="834"/>
      <c r="P30" s="834"/>
      <c r="Q30" s="834"/>
      <c r="R30" s="834"/>
      <c r="S30" s="834"/>
      <c r="T30" s="834"/>
      <c r="U30" s="834"/>
      <c r="V30" s="834"/>
      <c r="W30" s="834"/>
      <c r="X30" s="1652"/>
      <c r="Y30" s="1653"/>
      <c r="Z30" s="1654"/>
      <c r="AA30" s="3262"/>
      <c r="AB30" s="3681"/>
      <c r="AC30" s="3682"/>
      <c r="AD30" s="1652"/>
      <c r="AE30" s="3262"/>
      <c r="AF30" s="1667"/>
      <c r="AG30" s="1673"/>
      <c r="AH30" s="1122"/>
      <c r="AI30" s="1121"/>
    </row>
    <row r="31" spans="1:35" s="1648" customFormat="1" ht="19.399999999999999" customHeight="1">
      <c r="A31" s="190" t="s">
        <v>180</v>
      </c>
      <c r="B31" s="843">
        <v>0</v>
      </c>
      <c r="C31" s="234"/>
      <c r="D31" s="843">
        <v>0</v>
      </c>
      <c r="E31" s="234"/>
      <c r="F31" s="1672">
        <v>0</v>
      </c>
      <c r="G31" s="234"/>
      <c r="H31" s="1672">
        <v>0</v>
      </c>
      <c r="I31" s="1652"/>
      <c r="J31" s="1672">
        <v>0</v>
      </c>
      <c r="K31" s="1564"/>
      <c r="L31" s="1672">
        <f>$AA31-$B31-$D31-$F31-$H31-$J31</f>
        <v>0</v>
      </c>
      <c r="M31" s="1652"/>
      <c r="N31" s="1672"/>
      <c r="O31" s="1652"/>
      <c r="P31" s="1672"/>
      <c r="Q31" s="1652"/>
      <c r="R31" s="1672"/>
      <c r="S31" s="1652"/>
      <c r="T31" s="1672"/>
      <c r="U31" s="1652"/>
      <c r="V31" s="1672"/>
      <c r="W31" s="1652"/>
      <c r="X31" s="1672"/>
      <c r="Y31" s="1653"/>
      <c r="Z31" s="1654"/>
      <c r="AA31" s="1659">
        <v>0</v>
      </c>
      <c r="AB31" s="3681"/>
      <c r="AC31" s="3682"/>
      <c r="AD31" s="1659">
        <v>0</v>
      </c>
      <c r="AE31" s="1664"/>
      <c r="AF31" s="1666"/>
      <c r="AG31" s="1657">
        <f>ROUND(SUM(AA31-AD31),1)</f>
        <v>0</v>
      </c>
      <c r="AH31" s="1665"/>
      <c r="AI31" s="1658">
        <f>ROUND(IF(AG31=0,0,AG31/ABS(AD31)),3)</f>
        <v>0</v>
      </c>
    </row>
    <row r="32" spans="1:35" s="1648" customFormat="1" ht="19.399999999999999" customHeight="1">
      <c r="A32" s="190" t="s">
        <v>181</v>
      </c>
      <c r="B32" s="843">
        <v>0</v>
      </c>
      <c r="C32" s="234"/>
      <c r="D32" s="843">
        <v>0</v>
      </c>
      <c r="E32" s="234"/>
      <c r="F32" s="1672">
        <v>0</v>
      </c>
      <c r="G32" s="234"/>
      <c r="H32" s="1650">
        <v>0</v>
      </c>
      <c r="I32" s="1652"/>
      <c r="J32" s="1650">
        <v>0</v>
      </c>
      <c r="K32" s="1564"/>
      <c r="L32" s="1650">
        <f>$AA32-$B32-$D32-$F32-$H32-$J32</f>
        <v>0</v>
      </c>
      <c r="M32" s="1651"/>
      <c r="N32" s="1672"/>
      <c r="O32" s="1650"/>
      <c r="P32" s="1672"/>
      <c r="Q32" s="1651"/>
      <c r="R32" s="1672"/>
      <c r="S32" s="1651"/>
      <c r="T32" s="1672"/>
      <c r="U32" s="1651"/>
      <c r="V32" s="1672"/>
      <c r="W32" s="1651"/>
      <c r="X32" s="1672"/>
      <c r="Y32" s="1653"/>
      <c r="Z32" s="1654"/>
      <c r="AA32" s="1659">
        <v>0</v>
      </c>
      <c r="AB32" s="3692"/>
      <c r="AC32" s="3693"/>
      <c r="AD32" s="1659">
        <v>0</v>
      </c>
      <c r="AE32" s="1664"/>
      <c r="AF32" s="1667"/>
      <c r="AG32" s="1657">
        <f>ROUND(SUM(AA32-AD32),1)</f>
        <v>0</v>
      </c>
      <c r="AH32" s="1665"/>
      <c r="AI32" s="1658">
        <f>ROUND(IF(AG32=0,0,AG32/ABS(AD32)),3)</f>
        <v>0</v>
      </c>
    </row>
    <row r="33" spans="1:35" s="388" customFormat="1" ht="22.5" customHeight="1">
      <c r="A33" s="246" t="s">
        <v>206</v>
      </c>
      <c r="B33" s="860">
        <f>ROUND(SUM(B31:B32),1)</f>
        <v>0</v>
      </c>
      <c r="C33" s="379"/>
      <c r="D33" s="860">
        <f>ROUND(SUM(D31:D32),1)</f>
        <v>0</v>
      </c>
      <c r="E33" s="379"/>
      <c r="F33" s="3244">
        <f>ROUND(SUM(F31:F32),1)</f>
        <v>0</v>
      </c>
      <c r="G33" s="379"/>
      <c r="H33" s="860">
        <f>ROUND(SUM(H31:H32),1)</f>
        <v>0</v>
      </c>
      <c r="I33" s="839"/>
      <c r="J33" s="860">
        <f>ROUND(SUM(J31:J32),1)</f>
        <v>0</v>
      </c>
      <c r="K33" s="379"/>
      <c r="L33" s="860">
        <f>ROUND(SUM(L31:L32),1)</f>
        <v>0</v>
      </c>
      <c r="M33" s="839"/>
      <c r="N33" s="860">
        <f>ROUND(SUM(N31:N32),1)</f>
        <v>0</v>
      </c>
      <c r="O33" s="839"/>
      <c r="P33" s="860">
        <f>ROUND(SUM(P31:P32),1)</f>
        <v>0</v>
      </c>
      <c r="Q33" s="861"/>
      <c r="R33" s="860">
        <f>ROUND(SUM(R31:R32),1)</f>
        <v>0</v>
      </c>
      <c r="S33" s="839"/>
      <c r="T33" s="860">
        <f>ROUND(SUM(T31:T32),1)</f>
        <v>0</v>
      </c>
      <c r="U33" s="839"/>
      <c r="V33" s="860">
        <f>ROUND(SUM(V31:V32),1)</f>
        <v>0</v>
      </c>
      <c r="W33" s="839"/>
      <c r="X33" s="3244">
        <f>ROUND(SUM(X31:X32),1)</f>
        <v>0</v>
      </c>
      <c r="Y33" s="3241"/>
      <c r="Z33" s="3242"/>
      <c r="AA33" s="3694">
        <f>ROUND(SUM(AA31:AA32),1)</f>
        <v>0</v>
      </c>
      <c r="AB33" s="3695"/>
      <c r="AC33" s="3696"/>
      <c r="AD33" s="3244">
        <f>ROUND(SUM(AD31:AD32),1)</f>
        <v>0</v>
      </c>
      <c r="AE33" s="3273"/>
      <c r="AF33" s="1666"/>
      <c r="AG33" s="3272">
        <f>ROUND(SUM(AG31-AG32),1)</f>
        <v>0</v>
      </c>
      <c r="AH33" s="1140"/>
      <c r="AI33" s="1156">
        <f>ROUND(IF(AG33=0,0,AG33/ABS(AD33)),3)</f>
        <v>0</v>
      </c>
    </row>
    <row r="34" spans="1:35" s="388" customFormat="1" ht="19.399999999999999" customHeight="1">
      <c r="A34" s="146"/>
      <c r="B34" s="378"/>
      <c r="C34" s="234"/>
      <c r="D34" s="378" t="s">
        <v>14</v>
      </c>
      <c r="E34" s="234"/>
      <c r="F34" s="2183"/>
      <c r="G34" s="234"/>
      <c r="H34" s="842"/>
      <c r="I34" s="834"/>
      <c r="J34" s="842"/>
      <c r="K34" s="234"/>
      <c r="L34" s="842"/>
      <c r="M34" s="834"/>
      <c r="N34" s="842"/>
      <c r="O34" s="834"/>
      <c r="P34" s="842"/>
      <c r="Q34" s="834"/>
      <c r="R34" s="842"/>
      <c r="S34" s="834"/>
      <c r="T34" s="842"/>
      <c r="U34" s="834"/>
      <c r="V34" s="842"/>
      <c r="W34" s="834"/>
      <c r="X34" s="3261"/>
      <c r="Y34" s="1653"/>
      <c r="Z34" s="1654"/>
      <c r="AA34" s="3685"/>
      <c r="AB34" s="3681"/>
      <c r="AC34" s="3686"/>
      <c r="AD34" s="3261"/>
      <c r="AE34" s="1673"/>
      <c r="AF34" s="1656"/>
      <c r="AG34" s="1673"/>
      <c r="AH34" s="1122"/>
      <c r="AI34" s="1121"/>
    </row>
    <row r="35" spans="1:35" s="388" customFormat="1" ht="19.399999999999999" customHeight="1">
      <c r="A35" s="246" t="s">
        <v>164</v>
      </c>
      <c r="B35" s="234"/>
      <c r="C35" s="234"/>
      <c r="D35" s="234" t="s">
        <v>14</v>
      </c>
      <c r="E35" s="234"/>
      <c r="F35" s="1564"/>
      <c r="G35" s="234"/>
      <c r="H35" s="834"/>
      <c r="I35" s="834"/>
      <c r="J35" s="834"/>
      <c r="K35" s="234"/>
      <c r="L35" s="834"/>
      <c r="M35" s="834"/>
      <c r="N35" s="834"/>
      <c r="O35" s="834"/>
      <c r="P35" s="834"/>
      <c r="Q35" s="834"/>
      <c r="R35" s="834"/>
      <c r="S35" s="834"/>
      <c r="T35" s="834"/>
      <c r="U35" s="834"/>
      <c r="V35" s="834"/>
      <c r="W35" s="834"/>
      <c r="X35" s="1652"/>
      <c r="Y35" s="1653"/>
      <c r="Z35" s="1654"/>
      <c r="AA35" s="3262"/>
      <c r="AB35" s="3681"/>
      <c r="AC35" s="3682"/>
      <c r="AD35" s="1652"/>
      <c r="AE35" s="3262"/>
      <c r="AF35" s="1656"/>
      <c r="AG35" s="1673"/>
      <c r="AH35" s="1122"/>
      <c r="AI35" s="1121"/>
    </row>
    <row r="36" spans="1:35" s="388" customFormat="1" ht="19.399999999999999" customHeight="1">
      <c r="A36" s="246" t="s">
        <v>225</v>
      </c>
      <c r="B36" s="234"/>
      <c r="C36" s="234"/>
      <c r="D36" s="234"/>
      <c r="E36" s="234"/>
      <c r="F36" s="1564"/>
      <c r="G36" s="234"/>
      <c r="H36" s="834"/>
      <c r="I36" s="834"/>
      <c r="J36" s="834"/>
      <c r="K36" s="234"/>
      <c r="L36" s="834"/>
      <c r="M36" s="834"/>
      <c r="N36" s="834"/>
      <c r="O36" s="834"/>
      <c r="P36" s="834"/>
      <c r="Q36" s="834"/>
      <c r="R36" s="834"/>
      <c r="S36" s="834"/>
      <c r="T36" s="834"/>
      <c r="U36" s="834"/>
      <c r="V36" s="833"/>
      <c r="W36" s="834"/>
      <c r="X36" s="1652"/>
      <c r="Y36" s="1653"/>
      <c r="Z36" s="1654"/>
      <c r="AA36" s="3262"/>
      <c r="AB36" s="3681"/>
      <c r="AC36" s="3682"/>
      <c r="AD36" s="1652"/>
      <c r="AE36" s="3274"/>
      <c r="AF36" s="1694"/>
      <c r="AG36" s="1673"/>
      <c r="AH36" s="1122"/>
      <c r="AI36" s="1122"/>
    </row>
    <row r="37" spans="1:35" s="390" customFormat="1" ht="19.399999999999999" customHeight="1">
      <c r="A37" s="246" t="s">
        <v>166</v>
      </c>
      <c r="B37" s="844">
        <f>ROUND(B28+B33,1)</f>
        <v>0.1</v>
      </c>
      <c r="C37" s="379"/>
      <c r="D37" s="844">
        <f>ROUND(D28+D33,1)</f>
        <v>0.2</v>
      </c>
      <c r="E37" s="381"/>
      <c r="F37" s="1684">
        <f>ROUND(F28+F33,1)</f>
        <v>1.2</v>
      </c>
      <c r="G37" s="381"/>
      <c r="H37" s="844">
        <f>ROUND(H28+H33,1)</f>
        <v>0.6</v>
      </c>
      <c r="I37" s="848"/>
      <c r="J37" s="844">
        <f>ROUND(J28+J33,1)</f>
        <v>-0.2</v>
      </c>
      <c r="K37" s="381"/>
      <c r="L37" s="844">
        <f>ROUND(L28+L33,1)</f>
        <v>0.5</v>
      </c>
      <c r="M37" s="849"/>
      <c r="N37" s="844">
        <f>ROUND(N28+N33,1)</f>
        <v>0</v>
      </c>
      <c r="O37" s="849"/>
      <c r="P37" s="844">
        <f>ROUND(P28+P33,1)</f>
        <v>0</v>
      </c>
      <c r="Q37" s="849"/>
      <c r="R37" s="844">
        <f>ROUND(R28+R33,1)</f>
        <v>0</v>
      </c>
      <c r="S37" s="848"/>
      <c r="T37" s="844">
        <f>ROUND(T28+T33,1)</f>
        <v>0</v>
      </c>
      <c r="U37" s="848"/>
      <c r="V37" s="844">
        <f>ROUND(V28+V33,1)</f>
        <v>0</v>
      </c>
      <c r="W37" s="848"/>
      <c r="X37" s="1684">
        <f>ROUND(X28+X33,1)</f>
        <v>0</v>
      </c>
      <c r="Y37" s="3241"/>
      <c r="Z37" s="3242"/>
      <c r="AA37" s="3265">
        <f>ROUND(AA28+AA33,1)</f>
        <v>2.4</v>
      </c>
      <c r="AB37" s="3266"/>
      <c r="AC37" s="3697"/>
      <c r="AD37" s="1684">
        <f>ROUND(AD28+AD33,1)</f>
        <v>-0.2</v>
      </c>
      <c r="AE37" s="3265"/>
      <c r="AF37" s="2189"/>
      <c r="AG37" s="3266">
        <f>ROUND(SUM(AG28+AG33),1)</f>
        <v>2.6</v>
      </c>
      <c r="AH37" s="1113"/>
      <c r="AI37" s="2106">
        <f>ROUND(IF(AD37=0,-1,AG37/ABS(AD37)),3)</f>
        <v>13</v>
      </c>
    </row>
    <row r="38" spans="1:35" s="388" customFormat="1" ht="22.5" customHeight="1" thickBot="1">
      <c r="A38" s="246" t="s">
        <v>140</v>
      </c>
      <c r="B38" s="850">
        <f>ROUND(SUM(B13,B37),1)</f>
        <v>40.299999999999997</v>
      </c>
      <c r="C38" s="374"/>
      <c r="D38" s="850">
        <f>ROUND(SUM(D13,D37),1)</f>
        <v>40.5</v>
      </c>
      <c r="E38" s="374"/>
      <c r="F38" s="3245">
        <f>ROUND(SUM(F13,F37),1)</f>
        <v>41.7</v>
      </c>
      <c r="G38" s="374"/>
      <c r="H38" s="850">
        <f>ROUND(SUM(H13,H37),1)</f>
        <v>42.3</v>
      </c>
      <c r="I38" s="851"/>
      <c r="J38" s="850">
        <f>ROUND(SUM(J13,J37),1)</f>
        <v>42.1</v>
      </c>
      <c r="K38" s="374"/>
      <c r="L38" s="850">
        <f>ROUND(SUM(L13,L37),1)</f>
        <v>42.6</v>
      </c>
      <c r="M38" s="375"/>
      <c r="N38" s="850">
        <f>ROUND(SUM(N13,N37),1)</f>
        <v>0</v>
      </c>
      <c r="O38" s="375"/>
      <c r="P38" s="850">
        <f>ROUND(SUM(P13,P37),1)</f>
        <v>0</v>
      </c>
      <c r="Q38" s="375"/>
      <c r="R38" s="850">
        <f>ROUND(SUM(R13,R37),1)</f>
        <v>0</v>
      </c>
      <c r="S38" s="851"/>
      <c r="T38" s="850">
        <f>ROUND(SUM(T13,T37),1)</f>
        <v>0</v>
      </c>
      <c r="U38" s="851"/>
      <c r="V38" s="850">
        <f>ROUND(SUM(V13,V37),1)</f>
        <v>0</v>
      </c>
      <c r="W38" s="851"/>
      <c r="X38" s="3245">
        <f>ROUND(SUM(X13,X37),1)</f>
        <v>0</v>
      </c>
      <c r="Y38" s="1641"/>
      <c r="Z38" s="1642"/>
      <c r="AA38" s="3698">
        <f>ROUND(SUM(AA13,AA37),1)</f>
        <v>42.6</v>
      </c>
      <c r="AB38" s="1645"/>
      <c r="AC38" s="3699"/>
      <c r="AD38" s="3275">
        <f>ROUND(SUM(AD13,AD37),1)</f>
        <v>14.1</v>
      </c>
      <c r="AE38" s="1645"/>
      <c r="AF38" s="2191"/>
      <c r="AG38" s="3275">
        <f>ROUND(SUM(AA38-AD38),1)</f>
        <v>28.5</v>
      </c>
      <c r="AH38" s="1139"/>
      <c r="AI38" s="1158">
        <f>ROUND(IF(AG38=0,0,AG38/ABS(AD38)),3)</f>
        <v>2.0209999999999999</v>
      </c>
    </row>
    <row r="39" spans="1:35" s="388" customFormat="1" ht="19.399999999999999" customHeight="1" thickTop="1">
      <c r="A39" s="146" t="s">
        <v>14</v>
      </c>
      <c r="B39" s="852"/>
      <c r="C39" s="853"/>
      <c r="D39" s="852"/>
      <c r="E39" s="853"/>
      <c r="F39" s="3246"/>
      <c r="G39" s="853"/>
      <c r="H39" s="852"/>
      <c r="I39" s="853"/>
      <c r="J39" s="852"/>
      <c r="K39" s="853"/>
      <c r="L39" s="852"/>
      <c r="M39" s="853"/>
      <c r="N39" s="852"/>
      <c r="O39" s="853"/>
      <c r="P39" s="852"/>
      <c r="Q39" s="853"/>
      <c r="R39" s="852"/>
      <c r="S39" s="853"/>
      <c r="T39" s="852"/>
      <c r="U39" s="853"/>
      <c r="V39" s="852"/>
      <c r="W39" s="853"/>
      <c r="X39" s="3246"/>
      <c r="Y39" s="3248"/>
      <c r="Z39" s="3248"/>
      <c r="AA39" s="3267"/>
      <c r="AB39" s="3268"/>
      <c r="AC39" s="3268"/>
      <c r="AD39" s="3268"/>
      <c r="AE39" s="3268"/>
      <c r="AF39" s="3268"/>
      <c r="AG39" s="3205"/>
      <c r="AH39" s="1122"/>
      <c r="AI39" s="1121"/>
    </row>
    <row r="40" spans="1:35" s="388" customFormat="1" ht="19.399999999999999" customHeight="1">
      <c r="B40" s="56"/>
      <c r="C40" s="162"/>
      <c r="D40" s="56"/>
      <c r="E40" s="56"/>
      <c r="F40" s="56"/>
      <c r="G40" s="56"/>
      <c r="H40" s="56"/>
      <c r="I40" s="56"/>
      <c r="J40" s="56"/>
      <c r="K40" s="56"/>
      <c r="L40" s="56"/>
      <c r="M40" s="56"/>
      <c r="N40" s="56"/>
      <c r="O40" s="56"/>
      <c r="P40" s="56"/>
      <c r="Q40" s="56"/>
      <c r="R40" s="56"/>
      <c r="S40" s="56"/>
      <c r="T40" s="56"/>
      <c r="U40" s="56"/>
      <c r="V40" s="56"/>
      <c r="W40" s="56"/>
      <c r="X40" s="114"/>
      <c r="Y40" s="114"/>
      <c r="Z40" s="114"/>
      <c r="AA40" s="114"/>
      <c r="AB40" s="114"/>
      <c r="AC40" s="114"/>
      <c r="AD40" s="114"/>
      <c r="AE40" s="114"/>
      <c r="AF40" s="114"/>
      <c r="AG40" s="3276"/>
      <c r="AH40" s="392"/>
    </row>
    <row r="41" spans="1:35" ht="15.75" customHeight="1">
      <c r="A41" s="391"/>
      <c r="B41" s="162"/>
      <c r="C41" s="162"/>
      <c r="D41" s="162"/>
      <c r="E41" s="162"/>
      <c r="F41" s="162"/>
      <c r="G41" s="162"/>
      <c r="H41" s="162"/>
      <c r="I41" s="162"/>
      <c r="J41" s="162"/>
      <c r="K41" s="162"/>
      <c r="L41" s="162"/>
      <c r="M41" s="162"/>
      <c r="N41" s="162"/>
      <c r="O41" s="162"/>
      <c r="P41" s="162"/>
      <c r="Q41" s="162"/>
      <c r="R41" s="162"/>
      <c r="S41" s="162"/>
      <c r="T41" s="162"/>
      <c r="U41" s="162"/>
      <c r="V41" s="162"/>
      <c r="W41" s="162"/>
      <c r="X41" s="137"/>
      <c r="Y41" s="137"/>
      <c r="Z41" s="137"/>
      <c r="AA41" s="137"/>
      <c r="AB41" s="137"/>
      <c r="AC41" s="137"/>
      <c r="AD41" s="137"/>
      <c r="AE41" s="137"/>
      <c r="AF41" s="137"/>
      <c r="AG41" s="3277"/>
    </row>
    <row r="42" spans="1:35" ht="15.5">
      <c r="A42" s="388"/>
    </row>
    <row r="43" spans="1:35" ht="13.5" customHeight="1">
      <c r="A43" s="679"/>
      <c r="B43" s="162"/>
      <c r="C43" s="162"/>
      <c r="D43" s="162"/>
      <c r="E43" s="162"/>
      <c r="F43" s="162"/>
      <c r="G43" s="162"/>
      <c r="H43" s="162"/>
      <c r="I43" s="162"/>
      <c r="J43" s="162"/>
      <c r="K43" s="162"/>
      <c r="L43" s="162"/>
      <c r="M43" s="162"/>
      <c r="N43" s="162"/>
      <c r="O43" s="162"/>
      <c r="P43" s="162"/>
      <c r="Q43" s="162"/>
      <c r="R43" s="162"/>
      <c r="S43" s="162"/>
      <c r="T43" s="162"/>
      <c r="U43" s="162"/>
      <c r="V43" s="162"/>
      <c r="W43" s="162"/>
      <c r="X43" s="137"/>
      <c r="Y43" s="137"/>
      <c r="Z43" s="137"/>
      <c r="AA43" s="137"/>
      <c r="AB43" s="137"/>
      <c r="AC43" s="137"/>
      <c r="AD43" s="137"/>
      <c r="AE43" s="137"/>
      <c r="AF43" s="137"/>
      <c r="AG43" s="3277"/>
    </row>
    <row r="44" spans="1:35" ht="15.5">
      <c r="A44" s="28"/>
      <c r="B44" s="162"/>
      <c r="C44" s="162"/>
      <c r="D44" s="162"/>
      <c r="E44" s="162"/>
      <c r="F44" s="162"/>
      <c r="G44" s="162"/>
      <c r="H44" s="162"/>
      <c r="I44" s="162"/>
      <c r="J44" s="162"/>
      <c r="K44" s="162"/>
      <c r="L44" s="162"/>
      <c r="M44" s="162"/>
      <c r="N44" s="162"/>
      <c r="O44" s="162"/>
      <c r="P44" s="162"/>
      <c r="Q44" s="162"/>
      <c r="R44" s="162"/>
      <c r="S44" s="162"/>
      <c r="T44" s="162"/>
      <c r="U44" s="162"/>
      <c r="V44" s="162"/>
      <c r="W44" s="162"/>
      <c r="X44" s="137"/>
      <c r="Y44" s="137"/>
      <c r="Z44" s="137"/>
      <c r="AA44" s="137"/>
      <c r="AB44" s="137"/>
      <c r="AC44" s="137"/>
      <c r="AD44" s="137"/>
      <c r="AE44" s="137"/>
      <c r="AF44" s="137"/>
      <c r="AG44" s="3277"/>
    </row>
    <row r="45" spans="1:35" ht="15.5">
      <c r="A45" s="28"/>
      <c r="B45" s="162"/>
      <c r="C45" s="162"/>
      <c r="D45" s="162"/>
      <c r="E45" s="162"/>
      <c r="F45" s="162"/>
      <c r="G45" s="162"/>
      <c r="H45" s="162"/>
      <c r="I45" s="162"/>
      <c r="J45" s="162"/>
      <c r="K45" s="162"/>
      <c r="L45" s="162"/>
      <c r="M45" s="162"/>
      <c r="N45" s="162"/>
      <c r="O45" s="162"/>
      <c r="P45" s="162"/>
      <c r="Q45" s="162"/>
      <c r="R45" s="162"/>
      <c r="S45" s="162"/>
      <c r="T45" s="162"/>
      <c r="U45" s="162"/>
      <c r="V45" s="162"/>
      <c r="W45" s="162"/>
      <c r="X45" s="137"/>
      <c r="Y45" s="137"/>
      <c r="Z45" s="137"/>
      <c r="AA45" s="137"/>
      <c r="AB45" s="137"/>
      <c r="AC45" s="137"/>
      <c r="AD45" s="137"/>
      <c r="AE45" s="137"/>
      <c r="AF45" s="137"/>
    </row>
    <row r="46" spans="1:35" ht="15.5">
      <c r="A46" s="28"/>
      <c r="B46" s="162"/>
      <c r="C46" s="162"/>
      <c r="D46" s="162"/>
      <c r="E46" s="162"/>
      <c r="F46" s="162"/>
      <c r="G46" s="162"/>
      <c r="H46" s="162"/>
      <c r="I46" s="162"/>
      <c r="J46" s="162"/>
      <c r="K46" s="162"/>
      <c r="L46" s="162"/>
      <c r="M46" s="162"/>
      <c r="N46" s="162"/>
      <c r="O46" s="162"/>
      <c r="P46" s="162"/>
      <c r="Q46" s="162"/>
      <c r="R46" s="162"/>
      <c r="S46" s="162"/>
      <c r="T46" s="162"/>
      <c r="U46" s="162"/>
      <c r="V46" s="162"/>
      <c r="W46" s="162"/>
      <c r="X46" s="137"/>
      <c r="Y46" s="137"/>
      <c r="Z46" s="137"/>
      <c r="AA46" s="137"/>
      <c r="AB46" s="137"/>
      <c r="AC46" s="137"/>
      <c r="AD46" s="137"/>
      <c r="AE46" s="137"/>
      <c r="AF46" s="137"/>
    </row>
    <row r="47" spans="1:35" ht="15.5">
      <c r="A47" s="28"/>
      <c r="B47" s="28"/>
      <c r="C47" s="28"/>
      <c r="D47" s="28"/>
      <c r="E47" s="28"/>
      <c r="F47" s="28"/>
      <c r="G47" s="28"/>
      <c r="H47" s="28"/>
      <c r="I47" s="28"/>
      <c r="J47" s="28"/>
      <c r="K47" s="28"/>
      <c r="L47" s="28"/>
      <c r="M47" s="28"/>
      <c r="N47" s="28"/>
      <c r="O47" s="28"/>
      <c r="P47" s="28"/>
      <c r="Q47" s="28"/>
      <c r="R47" s="28"/>
      <c r="S47" s="28"/>
      <c r="T47" s="28"/>
      <c r="U47" s="28"/>
      <c r="V47" s="28"/>
      <c r="W47" s="28"/>
      <c r="X47" s="104"/>
      <c r="Y47" s="104"/>
      <c r="Z47" s="104"/>
      <c r="AA47" s="104"/>
      <c r="AB47" s="104"/>
      <c r="AC47" s="104"/>
      <c r="AD47" s="104"/>
      <c r="AE47" s="104"/>
      <c r="AF47" s="104"/>
    </row>
  </sheetData>
  <mergeCells count="2">
    <mergeCell ref="AC9:AI9"/>
    <mergeCell ref="AA10:AI10"/>
  </mergeCells>
  <pageMargins left="0.25" right="0.25" top="0.5" bottom="0.25" header="0" footer="0.25"/>
  <pageSetup scale="42" firstPageNumber="37" fitToHeight="0" orientation="landscape" useFirstPageNumber="1" r:id="rId1"/>
  <headerFooter scaleWithDoc="0" alignWithMargins="0">
    <oddFooter>&amp;C&amp;8&amp;P</oddFooter>
  </headerFooter>
  <ignoredErrors>
    <ignoredError sqref="AI24"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autoPageBreaks="0" fitToPage="1"/>
  </sheetPr>
  <dimension ref="A1:AG69"/>
  <sheetViews>
    <sheetView showGridLines="0" zoomScale="80" zoomScaleNormal="90" workbookViewId="0"/>
  </sheetViews>
  <sheetFormatPr defaultColWidth="8.84375" defaultRowHeight="10"/>
  <cols>
    <col min="1" max="1" width="38.4609375" style="2216" customWidth="1"/>
    <col min="2" max="2" width="6.84375" style="2216" customWidth="1"/>
    <col min="3" max="3" width="4.07421875" style="2216" customWidth="1"/>
    <col min="4" max="4" width="14" style="2216" customWidth="1"/>
    <col min="5" max="5" width="1.07421875" style="2216" customWidth="1"/>
    <col min="6" max="6" width="13.4609375" style="2216" customWidth="1"/>
    <col min="7" max="7" width="1.07421875" style="2216" customWidth="1"/>
    <col min="8" max="8" width="13.4609375" style="2217" customWidth="1"/>
    <col min="9" max="9" width="1.84375" style="2216" customWidth="1"/>
    <col min="10" max="10" width="13.4609375" style="2216" customWidth="1"/>
    <col min="11" max="11" width="1.07421875" style="2216" customWidth="1"/>
    <col min="12" max="12" width="11.84375" style="2216" customWidth="1"/>
    <col min="13" max="13" width="1.07421875" style="2216" customWidth="1"/>
    <col min="14" max="14" width="13.53515625" style="2216" customWidth="1"/>
    <col min="15" max="15" width="1.07421875" style="2216" customWidth="1"/>
    <col min="16" max="16" width="0.84375" style="2216" customWidth="1"/>
    <col min="17" max="17" width="1.07421875" style="2216" customWidth="1"/>
    <col min="18" max="18" width="14.4609375" style="2216" customWidth="1"/>
    <col min="19" max="19" width="1.07421875" style="2216" customWidth="1"/>
    <col min="20" max="20" width="14.4609375" style="2216" customWidth="1"/>
    <col min="21" max="21" width="1.07421875" style="2218" customWidth="1"/>
    <col min="22" max="22" width="0.84375" style="2218" customWidth="1"/>
    <col min="23" max="24" width="1.07421875" style="2218" customWidth="1"/>
    <col min="25" max="25" width="12.84375" style="2218" customWidth="1"/>
    <col min="26" max="26" width="1.07421875" style="2218" customWidth="1"/>
    <col min="27" max="27" width="16.84375" style="2218" bestFit="1" customWidth="1"/>
    <col min="28" max="28" width="1.84375" style="2218" customWidth="1"/>
    <col min="29" max="29" width="1.07421875" style="2318" customWidth="1"/>
    <col min="30" max="30" width="13.07421875" style="2218" customWidth="1"/>
    <col min="31" max="31" width="3" style="2218" customWidth="1"/>
    <col min="32" max="32" width="12" style="2218" customWidth="1"/>
    <col min="33" max="16384" width="8.84375" style="2218"/>
  </cols>
  <sheetData>
    <row r="1" spans="1:33" ht="15.5">
      <c r="A1" s="2215" t="s">
        <v>882</v>
      </c>
    </row>
    <row r="2" spans="1:33" ht="15" customHeight="1">
      <c r="A2" s="2215"/>
    </row>
    <row r="3" spans="1:33" ht="21" customHeight="1">
      <c r="A3" s="3948" t="s">
        <v>0</v>
      </c>
      <c r="B3" s="3949"/>
      <c r="C3" s="3949"/>
      <c r="D3" s="3949"/>
      <c r="E3" s="3949"/>
      <c r="F3" s="3949"/>
      <c r="G3" s="3949"/>
      <c r="H3" s="3949"/>
      <c r="I3" s="3949"/>
      <c r="J3" s="3949"/>
      <c r="K3" s="3949"/>
      <c r="L3" s="3949"/>
      <c r="M3" s="3949"/>
      <c r="N3" s="3949"/>
      <c r="O3" s="3949"/>
      <c r="P3" s="3949"/>
      <c r="Q3" s="3949"/>
      <c r="R3" s="3949"/>
      <c r="S3" s="3949"/>
      <c r="T3" s="3949"/>
      <c r="U3" s="3949"/>
      <c r="V3" s="3949"/>
      <c r="W3" s="3949"/>
      <c r="X3" s="3949"/>
      <c r="Y3" s="3949"/>
      <c r="Z3" s="3949"/>
      <c r="AA3" s="3949"/>
      <c r="AB3" s="3949"/>
      <c r="AC3" s="2319"/>
      <c r="AF3" s="2222" t="s">
        <v>53</v>
      </c>
    </row>
    <row r="4" spans="1:33" ht="20">
      <c r="A4" s="3950" t="s">
        <v>1079</v>
      </c>
      <c r="B4" s="3949"/>
      <c r="C4" s="3949"/>
      <c r="D4" s="3949"/>
      <c r="E4" s="3949"/>
      <c r="F4" s="3949"/>
      <c r="G4" s="3949"/>
      <c r="H4" s="3949"/>
      <c r="I4" s="3949"/>
      <c r="J4" s="3949"/>
      <c r="K4" s="3949"/>
      <c r="L4" s="3949"/>
      <c r="M4" s="3949"/>
      <c r="N4" s="3949"/>
      <c r="O4" s="3949"/>
      <c r="P4" s="3949"/>
      <c r="Q4" s="3949"/>
      <c r="R4" s="3949"/>
      <c r="S4" s="3949"/>
      <c r="T4" s="3949"/>
      <c r="U4" s="3949"/>
      <c r="V4" s="3949"/>
      <c r="W4" s="3949"/>
      <c r="X4" s="3949"/>
      <c r="Y4" s="3949"/>
      <c r="Z4" s="3949"/>
      <c r="AA4" s="3949"/>
      <c r="AB4" s="3949"/>
      <c r="AC4" s="2319"/>
      <c r="AF4" s="2222" t="s">
        <v>54</v>
      </c>
    </row>
    <row r="5" spans="1:33" ht="21" customHeight="1">
      <c r="A5" s="3950" t="s">
        <v>792</v>
      </c>
      <c r="B5" s="3949"/>
      <c r="C5" s="3949"/>
      <c r="D5" s="3949"/>
      <c r="E5" s="3949"/>
      <c r="F5" s="3949"/>
      <c r="G5" s="3949"/>
      <c r="H5" s="3949"/>
      <c r="I5" s="3949"/>
      <c r="J5" s="3949"/>
      <c r="K5" s="3949"/>
      <c r="L5" s="3949"/>
      <c r="M5" s="3949"/>
      <c r="N5" s="3949"/>
      <c r="O5" s="3949"/>
      <c r="P5" s="3949"/>
      <c r="Q5" s="3949"/>
      <c r="R5" s="3949"/>
      <c r="S5" s="3949"/>
      <c r="T5" s="3949"/>
      <c r="U5" s="3949"/>
      <c r="V5" s="3949"/>
      <c r="W5" s="3949"/>
      <c r="X5" s="3949"/>
      <c r="Y5" s="3949"/>
      <c r="Z5" s="3949"/>
      <c r="AA5" s="3949"/>
      <c r="AB5" s="3949"/>
      <c r="AC5" s="2319"/>
    </row>
    <row r="6" spans="1:33" ht="21" customHeight="1">
      <c r="A6" s="2320" t="s">
        <v>1277</v>
      </c>
      <c r="B6" s="2321"/>
      <c r="C6" s="2321"/>
      <c r="D6" s="2321"/>
      <c r="E6" s="2321"/>
      <c r="F6" s="2321"/>
      <c r="G6" s="2321"/>
      <c r="H6" s="2321"/>
      <c r="I6" s="2321"/>
      <c r="J6" s="2321"/>
      <c r="K6" s="2321"/>
      <c r="L6" s="2321"/>
      <c r="M6" s="2321"/>
      <c r="N6" s="2321"/>
      <c r="O6" s="2321"/>
      <c r="P6" s="2321"/>
      <c r="Q6" s="2321"/>
      <c r="R6" s="2321"/>
      <c r="S6" s="2321"/>
      <c r="T6" s="2321"/>
      <c r="U6" s="2321"/>
      <c r="V6" s="2321"/>
      <c r="W6" s="2321"/>
      <c r="X6" s="2321"/>
      <c r="Y6" s="3849"/>
      <c r="Z6" s="3849"/>
      <c r="AA6" s="3849"/>
      <c r="AB6" s="2321"/>
      <c r="AC6" s="2319"/>
    </row>
    <row r="7" spans="1:33" ht="15.75" customHeight="1">
      <c r="A7" s="3950"/>
      <c r="B7" s="3949"/>
      <c r="C7" s="3949"/>
      <c r="D7" s="3949"/>
      <c r="E7" s="3949"/>
      <c r="F7" s="3949"/>
      <c r="G7" s="3949"/>
      <c r="H7" s="3949"/>
      <c r="I7" s="3949"/>
      <c r="J7" s="3949"/>
      <c r="K7" s="3949"/>
      <c r="L7" s="3949"/>
      <c r="M7" s="3949"/>
      <c r="N7" s="3949"/>
      <c r="O7" s="3949"/>
      <c r="P7" s="3949"/>
      <c r="Q7" s="3949"/>
      <c r="R7" s="3949"/>
      <c r="S7" s="3949"/>
      <c r="T7" s="3949"/>
      <c r="U7" s="3949"/>
      <c r="V7" s="3949"/>
      <c r="W7" s="3949"/>
      <c r="X7" s="3949"/>
      <c r="Y7" s="3949"/>
      <c r="Z7" s="3949"/>
      <c r="AA7" s="3949"/>
      <c r="AB7" s="3949"/>
      <c r="AC7" s="2319"/>
    </row>
    <row r="8" spans="1:33" ht="15.75" customHeight="1">
      <c r="A8" s="1"/>
      <c r="B8" s="1"/>
      <c r="C8" s="1"/>
      <c r="D8" s="1"/>
      <c r="E8" s="1"/>
      <c r="F8" s="1"/>
      <c r="G8" s="1"/>
      <c r="H8" s="2225"/>
      <c r="I8" s="2"/>
      <c r="J8" s="2"/>
      <c r="K8" s="2"/>
      <c r="L8" s="2"/>
      <c r="M8" s="1"/>
      <c r="N8" s="2"/>
      <c r="O8" s="2"/>
      <c r="P8" s="2"/>
      <c r="Q8" s="2"/>
      <c r="R8" s="2"/>
      <c r="S8" s="2"/>
      <c r="T8" s="2"/>
      <c r="U8" s="2322"/>
      <c r="V8" s="2322"/>
      <c r="W8" s="2322"/>
      <c r="X8" s="2322"/>
      <c r="Y8" s="2323"/>
      <c r="Z8" s="2323"/>
      <c r="AA8" s="2222"/>
      <c r="AB8" s="2323"/>
      <c r="AC8" s="2324"/>
    </row>
    <row r="9" spans="1:33" ht="15.75" customHeight="1">
      <c r="A9" s="1"/>
      <c r="B9" s="1"/>
      <c r="C9" s="1"/>
      <c r="D9" s="1"/>
      <c r="E9" s="1"/>
      <c r="F9" s="1"/>
      <c r="G9" s="1"/>
      <c r="H9" s="2225"/>
      <c r="I9" s="2"/>
      <c r="J9" s="2"/>
      <c r="K9" s="2"/>
      <c r="L9" s="2"/>
      <c r="M9" s="1"/>
      <c r="N9" s="2"/>
      <c r="O9" s="2325"/>
      <c r="P9" s="2325"/>
      <c r="Q9" s="2325"/>
      <c r="R9" s="2325"/>
      <c r="S9" s="2281"/>
      <c r="T9" s="2281"/>
      <c r="U9" s="2318"/>
      <c r="V9" s="2318"/>
      <c r="W9" s="2318"/>
      <c r="X9" s="2326"/>
      <c r="Y9" s="2323"/>
      <c r="Z9" s="2323"/>
      <c r="AA9" s="2222"/>
      <c r="AB9" s="2323"/>
      <c r="AC9" s="2324"/>
    </row>
    <row r="10" spans="1:33" ht="16.399999999999999" customHeight="1">
      <c r="A10" s="1"/>
      <c r="B10" s="1"/>
      <c r="C10" s="2230"/>
      <c r="D10" s="3945"/>
      <c r="E10" s="3946"/>
      <c r="F10" s="3946"/>
      <c r="G10" s="3946"/>
      <c r="H10" s="3946"/>
      <c r="I10" s="3946"/>
      <c r="J10" s="3946"/>
      <c r="K10" s="3946"/>
      <c r="L10" s="3946"/>
      <c r="M10" s="3946"/>
      <c r="N10" s="3946"/>
      <c r="O10" s="2326"/>
      <c r="P10" s="2327"/>
      <c r="Q10" s="2326"/>
      <c r="R10" s="3944"/>
      <c r="S10" s="3944"/>
      <c r="T10" s="3944"/>
      <c r="U10" s="3944"/>
      <c r="V10" s="3944"/>
      <c r="W10" s="3944"/>
      <c r="X10" s="3944"/>
      <c r="Y10" s="3944"/>
      <c r="Z10" s="3944"/>
      <c r="AA10" s="3944"/>
      <c r="AB10" s="3944"/>
      <c r="AC10" s="2328"/>
      <c r="AD10" s="2318"/>
      <c r="AE10" s="2318"/>
      <c r="AF10" s="2318"/>
      <c r="AG10" s="2318"/>
    </row>
    <row r="11" spans="1:33" ht="16.399999999999999" customHeight="1">
      <c r="A11" s="2241"/>
      <c r="B11" s="606"/>
      <c r="C11" s="606"/>
      <c r="D11" s="3" t="s">
        <v>2</v>
      </c>
      <c r="E11" s="3"/>
      <c r="F11" s="3"/>
      <c r="G11" s="2235"/>
      <c r="H11" s="2329" t="s">
        <v>1061</v>
      </c>
      <c r="I11" s="3"/>
      <c r="J11" s="3"/>
      <c r="K11" s="2281"/>
      <c r="L11" s="3947" t="s">
        <v>4</v>
      </c>
      <c r="M11" s="3947"/>
      <c r="N11" s="3947"/>
      <c r="O11" s="5"/>
      <c r="P11" s="2237"/>
      <c r="Q11" s="2237"/>
      <c r="R11" s="2330" t="s">
        <v>1397</v>
      </c>
      <c r="S11" s="2330"/>
      <c r="T11" s="2330"/>
      <c r="U11" s="2330"/>
      <c r="V11" s="2330"/>
      <c r="W11" s="2330"/>
      <c r="X11" s="2330"/>
      <c r="Y11" s="2330"/>
      <c r="Z11" s="2330"/>
      <c r="AA11" s="2330"/>
      <c r="AB11" s="2330"/>
      <c r="AC11" s="2331"/>
      <c r="AD11" s="2332"/>
      <c r="AE11" s="2332"/>
      <c r="AF11" s="2332"/>
    </row>
    <row r="12" spans="1:33" ht="15.75" customHeight="1">
      <c r="A12" s="2234"/>
      <c r="B12" s="2234"/>
      <c r="C12" s="7"/>
      <c r="D12" s="5" t="s">
        <v>6</v>
      </c>
      <c r="E12" s="5"/>
      <c r="F12" s="4" t="str">
        <f>'Exhibit A'!F11</f>
        <v>6 MOS. ENDED</v>
      </c>
      <c r="G12" s="2229"/>
      <c r="H12" s="5" t="s">
        <v>6</v>
      </c>
      <c r="I12" s="5"/>
      <c r="J12" s="5" t="str">
        <f>F12</f>
        <v>6 MOS. ENDED</v>
      </c>
      <c r="K12" s="2229"/>
      <c r="L12" s="5" t="s">
        <v>6</v>
      </c>
      <c r="M12" s="5"/>
      <c r="N12" s="5" t="str">
        <f>F12</f>
        <v>6 MOS. ENDED</v>
      </c>
      <c r="O12" s="5"/>
      <c r="P12" s="2333"/>
      <c r="Q12" s="5"/>
      <c r="R12" s="5" t="s">
        <v>6</v>
      </c>
      <c r="S12" s="5"/>
      <c r="T12" s="5" t="str">
        <f>F12</f>
        <v>6 MOS. ENDED</v>
      </c>
      <c r="U12" s="2237"/>
      <c r="V12" s="2237"/>
      <c r="W12" s="2237"/>
      <c r="X12" s="2237"/>
      <c r="Y12" s="3848" t="s">
        <v>6</v>
      </c>
      <c r="Z12" s="3848"/>
      <c r="AA12" s="3848" t="str">
        <f>'Exhibit A'!AD11</f>
        <v>6 MOS. ENDED</v>
      </c>
      <c r="AB12" s="2237"/>
      <c r="AC12" s="2334"/>
      <c r="AD12" s="2237" t="s">
        <v>7</v>
      </c>
      <c r="AE12" s="2238"/>
      <c r="AF12" s="5" t="s">
        <v>8</v>
      </c>
    </row>
    <row r="13" spans="1:33" ht="16.399999999999999" customHeight="1">
      <c r="A13" s="2234"/>
      <c r="B13" s="2234"/>
      <c r="C13" s="2234"/>
      <c r="D13" s="893" t="str">
        <f>'Exhibit A'!D12</f>
        <v>SEP. 2021</v>
      </c>
      <c r="E13" s="2229"/>
      <c r="F13" s="893" t="str">
        <f>'Exhibit A'!F12</f>
        <v>SEP. 30, 2021</v>
      </c>
      <c r="G13" s="2229"/>
      <c r="H13" s="6" t="str">
        <f>D13</f>
        <v>SEP. 2021</v>
      </c>
      <c r="I13" s="2229"/>
      <c r="J13" s="6" t="str">
        <f>F13</f>
        <v>SEP. 30, 2021</v>
      </c>
      <c r="K13" s="2229"/>
      <c r="L13" s="6" t="str">
        <f>D13</f>
        <v>SEP. 2021</v>
      </c>
      <c r="M13" s="2229"/>
      <c r="N13" s="6" t="str">
        <f>F13</f>
        <v>SEP. 30, 2021</v>
      </c>
      <c r="O13" s="5"/>
      <c r="P13" s="2333"/>
      <c r="Q13" s="5"/>
      <c r="R13" s="6" t="str">
        <f>D13</f>
        <v>SEP. 2021</v>
      </c>
      <c r="S13" s="2229"/>
      <c r="T13" s="6" t="str">
        <f>F13</f>
        <v>SEP. 30, 2021</v>
      </c>
      <c r="U13" s="2237"/>
      <c r="V13" s="2237"/>
      <c r="W13" s="2237"/>
      <c r="X13" s="2335"/>
      <c r="Y13" s="3388" t="str">
        <f>'Exhibit A'!AB12</f>
        <v>SEP. 2020</v>
      </c>
      <c r="Z13" s="2335"/>
      <c r="AA13" s="3388" t="str">
        <f>'Exhibit A'!AD12</f>
        <v>SEP. 30, 2020</v>
      </c>
      <c r="AB13" s="2335"/>
      <c r="AC13" s="2334"/>
      <c r="AD13" s="2336" t="s">
        <v>11</v>
      </c>
      <c r="AE13" s="2215"/>
      <c r="AF13" s="893" t="s">
        <v>12</v>
      </c>
    </row>
    <row r="14" spans="1:33" ht="16.399999999999999" customHeight="1">
      <c r="A14" s="2233" t="s">
        <v>13</v>
      </c>
      <c r="B14" s="2234"/>
      <c r="C14" s="2234"/>
      <c r="D14" s="2337" t="s">
        <v>14</v>
      </c>
      <c r="E14" s="2234"/>
      <c r="F14" s="7"/>
      <c r="G14" s="2234"/>
      <c r="H14" s="606" t="s">
        <v>14</v>
      </c>
      <c r="I14" s="2234"/>
      <c r="J14" s="7"/>
      <c r="K14" s="2234"/>
      <c r="L14" s="606" t="s">
        <v>14</v>
      </c>
      <c r="M14" s="2234"/>
      <c r="N14" s="7"/>
      <c r="O14" s="7"/>
      <c r="P14" s="2338"/>
      <c r="Q14" s="2339"/>
      <c r="R14" s="7"/>
      <c r="S14" s="7"/>
      <c r="T14" s="7"/>
      <c r="U14" s="2244"/>
      <c r="V14" s="2244"/>
      <c r="W14" s="2340"/>
      <c r="X14" s="2244"/>
      <c r="Y14" s="2244"/>
      <c r="Z14" s="2279"/>
      <c r="AA14" s="2244"/>
      <c r="AB14" s="2244"/>
      <c r="AC14" s="2341"/>
      <c r="AD14" s="2244"/>
      <c r="AE14" s="2216"/>
      <c r="AF14" s="1415"/>
    </row>
    <row r="15" spans="1:33" ht="18" customHeight="1">
      <c r="A15" s="2234" t="s">
        <v>15</v>
      </c>
      <c r="B15" s="2256"/>
      <c r="C15" s="2234"/>
      <c r="D15" s="1351">
        <f>+'Exhibit A'!D14</f>
        <v>3224.9</v>
      </c>
      <c r="E15" s="647" t="s">
        <v>14</v>
      </c>
      <c r="F15" s="647">
        <f>+'Exhibit A'!F14</f>
        <v>17897.599999999999</v>
      </c>
      <c r="G15" s="647"/>
      <c r="H15" s="2342">
        <f>+'Exhibit G State'!N17</f>
        <v>0</v>
      </c>
      <c r="I15" s="647"/>
      <c r="J15" s="2343">
        <f>'Exhibit G State'!AD17</f>
        <v>0</v>
      </c>
      <c r="K15" s="647"/>
      <c r="L15" s="1409">
        <f>+'Exhibit A'!L14</f>
        <v>3224.8999999999978</v>
      </c>
      <c r="M15" s="647"/>
      <c r="N15" s="647">
        <f>+'Exhibit A'!N14</f>
        <v>17897.599999999999</v>
      </c>
      <c r="O15" s="2250"/>
      <c r="P15" s="2344"/>
      <c r="Q15" s="2345"/>
      <c r="R15" s="647">
        <f t="shared" ref="R15:R20" si="0">ROUND(SUM(D15+H15+L15),1)</f>
        <v>6449.8</v>
      </c>
      <c r="S15" s="647"/>
      <c r="T15" s="3920">
        <f t="shared" ref="T15:T20" si="1">ROUND(SUM(F15+J15+N15),1)</f>
        <v>35795.199999999997</v>
      </c>
      <c r="U15" s="2346"/>
      <c r="V15" s="2346"/>
      <c r="W15" s="2347"/>
      <c r="X15" s="2346"/>
      <c r="Y15" s="2346">
        <v>5271.4</v>
      </c>
      <c r="Z15" s="2346" t="s">
        <v>14</v>
      </c>
      <c r="AA15" s="2346">
        <f>'Exhibit F'!AF26+'Exhibit G State'!AG17+'Exhibit H'!AD16</f>
        <v>26859</v>
      </c>
      <c r="AB15" s="2348"/>
      <c r="AC15" s="2349"/>
      <c r="AD15" s="2346">
        <f t="shared" ref="AD15:AD20" si="2">ROUND(SUM(T15-AA15),1)</f>
        <v>8936.2000000000007</v>
      </c>
      <c r="AE15" s="2254"/>
      <c r="AF15" s="1412">
        <f>ROUND(+AD15/AA15,3)</f>
        <v>0.33300000000000002</v>
      </c>
    </row>
    <row r="16" spans="1:33" ht="18" customHeight="1">
      <c r="A16" s="2234" t="s">
        <v>16</v>
      </c>
      <c r="B16" s="2256" t="s">
        <v>14</v>
      </c>
      <c r="C16" s="2234"/>
      <c r="D16" s="608">
        <f>+'Exhibit A'!D15</f>
        <v>460</v>
      </c>
      <c r="E16" s="9"/>
      <c r="F16" s="9">
        <f>+'Exhibit A'!F15</f>
        <v>2353.1999999999998</v>
      </c>
      <c r="G16" s="9"/>
      <c r="H16" s="2350">
        <f>+'Exhibit G State'!N28</f>
        <v>191.9</v>
      </c>
      <c r="I16" s="9"/>
      <c r="J16" s="2351">
        <f>'Exhibit G State'!AD28</f>
        <v>1024.5999999999999</v>
      </c>
      <c r="K16" s="9"/>
      <c r="L16" s="608">
        <f>+'Exhibit A'!L15</f>
        <v>1222.7</v>
      </c>
      <c r="M16" s="9"/>
      <c r="N16" s="9">
        <f>+'Exhibit A'!N15</f>
        <v>6120.1</v>
      </c>
      <c r="O16" s="14"/>
      <c r="P16" s="2352"/>
      <c r="Q16" s="2353"/>
      <c r="R16" s="9">
        <f t="shared" si="0"/>
        <v>1874.6</v>
      </c>
      <c r="S16" s="9"/>
      <c r="T16" s="3351">
        <f t="shared" si="1"/>
        <v>9497.9</v>
      </c>
      <c r="U16" s="19"/>
      <c r="V16" s="19"/>
      <c r="W16" s="2285"/>
      <c r="X16" s="19"/>
      <c r="Y16" s="19">
        <v>1683.1000000000001</v>
      </c>
      <c r="Z16" s="19" t="s">
        <v>14</v>
      </c>
      <c r="AA16" s="19">
        <f>'Exhibit F'!AF36+'Exhibit G State'!AG28+'Exhibit H'!AD20</f>
        <v>7468</v>
      </c>
      <c r="AB16" s="2244"/>
      <c r="AC16" s="2341"/>
      <c r="AD16" s="19">
        <f t="shared" si="2"/>
        <v>2029.9</v>
      </c>
      <c r="AE16" s="2216"/>
      <c r="AF16" s="1412">
        <f t="shared" ref="AF16:AF21" si="3">ROUND(+AD16/AA16,3)</f>
        <v>0.27200000000000002</v>
      </c>
    </row>
    <row r="17" spans="1:32" ht="18" customHeight="1">
      <c r="A17" s="2234" t="s">
        <v>17</v>
      </c>
      <c r="B17" s="2260"/>
      <c r="C17" s="2234"/>
      <c r="D17" s="608">
        <f>+'Exhibit A'!D16</f>
        <v>1707.9</v>
      </c>
      <c r="E17" s="9"/>
      <c r="F17" s="9">
        <f>+'Exhibit A'!F16</f>
        <v>4424.2</v>
      </c>
      <c r="G17" s="9"/>
      <c r="H17" s="2350">
        <f>+'Exhibit G State'!N35</f>
        <v>358.9</v>
      </c>
      <c r="I17" s="9"/>
      <c r="J17" s="2351">
        <f>'Exhibit G State'!AD35</f>
        <v>1163.3</v>
      </c>
      <c r="K17" s="9"/>
      <c r="L17" s="608">
        <f>+'Exhibit A'!L16</f>
        <v>0</v>
      </c>
      <c r="M17" s="9"/>
      <c r="N17" s="9">
        <f>+'Exhibit A'!N16</f>
        <v>0</v>
      </c>
      <c r="O17" s="16"/>
      <c r="P17" s="2355"/>
      <c r="Q17" s="2356"/>
      <c r="R17" s="9">
        <f t="shared" si="0"/>
        <v>2066.8000000000002</v>
      </c>
      <c r="S17" s="9"/>
      <c r="T17" s="3351">
        <f t="shared" si="1"/>
        <v>5587.5</v>
      </c>
      <c r="U17" s="19"/>
      <c r="V17" s="19"/>
      <c r="W17" s="2357"/>
      <c r="X17" s="18"/>
      <c r="Y17" s="19">
        <v>1555</v>
      </c>
      <c r="Z17" s="19" t="s">
        <v>14</v>
      </c>
      <c r="AA17" s="19">
        <f>'Exhibit F'!AF43+'Exhibit G State'!AG35</f>
        <v>3759.3999999999996</v>
      </c>
      <c r="AB17" s="2244"/>
      <c r="AC17" s="2341"/>
      <c r="AD17" s="19">
        <f t="shared" si="2"/>
        <v>1828.1</v>
      </c>
      <c r="AE17" s="2216"/>
      <c r="AF17" s="1412">
        <f t="shared" si="3"/>
        <v>0.48599999999999999</v>
      </c>
    </row>
    <row r="18" spans="1:32" ht="18" customHeight="1">
      <c r="A18" s="2234" t="s">
        <v>18</v>
      </c>
      <c r="B18" s="2256" t="s">
        <v>14</v>
      </c>
      <c r="C18" s="2234"/>
      <c r="D18" s="608">
        <f>+'Exhibit A'!D17</f>
        <v>110.8</v>
      </c>
      <c r="E18" s="9"/>
      <c r="F18" s="9">
        <f>+'Exhibit A'!F17</f>
        <v>667.6</v>
      </c>
      <c r="G18" s="9"/>
      <c r="H18" s="2350">
        <v>0</v>
      </c>
      <c r="I18" s="9"/>
      <c r="J18" s="2351">
        <v>0</v>
      </c>
      <c r="K18" s="9"/>
      <c r="L18" s="608">
        <f>+'Exhibit A'!L17</f>
        <v>133.4</v>
      </c>
      <c r="M18" s="9"/>
      <c r="N18" s="9">
        <f>+'Exhibit A'!N17</f>
        <v>728.59999999999991</v>
      </c>
      <c r="O18" s="14"/>
      <c r="P18" s="2352"/>
      <c r="Q18" s="2353"/>
      <c r="R18" s="9">
        <f t="shared" si="0"/>
        <v>244.2</v>
      </c>
      <c r="S18" s="9"/>
      <c r="T18" s="3351">
        <f t="shared" si="1"/>
        <v>1396.2</v>
      </c>
      <c r="U18" s="19"/>
      <c r="V18" s="19"/>
      <c r="W18" s="2285"/>
      <c r="X18" s="19"/>
      <c r="Y18" s="19">
        <v>162.5</v>
      </c>
      <c r="Z18" s="19" t="s">
        <v>14</v>
      </c>
      <c r="AA18" s="19">
        <f>'Exhibit F'!AF51+'Exhibit H'!AD24</f>
        <v>895.7</v>
      </c>
      <c r="AB18" s="2244"/>
      <c r="AC18" s="2341"/>
      <c r="AD18" s="19">
        <f t="shared" si="2"/>
        <v>500.5</v>
      </c>
      <c r="AE18" s="2216"/>
      <c r="AF18" s="1412">
        <f t="shared" si="3"/>
        <v>0.55900000000000005</v>
      </c>
    </row>
    <row r="19" spans="1:32" ht="18" customHeight="1">
      <c r="A19" s="2234" t="s">
        <v>19</v>
      </c>
      <c r="B19" s="2256" t="s">
        <v>14</v>
      </c>
      <c r="C19" s="2234"/>
      <c r="D19" s="608">
        <f>+'Exhibit A'!D18</f>
        <v>256.5</v>
      </c>
      <c r="E19" s="608"/>
      <c r="F19" s="9">
        <f>+'Exhibit A'!F18</f>
        <v>976.6</v>
      </c>
      <c r="G19" s="9"/>
      <c r="H19" s="2350">
        <f>+'Exhibit G State'!N80</f>
        <v>1873.5</v>
      </c>
      <c r="I19" s="9"/>
      <c r="J19" s="2351">
        <f>'Exhibit G State'!AD80</f>
        <v>8925.4</v>
      </c>
      <c r="K19" s="9"/>
      <c r="L19" s="608">
        <f>+'Exhibit A'!L18</f>
        <v>43.1</v>
      </c>
      <c r="M19" s="9"/>
      <c r="N19" s="9">
        <f>+'Exhibit A'!N18</f>
        <v>222.1</v>
      </c>
      <c r="O19" s="14"/>
      <c r="P19" s="2352"/>
      <c r="Q19" s="2353"/>
      <c r="R19" s="9">
        <f t="shared" si="0"/>
        <v>2173.1</v>
      </c>
      <c r="S19" s="9"/>
      <c r="T19" s="3351">
        <f t="shared" si="1"/>
        <v>10124.1</v>
      </c>
      <c r="U19" s="19"/>
      <c r="V19" s="19"/>
      <c r="W19" s="2285"/>
      <c r="X19" s="19"/>
      <c r="Y19" s="19">
        <v>1955.2</v>
      </c>
      <c r="Z19" s="19" t="s">
        <v>14</v>
      </c>
      <c r="AA19" s="19">
        <f>+'Exhibit F'!AF92+'Exhibit G State'!AG80+'Exhibit H'!AD47</f>
        <v>13842.9</v>
      </c>
      <c r="AB19" s="2244"/>
      <c r="AC19" s="2341"/>
      <c r="AD19" s="19">
        <f t="shared" si="2"/>
        <v>-3718.8</v>
      </c>
      <c r="AE19" s="2216"/>
      <c r="AF19" s="1412">
        <f t="shared" si="3"/>
        <v>-0.26900000000000002</v>
      </c>
    </row>
    <row r="20" spans="1:32" ht="18" customHeight="1">
      <c r="A20" s="2234" t="s">
        <v>20</v>
      </c>
      <c r="B20" s="2273"/>
      <c r="C20" s="2234"/>
      <c r="D20" s="608">
        <f>+'Exhibit A'!D19</f>
        <v>-0.30000000000000004</v>
      </c>
      <c r="E20" s="9"/>
      <c r="F20" s="9">
        <f>+'Exhibit A'!F19</f>
        <v>0</v>
      </c>
      <c r="G20" s="9"/>
      <c r="H20" s="2350">
        <f>+'Exhibit G State'!N82</f>
        <v>0</v>
      </c>
      <c r="I20" s="9"/>
      <c r="J20" s="2351">
        <f>'Exhibit G State'!AD82</f>
        <v>0.1</v>
      </c>
      <c r="K20" s="9"/>
      <c r="L20" s="608">
        <f>+'Exhibit A'!L19</f>
        <v>0</v>
      </c>
      <c r="M20" s="10"/>
      <c r="N20" s="9">
        <f>+'Exhibit A'!N19</f>
        <v>30.2</v>
      </c>
      <c r="O20" s="16"/>
      <c r="P20" s="2355"/>
      <c r="Q20" s="2356"/>
      <c r="R20" s="10">
        <f t="shared" si="0"/>
        <v>-0.3</v>
      </c>
      <c r="S20" s="16"/>
      <c r="T20" s="3351">
        <f t="shared" si="1"/>
        <v>30.3</v>
      </c>
      <c r="U20" s="19"/>
      <c r="V20" s="19"/>
      <c r="W20" s="2357"/>
      <c r="X20" s="2358"/>
      <c r="Y20" s="19">
        <v>49.9</v>
      </c>
      <c r="Z20" s="19" t="s">
        <v>14</v>
      </c>
      <c r="AA20" s="19">
        <f>+'Exhibit F'!AF94+'Exhibit G State'!AG82+'Exhibit H'!AD49</f>
        <v>52.4</v>
      </c>
      <c r="AB20" s="2244"/>
      <c r="AC20" s="2341"/>
      <c r="AD20" s="19">
        <f t="shared" si="2"/>
        <v>-22.1</v>
      </c>
      <c r="AE20" s="2216"/>
      <c r="AF20" s="1451">
        <f>ROUND(IF(AA20=0,1,AD20/ABS(AA20)),3)</f>
        <v>-0.42199999999999999</v>
      </c>
    </row>
    <row r="21" spans="1:32" ht="18" customHeight="1">
      <c r="A21" s="2233" t="s">
        <v>21</v>
      </c>
      <c r="B21" s="2234"/>
      <c r="C21" s="2234"/>
      <c r="D21" s="12">
        <f>ROUND(SUM(D15:D20),1)</f>
        <v>5759.8</v>
      </c>
      <c r="E21" s="1352"/>
      <c r="F21" s="11">
        <f>ROUND(SUM(F15:F20),1)</f>
        <v>26319.200000000001</v>
      </c>
      <c r="G21" s="1352"/>
      <c r="H21" s="12">
        <f>ROUND(SUM(H15:H20),1)</f>
        <v>2424.3000000000002</v>
      </c>
      <c r="I21" s="1352"/>
      <c r="J21" s="12">
        <f>ROUND(SUM(J15:J20),1)</f>
        <v>11113.4</v>
      </c>
      <c r="K21" s="1352"/>
      <c r="L21" s="12">
        <f>ROUND(SUM(L15:L20),1)</f>
        <v>4624.1000000000004</v>
      </c>
      <c r="M21" s="1352"/>
      <c r="N21" s="12">
        <f>ROUND(SUM(N15:N20),1)</f>
        <v>24998.6</v>
      </c>
      <c r="O21" s="2263"/>
      <c r="P21" s="2359"/>
      <c r="Q21" s="2360"/>
      <c r="R21" s="12">
        <f>ROUND(SUM(R15:R20),1)</f>
        <v>12808.2</v>
      </c>
      <c r="S21" s="2263"/>
      <c r="T21" s="1543">
        <f>ROUND(SUM(T15:T20),1)</f>
        <v>62431.199999999997</v>
      </c>
      <c r="U21" s="1464"/>
      <c r="V21" s="1464"/>
      <c r="W21" s="2289"/>
      <c r="X21" s="1464"/>
      <c r="Y21" s="1543">
        <f>ROUND(SUM(Y15:Y20),1)</f>
        <v>10677.1</v>
      </c>
      <c r="Z21" s="20"/>
      <c r="AA21" s="1543">
        <f>ROUND(SUM(AA15:AA20),1)</f>
        <v>52877.4</v>
      </c>
      <c r="AB21" s="2290"/>
      <c r="AC21" s="2361"/>
      <c r="AD21" s="1543">
        <f>ROUND(SUM(AD15:AD20),1)</f>
        <v>9553.7999999999993</v>
      </c>
      <c r="AE21" s="2265"/>
      <c r="AF21" s="1428">
        <f t="shared" si="3"/>
        <v>0.18099999999999999</v>
      </c>
    </row>
    <row r="22" spans="1:32" ht="16.399999999999999" customHeight="1">
      <c r="A22" s="2233"/>
      <c r="B22" s="2234"/>
      <c r="C22" s="2234"/>
      <c r="D22" s="609"/>
      <c r="E22" s="9"/>
      <c r="F22" s="14"/>
      <c r="G22" s="9"/>
      <c r="H22" s="609"/>
      <c r="I22" s="9"/>
      <c r="J22" s="14"/>
      <c r="K22" s="9"/>
      <c r="L22" s="609"/>
      <c r="M22" s="9"/>
      <c r="N22" s="14"/>
      <c r="O22" s="14"/>
      <c r="P22" s="2352"/>
      <c r="Q22" s="2353"/>
      <c r="R22" s="14"/>
      <c r="S22" s="14"/>
      <c r="T22" s="1411"/>
      <c r="U22" s="1411"/>
      <c r="V22" s="1411"/>
      <c r="W22" s="2285"/>
      <c r="X22" s="1411"/>
      <c r="Y22" s="1411"/>
      <c r="Z22" s="19"/>
      <c r="AA22" s="1411"/>
      <c r="AB22" s="2244"/>
      <c r="AC22" s="2341"/>
      <c r="AD22" s="1411"/>
      <c r="AE22" s="2216"/>
      <c r="AF22" s="1415"/>
    </row>
    <row r="23" spans="1:32" ht="16.399999999999999" customHeight="1">
      <c r="A23" s="2233" t="s">
        <v>22</v>
      </c>
      <c r="B23" s="2234"/>
      <c r="C23" s="2234"/>
      <c r="D23" s="608"/>
      <c r="E23" s="9"/>
      <c r="F23" s="9"/>
      <c r="G23" s="9"/>
      <c r="H23" s="608"/>
      <c r="I23" s="9"/>
      <c r="J23" s="9"/>
      <c r="K23" s="9"/>
      <c r="L23" s="608"/>
      <c r="M23" s="9"/>
      <c r="N23" s="9"/>
      <c r="O23" s="14"/>
      <c r="P23" s="2352"/>
      <c r="Q23" s="2353"/>
      <c r="R23" s="9"/>
      <c r="S23" s="9"/>
      <c r="T23" s="19"/>
      <c r="U23" s="19"/>
      <c r="V23" s="19"/>
      <c r="W23" s="2285"/>
      <c r="X23" s="19"/>
      <c r="Y23" s="19"/>
      <c r="Z23" s="19"/>
      <c r="AA23" s="19"/>
      <c r="AB23" s="2244"/>
      <c r="AC23" s="2341"/>
      <c r="AD23" s="19"/>
      <c r="AE23" s="2216"/>
      <c r="AF23" s="1415"/>
    </row>
    <row r="24" spans="1:32" ht="16.399999999999999" customHeight="1">
      <c r="A24" s="2234" t="s">
        <v>23</v>
      </c>
      <c r="B24" s="2362" t="s">
        <v>14</v>
      </c>
      <c r="C24" s="2234"/>
      <c r="D24" s="610"/>
      <c r="E24" s="10"/>
      <c r="F24" s="15"/>
      <c r="G24" s="9"/>
      <c r="H24" s="610"/>
      <c r="I24" s="10"/>
      <c r="J24" s="15"/>
      <c r="K24" s="9"/>
      <c r="L24" s="610"/>
      <c r="M24" s="9"/>
      <c r="N24" s="10"/>
      <c r="O24" s="14"/>
      <c r="P24" s="2352"/>
      <c r="Q24" s="2353"/>
      <c r="R24" s="10"/>
      <c r="S24" s="10"/>
      <c r="T24" s="18"/>
      <c r="U24" s="19"/>
      <c r="V24" s="19"/>
      <c r="W24" s="2285"/>
      <c r="X24" s="18"/>
      <c r="Y24" s="19"/>
      <c r="Z24" s="19"/>
      <c r="AA24" s="19"/>
      <c r="AB24" s="2244"/>
      <c r="AC24" s="2341"/>
      <c r="AD24" s="2363"/>
      <c r="AE24" s="2216"/>
      <c r="AF24" s="2268"/>
    </row>
    <row r="25" spans="1:32" ht="18" customHeight="1">
      <c r="A25" s="2269" t="s">
        <v>24</v>
      </c>
      <c r="B25" s="2234"/>
      <c r="C25" s="2234"/>
      <c r="D25" s="1353">
        <f>+'Exhibit A'!D24</f>
        <v>1656.900000000001</v>
      </c>
      <c r="E25" s="9"/>
      <c r="F25" s="2364">
        <f>+'Exhibit A'!F24</f>
        <v>11143.6</v>
      </c>
      <c r="G25" s="9"/>
      <c r="H25" s="1353">
        <f>+'Exhibit G State'!N88</f>
        <v>2353.3000000000002</v>
      </c>
      <c r="I25" s="9"/>
      <c r="J25" s="2364">
        <f>+'Exhibit G State'!AD88</f>
        <v>2679.5</v>
      </c>
      <c r="K25" s="9"/>
      <c r="L25" s="610">
        <f>+'Exhibit A'!L24</f>
        <v>0</v>
      </c>
      <c r="M25" s="9"/>
      <c r="N25" s="10">
        <f>+'Exhibit A'!N24</f>
        <v>0</v>
      </c>
      <c r="O25" s="16"/>
      <c r="P25" s="2355"/>
      <c r="Q25" s="2356"/>
      <c r="R25" s="2354">
        <f>ROUND(SUM(D25+H25+L25),1)</f>
        <v>4010.2</v>
      </c>
      <c r="S25" s="2354"/>
      <c r="T25" s="3351">
        <f>ROUND(SUM(F25+J25+N25),1)</f>
        <v>13823.1</v>
      </c>
      <c r="U25" s="19"/>
      <c r="V25" s="19"/>
      <c r="W25" s="2357"/>
      <c r="X25" s="18"/>
      <c r="Y25" s="19">
        <v>3861.8</v>
      </c>
      <c r="Z25" s="19" t="s">
        <v>14</v>
      </c>
      <c r="AA25" s="19">
        <f>+'Exhibit F'!AF100+'Exhibit G State'!AG88</f>
        <v>13510.1</v>
      </c>
      <c r="AB25" s="2244"/>
      <c r="AC25" s="2341"/>
      <c r="AD25" s="19">
        <f>ROUND(SUM(T25-AA25),1)</f>
        <v>313</v>
      </c>
      <c r="AE25" s="2216"/>
      <c r="AF25" s="1412">
        <f>ROUND(+AD25/AA25,3)</f>
        <v>2.3E-2</v>
      </c>
    </row>
    <row r="26" spans="1:32" ht="18" customHeight="1">
      <c r="A26" s="2269" t="s">
        <v>25</v>
      </c>
      <c r="B26" s="2271"/>
      <c r="C26" s="2234"/>
      <c r="D26" s="1353">
        <f>+'Exhibit A'!D25</f>
        <v>0</v>
      </c>
      <c r="E26" s="9"/>
      <c r="F26" s="2364">
        <f>+'Exhibit A'!F25</f>
        <v>5.9</v>
      </c>
      <c r="G26" s="9"/>
      <c r="H26" s="1353">
        <f>+'Exhibit G State'!N89</f>
        <v>0.19999999999999996</v>
      </c>
      <c r="I26" s="2354"/>
      <c r="J26" s="2364">
        <f>+'Exhibit G State'!AD89</f>
        <v>1.8</v>
      </c>
      <c r="K26" s="9"/>
      <c r="L26" s="610">
        <f>+'Exhibit A'!L25</f>
        <v>0</v>
      </c>
      <c r="M26" s="9"/>
      <c r="N26" s="10">
        <f>+'Exhibit A'!N25</f>
        <v>0</v>
      </c>
      <c r="O26" s="16"/>
      <c r="P26" s="2355"/>
      <c r="Q26" s="2356"/>
      <c r="R26" s="2354">
        <f t="shared" ref="R26:R33" si="4">ROUND(SUM(D26+H26+L26),1)</f>
        <v>0.2</v>
      </c>
      <c r="S26" s="2354"/>
      <c r="T26" s="3351">
        <f t="shared" ref="T26:T33" si="5">ROUND(SUM(F26+J26+N26),1)</f>
        <v>7.7</v>
      </c>
      <c r="U26" s="19"/>
      <c r="V26" s="19"/>
      <c r="W26" s="2357"/>
      <c r="X26" s="18"/>
      <c r="Y26" s="19">
        <v>0.4</v>
      </c>
      <c r="Z26" s="19" t="s">
        <v>14</v>
      </c>
      <c r="AA26" s="19">
        <f>+'Exhibit F'!AF101+'Exhibit G State'!AG89</f>
        <v>0.9</v>
      </c>
      <c r="AB26" s="2244"/>
      <c r="AC26" s="2341"/>
      <c r="AD26" s="19">
        <f>ROUND(SUM(T26-AA26),1)</f>
        <v>6.8</v>
      </c>
      <c r="AE26" s="2216"/>
      <c r="AF26" s="1451">
        <f>ROUND(IF(AA26=0,1,AD26/ABS(AA26)),3)</f>
        <v>7.556</v>
      </c>
    </row>
    <row r="27" spans="1:32" ht="18" customHeight="1">
      <c r="A27" s="2269" t="s">
        <v>26</v>
      </c>
      <c r="B27" s="2272"/>
      <c r="C27" s="2234"/>
      <c r="D27" s="1353">
        <f>+'Exhibit A'!D26</f>
        <v>109.40000000000003</v>
      </c>
      <c r="E27" s="9"/>
      <c r="F27" s="2364">
        <f>+'Exhibit A'!F26</f>
        <v>608.9</v>
      </c>
      <c r="G27" s="9"/>
      <c r="H27" s="1353">
        <f>+'Exhibit G State'!N90</f>
        <v>9.9000000000000057</v>
      </c>
      <c r="I27" s="9"/>
      <c r="J27" s="2364">
        <f>+'Exhibit G State'!AD90</f>
        <v>85.5</v>
      </c>
      <c r="K27" s="9"/>
      <c r="L27" s="610">
        <f>+'Exhibit A'!L26</f>
        <v>0</v>
      </c>
      <c r="M27" s="9"/>
      <c r="N27" s="10">
        <f>+'Exhibit A'!N26</f>
        <v>0</v>
      </c>
      <c r="O27" s="16"/>
      <c r="P27" s="2355"/>
      <c r="Q27" s="2356"/>
      <c r="R27" s="2354">
        <f t="shared" si="4"/>
        <v>119.3</v>
      </c>
      <c r="S27" s="2354"/>
      <c r="T27" s="3351">
        <f t="shared" si="5"/>
        <v>694.4</v>
      </c>
      <c r="U27" s="19"/>
      <c r="V27" s="19"/>
      <c r="W27" s="2357"/>
      <c r="X27" s="18"/>
      <c r="Y27" s="19">
        <v>62.5</v>
      </c>
      <c r="Z27" s="19" t="s">
        <v>14</v>
      </c>
      <c r="AA27" s="19">
        <f>+'Exhibit F'!AF102+'Exhibit G State'!AG90</f>
        <v>637.19999999999993</v>
      </c>
      <c r="AB27" s="2244"/>
      <c r="AC27" s="2341"/>
      <c r="AD27" s="19">
        <f>ROUND(SUM(T27-AA27),1)</f>
        <v>57.2</v>
      </c>
      <c r="AE27" s="2216"/>
      <c r="AF27" s="1412">
        <f>ROUND(+AD27/AA27,3)</f>
        <v>0.09</v>
      </c>
    </row>
    <row r="28" spans="1:32" ht="18" customHeight="1">
      <c r="A28" s="2269" t="s">
        <v>27</v>
      </c>
      <c r="B28" s="2272"/>
      <c r="C28" s="2234"/>
      <c r="D28" s="1353"/>
      <c r="E28" s="9"/>
      <c r="F28" s="2364"/>
      <c r="G28" s="9"/>
      <c r="H28" s="1353"/>
      <c r="I28" s="9"/>
      <c r="J28" s="2364"/>
      <c r="K28" s="9"/>
      <c r="L28" s="610"/>
      <c r="M28" s="9"/>
      <c r="N28" s="10"/>
      <c r="O28" s="16"/>
      <c r="P28" s="2355"/>
      <c r="Q28" s="2356"/>
      <c r="R28" s="1408" t="s">
        <v>14</v>
      </c>
      <c r="S28" s="2354"/>
      <c r="T28" s="3454" t="s">
        <v>14</v>
      </c>
      <c r="U28" s="19"/>
      <c r="V28" s="19"/>
      <c r="W28" s="2357"/>
      <c r="X28" s="18"/>
      <c r="Y28" s="612"/>
      <c r="Z28" s="19" t="s">
        <v>14</v>
      </c>
      <c r="AA28" s="612" t="s">
        <v>14</v>
      </c>
      <c r="AB28" s="2244"/>
      <c r="AC28" s="2341"/>
      <c r="AD28" s="19"/>
      <c r="AE28" s="2216"/>
      <c r="AF28" s="1412"/>
    </row>
    <row r="29" spans="1:32" ht="18" customHeight="1">
      <c r="A29" s="2365" t="s">
        <v>28</v>
      </c>
      <c r="B29" s="2273"/>
      <c r="C29" s="2234"/>
      <c r="D29" s="1353">
        <f>+'Exhibit A'!D28</f>
        <v>1322.6000000000004</v>
      </c>
      <c r="E29" s="9"/>
      <c r="F29" s="2364">
        <f>+'Exhibit A'!F28</f>
        <v>9783.7000000000007</v>
      </c>
      <c r="G29" s="9"/>
      <c r="H29" s="1353">
        <f>+'Exhibit G State'!N92</f>
        <v>472.19999999999982</v>
      </c>
      <c r="I29" s="9"/>
      <c r="J29" s="2364">
        <f>+'Exhibit G State'!AD92</f>
        <v>2647</v>
      </c>
      <c r="K29" s="9"/>
      <c r="L29" s="610">
        <f>+'Exhibit A'!L28</f>
        <v>0</v>
      </c>
      <c r="M29" s="9"/>
      <c r="N29" s="10">
        <f>+'Exhibit A'!N28</f>
        <v>0</v>
      </c>
      <c r="O29" s="16"/>
      <c r="P29" s="2355"/>
      <c r="Q29" s="2356"/>
      <c r="R29" s="2354">
        <f t="shared" si="4"/>
        <v>1794.8</v>
      </c>
      <c r="S29" s="2354"/>
      <c r="T29" s="3351">
        <f t="shared" si="5"/>
        <v>12430.7</v>
      </c>
      <c r="U29" s="19"/>
      <c r="V29" s="19"/>
      <c r="W29" s="2357"/>
      <c r="X29" s="18"/>
      <c r="Y29" s="19">
        <v>2135.5</v>
      </c>
      <c r="Z29" s="19" t="s">
        <v>14</v>
      </c>
      <c r="AA29" s="19">
        <f>+'Exhibit F'!AF104+'Exhibit G State'!AG92</f>
        <v>11048.8</v>
      </c>
      <c r="AB29" s="2244"/>
      <c r="AC29" s="2341"/>
      <c r="AD29" s="19">
        <f t="shared" ref="AD29:AD34" si="6">ROUND(SUM(T29-AA29),1)</f>
        <v>1381.9</v>
      </c>
      <c r="AE29" s="2216"/>
      <c r="AF29" s="1412">
        <f t="shared" ref="AF29:AF34" si="7">ROUND(+AD29/AA29,3)</f>
        <v>0.125</v>
      </c>
    </row>
    <row r="30" spans="1:32" ht="18" customHeight="1">
      <c r="A30" s="2269" t="s">
        <v>29</v>
      </c>
      <c r="B30" s="2272"/>
      <c r="C30" s="2234"/>
      <c r="D30" s="1353">
        <f>+'Exhibit A'!D29</f>
        <v>317.49999999999989</v>
      </c>
      <c r="E30" s="9"/>
      <c r="F30" s="2364">
        <f>+'Exhibit A'!F29</f>
        <v>1138.3</v>
      </c>
      <c r="G30" s="9"/>
      <c r="H30" s="1353">
        <f>+'Exhibit G State'!N93</f>
        <v>118.00000000000006</v>
      </c>
      <c r="I30" s="9"/>
      <c r="J30" s="2364">
        <f>+'Exhibit G State'!AD93</f>
        <v>576</v>
      </c>
      <c r="K30" s="9"/>
      <c r="L30" s="610">
        <f>+'Exhibit A'!L29</f>
        <v>0</v>
      </c>
      <c r="M30" s="9"/>
      <c r="N30" s="10">
        <f>+'Exhibit A'!N29</f>
        <v>0</v>
      </c>
      <c r="O30" s="16"/>
      <c r="P30" s="2355"/>
      <c r="Q30" s="2356"/>
      <c r="R30" s="2354">
        <f t="shared" si="4"/>
        <v>435.5</v>
      </c>
      <c r="S30" s="2354"/>
      <c r="T30" s="3351">
        <f t="shared" si="5"/>
        <v>1714.3</v>
      </c>
      <c r="U30" s="19"/>
      <c r="V30" s="19"/>
      <c r="W30" s="2357"/>
      <c r="X30" s="18"/>
      <c r="Y30" s="19">
        <v>438.1</v>
      </c>
      <c r="Z30" s="19" t="s">
        <v>14</v>
      </c>
      <c r="AA30" s="19">
        <f>+'Exhibit F'!AF105+'Exhibit G State'!AG93</f>
        <v>1515.7</v>
      </c>
      <c r="AB30" s="2244"/>
      <c r="AC30" s="2341"/>
      <c r="AD30" s="19">
        <f t="shared" si="6"/>
        <v>198.6</v>
      </c>
      <c r="AE30" s="2216"/>
      <c r="AF30" s="1412">
        <f t="shared" si="7"/>
        <v>0.13100000000000001</v>
      </c>
    </row>
    <row r="31" spans="1:32" ht="18" customHeight="1">
      <c r="A31" s="2269" t="s">
        <v>30</v>
      </c>
      <c r="B31" s="2234"/>
      <c r="C31" s="2234"/>
      <c r="D31" s="1353">
        <f>+'Exhibit A'!D30</f>
        <v>19.400000000000006</v>
      </c>
      <c r="E31" s="9"/>
      <c r="F31" s="2364">
        <f>+'Exhibit A'!F30</f>
        <v>79.7</v>
      </c>
      <c r="G31" s="9"/>
      <c r="H31" s="1353">
        <f>+'Exhibit G State'!N94</f>
        <v>21.199999999999985</v>
      </c>
      <c r="I31" s="9"/>
      <c r="J31" s="2364">
        <f>+'Exhibit G State'!AD94</f>
        <v>125.1</v>
      </c>
      <c r="K31" s="9"/>
      <c r="L31" s="610">
        <f>+'Exhibit A'!L30</f>
        <v>0</v>
      </c>
      <c r="M31" s="9"/>
      <c r="N31" s="10">
        <f>+'Exhibit A'!N30</f>
        <v>0</v>
      </c>
      <c r="O31" s="16"/>
      <c r="P31" s="2355"/>
      <c r="Q31" s="2356"/>
      <c r="R31" s="2354">
        <f t="shared" si="4"/>
        <v>40.6</v>
      </c>
      <c r="S31" s="2354"/>
      <c r="T31" s="3351">
        <f t="shared" si="5"/>
        <v>204.8</v>
      </c>
      <c r="U31" s="19"/>
      <c r="V31" s="19"/>
      <c r="W31" s="2357"/>
      <c r="X31" s="18"/>
      <c r="Y31" s="19">
        <v>34.6</v>
      </c>
      <c r="Z31" s="19" t="s">
        <v>14</v>
      </c>
      <c r="AA31" s="19">
        <f>+'Exhibit F'!AF106+'Exhibit G State'!AG94</f>
        <v>117.39999999999999</v>
      </c>
      <c r="AB31" s="2244"/>
      <c r="AC31" s="2341"/>
      <c r="AD31" s="19">
        <f t="shared" si="6"/>
        <v>87.4</v>
      </c>
      <c r="AE31" s="2216"/>
      <c r="AF31" s="1412">
        <f t="shared" si="7"/>
        <v>0.74399999999999999</v>
      </c>
    </row>
    <row r="32" spans="1:32" ht="18" customHeight="1">
      <c r="A32" s="2269" t="s">
        <v>31</v>
      </c>
      <c r="B32" s="2234"/>
      <c r="C32" s="2234"/>
      <c r="D32" s="1353">
        <f>+'Exhibit A'!D31</f>
        <v>943.2</v>
      </c>
      <c r="E32" s="9"/>
      <c r="F32" s="2364">
        <f>+'Exhibit A'!F31</f>
        <v>2032.6</v>
      </c>
      <c r="G32" s="9"/>
      <c r="H32" s="1353">
        <f>+'Exhibit G State'!N95</f>
        <v>0.19999999999999996</v>
      </c>
      <c r="I32" s="9"/>
      <c r="J32" s="2364">
        <f>+'Exhibit G State'!AD95</f>
        <v>1.3</v>
      </c>
      <c r="K32" s="9"/>
      <c r="L32" s="610">
        <f>+'Exhibit A'!L31</f>
        <v>0</v>
      </c>
      <c r="M32" s="9"/>
      <c r="N32" s="10">
        <f>+'Exhibit A'!N31</f>
        <v>0</v>
      </c>
      <c r="O32" s="16"/>
      <c r="P32" s="2355"/>
      <c r="Q32" s="2356"/>
      <c r="R32" s="2354">
        <f t="shared" si="4"/>
        <v>943.4</v>
      </c>
      <c r="S32" s="2354"/>
      <c r="T32" s="3351">
        <f t="shared" si="5"/>
        <v>2033.9</v>
      </c>
      <c r="U32" s="19"/>
      <c r="V32" s="19"/>
      <c r="W32" s="2357"/>
      <c r="X32" s="18"/>
      <c r="Y32" s="19">
        <v>426.8</v>
      </c>
      <c r="Z32" s="19" t="s">
        <v>14</v>
      </c>
      <c r="AA32" s="612">
        <f>+'Exhibit F'!AF107+'Exhibit G State'!AG95</f>
        <v>1358.6</v>
      </c>
      <c r="AB32" s="2244"/>
      <c r="AC32" s="2341"/>
      <c r="AD32" s="19">
        <f t="shared" si="6"/>
        <v>675.3</v>
      </c>
      <c r="AE32" s="2216"/>
      <c r="AF32" s="1412">
        <f t="shared" si="7"/>
        <v>0.497</v>
      </c>
    </row>
    <row r="33" spans="1:32" ht="18" customHeight="1">
      <c r="A33" s="2269" t="s">
        <v>32</v>
      </c>
      <c r="B33" s="2234"/>
      <c r="C33" s="2234"/>
      <c r="D33" s="1353">
        <f>+'Exhibit A'!D32</f>
        <v>13.100000000000023</v>
      </c>
      <c r="E33" s="9"/>
      <c r="F33" s="2364">
        <f>+'Exhibit A'!F32</f>
        <v>272.5</v>
      </c>
      <c r="G33" s="9"/>
      <c r="H33" s="1353">
        <f>+'Exhibit G State'!N96</f>
        <v>14.8</v>
      </c>
      <c r="I33" s="9"/>
      <c r="J33" s="2364">
        <f>+'Exhibit G State'!AD96</f>
        <v>22.2</v>
      </c>
      <c r="K33" s="9"/>
      <c r="L33" s="610">
        <f>+'Exhibit A'!L32</f>
        <v>0</v>
      </c>
      <c r="M33" s="9"/>
      <c r="N33" s="10">
        <f>+'Exhibit A'!N32</f>
        <v>0</v>
      </c>
      <c r="O33" s="16"/>
      <c r="P33" s="2355"/>
      <c r="Q33" s="2356"/>
      <c r="R33" s="2354">
        <f t="shared" si="4"/>
        <v>27.9</v>
      </c>
      <c r="S33" s="2354"/>
      <c r="T33" s="3351">
        <f t="shared" si="5"/>
        <v>294.7</v>
      </c>
      <c r="U33" s="19"/>
      <c r="V33" s="19"/>
      <c r="W33" s="2357"/>
      <c r="X33" s="18"/>
      <c r="Y33" s="19">
        <v>10.9</v>
      </c>
      <c r="Z33" s="19" t="s">
        <v>14</v>
      </c>
      <c r="AA33" s="612">
        <f>+'Exhibit F'!AF108+'Exhibit G State'!AG96</f>
        <v>48</v>
      </c>
      <c r="AB33" s="2244"/>
      <c r="AC33" s="2341"/>
      <c r="AD33" s="19">
        <f t="shared" si="6"/>
        <v>246.7</v>
      </c>
      <c r="AE33" s="2216"/>
      <c r="AF33" s="1412">
        <f t="shared" si="7"/>
        <v>5.14</v>
      </c>
    </row>
    <row r="34" spans="1:32" ht="18" customHeight="1">
      <c r="A34" s="2269" t="s">
        <v>33</v>
      </c>
      <c r="B34" s="2234"/>
      <c r="C34" s="2234"/>
      <c r="D34" s="1353">
        <f>+'Exhibit A'!D33</f>
        <v>0.10000000000000853</v>
      </c>
      <c r="E34" s="9"/>
      <c r="F34" s="2364">
        <f>+'Exhibit A'!F33</f>
        <v>72.400000000000006</v>
      </c>
      <c r="G34" s="9"/>
      <c r="H34" s="1353">
        <f>+'Exhibit G State'!N97</f>
        <v>271.8000000000003</v>
      </c>
      <c r="I34" s="9"/>
      <c r="J34" s="2364">
        <f>+'Exhibit G State'!AD97</f>
        <v>1871.4</v>
      </c>
      <c r="K34" s="9"/>
      <c r="L34" s="610">
        <f>+'Exhibit A'!L33</f>
        <v>0</v>
      </c>
      <c r="M34" s="9"/>
      <c r="N34" s="10">
        <f>+'Exhibit A'!N33</f>
        <v>0</v>
      </c>
      <c r="O34" s="16"/>
      <c r="P34" s="2355"/>
      <c r="Q34" s="2356"/>
      <c r="R34" s="2366">
        <f>ROUND(SUM(D34+H34+L34),1)</f>
        <v>271.89999999999998</v>
      </c>
      <c r="S34" s="2354"/>
      <c r="T34" s="3927">
        <f>ROUND(SUM(F34+J34+N34),1)</f>
        <v>1943.8</v>
      </c>
      <c r="U34" s="19"/>
      <c r="V34" s="19"/>
      <c r="W34" s="2357"/>
      <c r="X34" s="18"/>
      <c r="Y34" s="19">
        <v>243.1</v>
      </c>
      <c r="Z34" s="19" t="s">
        <v>14</v>
      </c>
      <c r="AA34" s="1411">
        <f>+'Exhibit F'!AF109+'Exhibit G State'!AG97</f>
        <v>1449.2</v>
      </c>
      <c r="AB34" s="2244"/>
      <c r="AC34" s="2341"/>
      <c r="AD34" s="19">
        <f t="shared" si="6"/>
        <v>494.6</v>
      </c>
      <c r="AE34" s="2216"/>
      <c r="AF34" s="1412">
        <f t="shared" si="7"/>
        <v>0.34100000000000003</v>
      </c>
    </row>
    <row r="35" spans="1:32" ht="18" customHeight="1">
      <c r="A35" s="2233" t="s">
        <v>34</v>
      </c>
      <c r="B35" s="2234"/>
      <c r="C35" s="2234"/>
      <c r="D35" s="12">
        <f>ROUND(SUM(D25:D34),1)</f>
        <v>4382.2</v>
      </c>
      <c r="E35" s="1352"/>
      <c r="F35" s="12">
        <f>ROUND(SUM(F25:F34),1)</f>
        <v>25137.599999999999</v>
      </c>
      <c r="G35" s="1352"/>
      <c r="H35" s="12">
        <f>ROUND(SUM(H25:H34),1)</f>
        <v>3261.6</v>
      </c>
      <c r="I35" s="1352"/>
      <c r="J35" s="12">
        <f>ROUND(SUM(J25:J34),1)</f>
        <v>8009.8</v>
      </c>
      <c r="K35" s="1352"/>
      <c r="L35" s="2367">
        <f>ROUND(SUM(L25:L34),1)</f>
        <v>0</v>
      </c>
      <c r="M35" s="1352"/>
      <c r="N35" s="1410">
        <f>ROUND(SUM(N25:N34),1)</f>
        <v>0</v>
      </c>
      <c r="O35" s="2368"/>
      <c r="P35" s="2369"/>
      <c r="Q35" s="2370"/>
      <c r="R35" s="12">
        <f>ROUND(SUM(R25:R34),1)</f>
        <v>7643.8</v>
      </c>
      <c r="S35" s="2368"/>
      <c r="T35" s="1543">
        <f>ROUND(SUM(T25:T34),1)</f>
        <v>33147.4</v>
      </c>
      <c r="U35" s="1464"/>
      <c r="V35" s="1464"/>
      <c r="W35" s="2371"/>
      <c r="X35" s="2372"/>
      <c r="Y35" s="1543">
        <f>ROUND(SUM(Y25:Y34),1)</f>
        <v>7213.7</v>
      </c>
      <c r="Z35" s="20"/>
      <c r="AA35" s="1543">
        <f>ROUND(SUM(AA25:AA34),1)</f>
        <v>29685.9</v>
      </c>
      <c r="AB35" s="2290"/>
      <c r="AC35" s="2361"/>
      <c r="AD35" s="1543">
        <f>ROUND(SUM(AD25:AD34),1)</f>
        <v>3461.5</v>
      </c>
      <c r="AE35" s="2265"/>
      <c r="AF35" s="1428">
        <f>ROUND(+AD35/AA35,3)</f>
        <v>0.11700000000000001</v>
      </c>
    </row>
    <row r="36" spans="1:32" ht="18" customHeight="1">
      <c r="A36" s="2234" t="s">
        <v>35</v>
      </c>
      <c r="B36" s="2272"/>
      <c r="C36" s="2234"/>
      <c r="D36" s="608"/>
      <c r="E36" s="9"/>
      <c r="F36" s="9"/>
      <c r="G36" s="9"/>
      <c r="H36" s="608"/>
      <c r="I36" s="9"/>
      <c r="J36" s="9"/>
      <c r="K36" s="9"/>
      <c r="L36" s="608"/>
      <c r="M36" s="9"/>
      <c r="N36" s="9"/>
      <c r="O36" s="14"/>
      <c r="P36" s="2352"/>
      <c r="Q36" s="2353"/>
      <c r="R36" s="9"/>
      <c r="S36" s="9"/>
      <c r="T36" s="19"/>
      <c r="U36" s="19"/>
      <c r="V36" s="19"/>
      <c r="W36" s="2285"/>
      <c r="X36" s="19"/>
      <c r="Y36" s="19"/>
      <c r="Z36" s="19"/>
      <c r="AA36" s="19"/>
      <c r="AB36" s="2244"/>
      <c r="AC36" s="2341"/>
      <c r="AD36" s="19"/>
      <c r="AE36" s="2216"/>
      <c r="AF36" s="1415"/>
    </row>
    <row r="37" spans="1:32" ht="18" customHeight="1">
      <c r="A37" s="2234" t="s">
        <v>36</v>
      </c>
      <c r="B37" s="2271"/>
      <c r="C37" s="2234"/>
      <c r="D37" s="608">
        <f>+'Exhibit A'!D36</f>
        <v>820.1999999999997</v>
      </c>
      <c r="E37" s="9"/>
      <c r="F37" s="2364">
        <f>+'Exhibit A'!F36</f>
        <v>4172</v>
      </c>
      <c r="G37" s="9"/>
      <c r="H37" s="608">
        <f>+'Exhibit G State'!N100</f>
        <v>595.4000000000002</v>
      </c>
      <c r="I37" s="9"/>
      <c r="J37" s="2364">
        <f>+'Exhibit G State'!AD100</f>
        <v>2525.4</v>
      </c>
      <c r="K37" s="9"/>
      <c r="L37" s="611">
        <f>+'Exhibit A'!L36</f>
        <v>0</v>
      </c>
      <c r="M37" s="2354"/>
      <c r="N37" s="10">
        <f>+'Exhibit A'!N36</f>
        <v>0</v>
      </c>
      <c r="O37" s="16"/>
      <c r="P37" s="2355"/>
      <c r="Q37" s="2356"/>
      <c r="R37" s="2354">
        <f>ROUND(SUM(D37+H37+L37),1)</f>
        <v>1415.6</v>
      </c>
      <c r="S37" s="10"/>
      <c r="T37" s="19">
        <f>ROUND(SUM(F37+J37+N37),1)</f>
        <v>6697.4</v>
      </c>
      <c r="U37" s="19"/>
      <c r="V37" s="19"/>
      <c r="W37" s="2357"/>
      <c r="X37" s="18"/>
      <c r="Y37" s="19">
        <v>1443</v>
      </c>
      <c r="Z37" s="19" t="s">
        <v>14</v>
      </c>
      <c r="AA37" s="19">
        <f>+'Exhibit F'!AF112+'Exhibit G State'!AG100</f>
        <v>7082.2999999999993</v>
      </c>
      <c r="AB37" s="2244"/>
      <c r="AC37" s="2341"/>
      <c r="AD37" s="19">
        <f t="shared" ref="AD37:AD41" si="8">ROUND(SUM(T37-AA37),1)</f>
        <v>-384.9</v>
      </c>
      <c r="AE37" s="2216"/>
      <c r="AF37" s="1412">
        <f>ROUND(+AD37/AA37,3)</f>
        <v>-5.3999999999999999E-2</v>
      </c>
    </row>
    <row r="38" spans="1:32" ht="18" customHeight="1">
      <c r="A38" s="2279" t="s">
        <v>37</v>
      </c>
      <c r="B38" s="3470"/>
      <c r="C38" s="2279"/>
      <c r="D38" s="612">
        <f>+'Exhibit A'!D37</f>
        <v>248.09999999999985</v>
      </c>
      <c r="E38" s="19"/>
      <c r="F38" s="3471">
        <f>+'Exhibit A'!F37</f>
        <v>1161.8</v>
      </c>
      <c r="G38" s="19"/>
      <c r="H38" s="612">
        <f>+'Exhibit G State'!N101</f>
        <v>235.30000000000007</v>
      </c>
      <c r="I38" s="19"/>
      <c r="J38" s="3471">
        <f>+'Exhibit G State'!AD101</f>
        <v>1406.5</v>
      </c>
      <c r="K38" s="19"/>
      <c r="L38" s="1406">
        <f>+'Exhibit A'!L37</f>
        <v>2.1999999999999993</v>
      </c>
      <c r="M38" s="3351"/>
      <c r="N38" s="18">
        <f>+'Exhibit A'!N37</f>
        <v>0.8</v>
      </c>
      <c r="O38" s="1411"/>
      <c r="P38" s="2352"/>
      <c r="Q38" s="2374"/>
      <c r="R38" s="3351">
        <f>ROUND(SUM(D38+H38+L38),1)</f>
        <v>485.6</v>
      </c>
      <c r="S38" s="18"/>
      <c r="T38" s="19">
        <f>ROUND(SUM(F38+J38+N38),1)</f>
        <v>2569.1</v>
      </c>
      <c r="U38" s="19"/>
      <c r="V38" s="19"/>
      <c r="W38" s="2285"/>
      <c r="X38" s="19"/>
      <c r="Y38" s="19">
        <v>528.70000000000005</v>
      </c>
      <c r="Z38" s="19" t="s">
        <v>14</v>
      </c>
      <c r="AA38" s="19">
        <f>+'Exhibit F'!AF113+'Exhibit G State'!AG101+'Exhibit H'!AD55</f>
        <v>1857</v>
      </c>
      <c r="AB38" s="2244"/>
      <c r="AC38" s="2341"/>
      <c r="AD38" s="19">
        <f t="shared" si="8"/>
        <v>712.1</v>
      </c>
      <c r="AF38" s="1634">
        <f>ROUND(+AD38/AA38,3)</f>
        <v>0.38300000000000001</v>
      </c>
    </row>
    <row r="39" spans="1:32" ht="18" customHeight="1">
      <c r="A39" s="2234" t="s">
        <v>38</v>
      </c>
      <c r="B39" s="2256"/>
      <c r="C39" s="2234"/>
      <c r="D39" s="608">
        <f>+'Exhibit A'!D38</f>
        <v>611.89999999999964</v>
      </c>
      <c r="E39" s="9"/>
      <c r="F39" s="2364">
        <f>+'Exhibit A'!F38</f>
        <v>4912.7</v>
      </c>
      <c r="G39" s="9"/>
      <c r="H39" s="608">
        <f>+'Exhibit G State'!N102</f>
        <v>88.899999999999949</v>
      </c>
      <c r="I39" s="9"/>
      <c r="J39" s="2364">
        <f>+'Exhibit G State'!AD102</f>
        <v>472.7</v>
      </c>
      <c r="K39" s="9"/>
      <c r="L39" s="611">
        <f>+'Exhibit A'!L38</f>
        <v>0</v>
      </c>
      <c r="M39" s="9"/>
      <c r="N39" s="10">
        <f>+'Exhibit A'!N38</f>
        <v>0</v>
      </c>
      <c r="O39" s="16"/>
      <c r="P39" s="2355"/>
      <c r="Q39" s="2356"/>
      <c r="R39" s="2354">
        <f>ROUND(SUM(D39+H39+L39),1)</f>
        <v>700.8</v>
      </c>
      <c r="S39" s="10"/>
      <c r="T39" s="19">
        <f>ROUND(SUM(F39+J39+N39),1)</f>
        <v>5385.4</v>
      </c>
      <c r="U39" s="19"/>
      <c r="V39" s="19"/>
      <c r="W39" s="2357"/>
      <c r="X39" s="18"/>
      <c r="Y39" s="19">
        <v>592.6</v>
      </c>
      <c r="Z39" s="19" t="s">
        <v>14</v>
      </c>
      <c r="AA39" s="19">
        <f>+'Exhibit F'!AF114+'Exhibit G State'!AG102</f>
        <v>4789.5</v>
      </c>
      <c r="AB39" s="2244"/>
      <c r="AC39" s="2341"/>
      <c r="AD39" s="19">
        <f t="shared" si="8"/>
        <v>595.9</v>
      </c>
      <c r="AE39" s="2216"/>
      <c r="AF39" s="1412">
        <f>ROUND(+AD39/AA39,3)</f>
        <v>0.124</v>
      </c>
    </row>
    <row r="40" spans="1:32" ht="18" customHeight="1">
      <c r="A40" s="2234" t="s">
        <v>39</v>
      </c>
      <c r="B40" s="2234"/>
      <c r="C40" s="2234"/>
      <c r="D40" s="608"/>
      <c r="E40" s="9"/>
      <c r="F40" s="9"/>
      <c r="G40" s="9"/>
      <c r="H40" s="608"/>
      <c r="I40" s="9"/>
      <c r="J40" s="9"/>
      <c r="K40" s="9"/>
      <c r="L40" s="608"/>
      <c r="M40" s="9"/>
      <c r="N40" s="9"/>
      <c r="O40" s="14"/>
      <c r="P40" s="2352"/>
      <c r="Q40" s="2353"/>
      <c r="R40" s="1408" t="s">
        <v>14</v>
      </c>
      <c r="S40" s="9"/>
      <c r="T40" s="612" t="s">
        <v>14</v>
      </c>
      <c r="U40" s="19"/>
      <c r="V40" s="19"/>
      <c r="W40" s="2285"/>
      <c r="X40" s="19"/>
      <c r="Y40" s="612"/>
      <c r="Z40" s="19"/>
      <c r="AA40" s="612" t="s">
        <v>14</v>
      </c>
      <c r="AB40" s="2244"/>
      <c r="AC40" s="2341"/>
      <c r="AD40" s="19"/>
      <c r="AE40" s="2216"/>
      <c r="AF40" s="1412"/>
    </row>
    <row r="41" spans="1:32" ht="18" customHeight="1">
      <c r="A41" s="2234" t="s">
        <v>40</v>
      </c>
      <c r="B41" s="2373"/>
      <c r="C41" s="2234"/>
      <c r="D41" s="611">
        <v>0</v>
      </c>
      <c r="E41" s="9"/>
      <c r="F41" s="10">
        <v>0</v>
      </c>
      <c r="G41" s="9"/>
      <c r="H41" s="611">
        <v>0</v>
      </c>
      <c r="I41" s="9"/>
      <c r="J41" s="10">
        <v>0</v>
      </c>
      <c r="K41" s="9"/>
      <c r="L41" s="611">
        <f>+'Exhibit A'!L40</f>
        <v>742.19999999999982</v>
      </c>
      <c r="M41" s="2354"/>
      <c r="N41" s="10">
        <f>+'Exhibit A'!N40</f>
        <v>1198.2</v>
      </c>
      <c r="O41" s="14"/>
      <c r="P41" s="2352"/>
      <c r="Q41" s="2353"/>
      <c r="R41" s="2354">
        <f>ROUND(SUM(D41+H41+L41),1)</f>
        <v>742.2</v>
      </c>
      <c r="S41" s="9"/>
      <c r="T41" s="19">
        <f>ROUND(SUM(F41+J41+N41),1)</f>
        <v>1198.2</v>
      </c>
      <c r="U41" s="19"/>
      <c r="V41" s="19"/>
      <c r="W41" s="2285"/>
      <c r="X41" s="19"/>
      <c r="Y41" s="19">
        <v>841.8</v>
      </c>
      <c r="Z41" s="19" t="s">
        <v>14</v>
      </c>
      <c r="AA41" s="19">
        <f>+'Exhibit H'!AD57</f>
        <v>1279</v>
      </c>
      <c r="AB41" s="2244"/>
      <c r="AC41" s="2341"/>
      <c r="AD41" s="19">
        <f t="shared" si="8"/>
        <v>-80.8</v>
      </c>
      <c r="AE41" s="2216"/>
      <c r="AF41" s="1412">
        <f>ROUND(+AD41/AA41,3)</f>
        <v>-6.3E-2</v>
      </c>
    </row>
    <row r="42" spans="1:32" ht="18" customHeight="1">
      <c r="A42" s="2234" t="s">
        <v>41</v>
      </c>
      <c r="B42" s="2271"/>
      <c r="C42" s="2234"/>
      <c r="D42" s="611">
        <v>0</v>
      </c>
      <c r="E42" s="9"/>
      <c r="F42" s="10">
        <v>0</v>
      </c>
      <c r="G42" s="9"/>
      <c r="H42" s="611">
        <f>'Exhibit G State'!N103</f>
        <v>0</v>
      </c>
      <c r="I42" s="9"/>
      <c r="J42" s="611">
        <f>'Exhibit G State'!AD103</f>
        <v>0</v>
      </c>
      <c r="K42" s="9"/>
      <c r="L42" s="611">
        <v>0</v>
      </c>
      <c r="M42" s="2354"/>
      <c r="N42" s="10">
        <v>0</v>
      </c>
      <c r="O42" s="14"/>
      <c r="P42" s="2352"/>
      <c r="Q42" s="3512"/>
      <c r="R42" s="2354">
        <f>ROUND(SUM(D42+H42+L42),1)</f>
        <v>0</v>
      </c>
      <c r="S42" s="9"/>
      <c r="T42" s="19">
        <f>ROUND(SUM(F42+J42+N42),1)</f>
        <v>0</v>
      </c>
      <c r="U42" s="19"/>
      <c r="V42" s="19"/>
      <c r="W42" s="3513"/>
      <c r="X42" s="19"/>
      <c r="Y42" s="19">
        <v>0</v>
      </c>
      <c r="Z42" s="19"/>
      <c r="AA42" s="19">
        <f>'Exhibit G State'!AG103</f>
        <v>0</v>
      </c>
      <c r="AB42" s="2244"/>
      <c r="AC42" s="2341"/>
      <c r="AD42" s="19">
        <f>ROUND(SUM(T42-AA42),1)</f>
        <v>0</v>
      </c>
      <c r="AE42" s="2216"/>
      <c r="AF42" s="1412">
        <f>IF(AA42=0,0,AD42/AA42)</f>
        <v>0</v>
      </c>
    </row>
    <row r="43" spans="1:32" ht="18" customHeight="1">
      <c r="A43" s="2233" t="s">
        <v>56</v>
      </c>
      <c r="B43" s="2234"/>
      <c r="C43" s="2234"/>
      <c r="D43" s="12">
        <f>SUM(D35:D42)</f>
        <v>6062.3999999999987</v>
      </c>
      <c r="E43" s="1352"/>
      <c r="F43" s="12">
        <f>SUM(F35:F42)</f>
        <v>35384.1</v>
      </c>
      <c r="G43" s="1352"/>
      <c r="H43" s="12">
        <f>SUM(H35:H42)</f>
        <v>4181.2</v>
      </c>
      <c r="I43" s="1352"/>
      <c r="J43" s="12">
        <f>SUM(J35:J42)</f>
        <v>12414.400000000001</v>
      </c>
      <c r="K43" s="1352"/>
      <c r="L43" s="12">
        <f>SUM(L35:L42)</f>
        <v>744.39999999999986</v>
      </c>
      <c r="M43" s="1352"/>
      <c r="N43" s="12">
        <f>SUM(N35:N42)</f>
        <v>1199</v>
      </c>
      <c r="O43" s="2263"/>
      <c r="P43" s="2359"/>
      <c r="Q43" s="2360"/>
      <c r="R43" s="12">
        <f>ROUND(SUM(R35:R42),1)</f>
        <v>10988</v>
      </c>
      <c r="S43" s="2263"/>
      <c r="T43" s="1543">
        <f>ROUND(SUM(T35:T42),1)</f>
        <v>48997.5</v>
      </c>
      <c r="U43" s="1464"/>
      <c r="V43" s="1464"/>
      <c r="W43" s="2289"/>
      <c r="X43" s="1464"/>
      <c r="Y43" s="1543">
        <f>ROUND(SUM(Y35:Y42),1)</f>
        <v>10619.8</v>
      </c>
      <c r="Z43" s="20"/>
      <c r="AA43" s="1543">
        <f>ROUND(SUM(AA35:AA42),1)</f>
        <v>44693.7</v>
      </c>
      <c r="AB43" s="2290"/>
      <c r="AC43" s="2361"/>
      <c r="AD43" s="1543">
        <f>ROUND(SUM(AD35:AD42),1)</f>
        <v>4303.8</v>
      </c>
      <c r="AE43" s="2265"/>
      <c r="AF43" s="1428">
        <f>ROUND(+AD43/AA43,3)</f>
        <v>9.6000000000000002E-2</v>
      </c>
    </row>
    <row r="44" spans="1:32" ht="16.399999999999999" customHeight="1">
      <c r="A44" s="2233"/>
      <c r="B44" s="2234"/>
      <c r="C44" s="2234"/>
      <c r="D44" s="609"/>
      <c r="E44" s="9"/>
      <c r="F44" s="14"/>
      <c r="G44" s="9"/>
      <c r="H44" s="609"/>
      <c r="I44" s="9"/>
      <c r="J44" s="14"/>
      <c r="K44" s="9"/>
      <c r="L44" s="609"/>
      <c r="M44" s="9"/>
      <c r="N44" s="14"/>
      <c r="O44" s="14"/>
      <c r="P44" s="2352"/>
      <c r="Q44" s="2353"/>
      <c r="R44" s="14"/>
      <c r="S44" s="14"/>
      <c r="T44" s="1411"/>
      <c r="U44" s="1411"/>
      <c r="V44" s="1411"/>
      <c r="W44" s="2285"/>
      <c r="X44" s="1411"/>
      <c r="Y44" s="1411"/>
      <c r="Z44" s="19"/>
      <c r="AA44" s="1411"/>
      <c r="AB44" s="2244"/>
      <c r="AC44" s="2341"/>
      <c r="AD44" s="1411"/>
      <c r="AE44" s="2216"/>
      <c r="AF44" s="1415"/>
    </row>
    <row r="45" spans="1:32" ht="16.399999999999999" customHeight="1">
      <c r="A45" s="2233" t="s">
        <v>43</v>
      </c>
      <c r="B45" s="2233"/>
      <c r="C45" s="2234"/>
      <c r="D45" s="608"/>
      <c r="E45" s="9"/>
      <c r="F45" s="9"/>
      <c r="G45" s="9"/>
      <c r="H45" s="608"/>
      <c r="I45" s="9"/>
      <c r="J45" s="9"/>
      <c r="K45" s="9"/>
      <c r="L45" s="608"/>
      <c r="M45" s="9"/>
      <c r="N45" s="9"/>
      <c r="O45" s="14"/>
      <c r="P45" s="2352"/>
      <c r="Q45" s="2353"/>
      <c r="R45" s="9"/>
      <c r="S45" s="9"/>
      <c r="T45" s="19"/>
      <c r="U45" s="19"/>
      <c r="V45" s="19"/>
      <c r="W45" s="2285"/>
      <c r="X45" s="19"/>
      <c r="Y45" s="19"/>
      <c r="Z45" s="19"/>
      <c r="AA45" s="19"/>
      <c r="AB45" s="2244"/>
      <c r="AC45" s="2341"/>
      <c r="AD45" s="19"/>
      <c r="AE45" s="2216"/>
      <c r="AF45" s="1415"/>
    </row>
    <row r="46" spans="1:32" ht="16.399999999999999" customHeight="1">
      <c r="A46" s="2233" t="s">
        <v>44</v>
      </c>
      <c r="B46" s="2233"/>
      <c r="C46" s="2234"/>
      <c r="D46" s="17">
        <f>ROUND(SUM(D21-D43),1)</f>
        <v>-302.60000000000002</v>
      </c>
      <c r="E46" s="1352"/>
      <c r="F46" s="17">
        <f>ROUND(SUM(F21-F43),1)</f>
        <v>-9064.9</v>
      </c>
      <c r="G46" s="1352"/>
      <c r="H46" s="17">
        <f>ROUND(SUM(H21-H43),1)</f>
        <v>-1756.9</v>
      </c>
      <c r="I46" s="1352"/>
      <c r="J46" s="17">
        <f>ROUND(SUM(J21-J43),1)</f>
        <v>-1301</v>
      </c>
      <c r="K46" s="1352"/>
      <c r="L46" s="17">
        <f>ROUND(SUM(L21-L43),1)</f>
        <v>3879.7</v>
      </c>
      <c r="M46" s="1352" t="s">
        <v>14</v>
      </c>
      <c r="N46" s="17">
        <f>ROUND(SUM(N21-N43),1)</f>
        <v>23799.599999999999</v>
      </c>
      <c r="O46" s="2263"/>
      <c r="P46" s="2359"/>
      <c r="Q46" s="2360"/>
      <c r="R46" s="17">
        <f>ROUND(SUM(+R21-R43),1)</f>
        <v>1820.2</v>
      </c>
      <c r="S46" s="2263"/>
      <c r="T46" s="1636">
        <f>ROUND(SUM(+T21-T43),1)</f>
        <v>13433.7</v>
      </c>
      <c r="U46" s="1464"/>
      <c r="V46" s="1464"/>
      <c r="W46" s="2289"/>
      <c r="X46" s="1464"/>
      <c r="Y46" s="1636">
        <f>ROUND(SUM(Y21-Y43),1)</f>
        <v>57.3</v>
      </c>
      <c r="Z46" s="20" t="s">
        <v>14</v>
      </c>
      <c r="AA46" s="1636">
        <f>ROUND(SUM(AA21-AA43),1)</f>
        <v>8183.7</v>
      </c>
      <c r="AB46" s="2290"/>
      <c r="AC46" s="2361"/>
      <c r="AD46" s="1636">
        <f>ROUND(SUM(AD21-AD43),1)</f>
        <v>5250</v>
      </c>
      <c r="AE46" s="2278"/>
      <c r="AF46" s="1452">
        <f>ROUND(AD46/ABS(AA46),3)</f>
        <v>0.64200000000000002</v>
      </c>
    </row>
    <row r="47" spans="1:32" ht="16.399999999999999" customHeight="1">
      <c r="A47" s="2234"/>
      <c r="B47" s="2234"/>
      <c r="C47" s="2234"/>
      <c r="D47" s="609"/>
      <c r="E47" s="9"/>
      <c r="F47" s="14"/>
      <c r="G47" s="9"/>
      <c r="H47" s="609"/>
      <c r="I47" s="9"/>
      <c r="J47" s="14"/>
      <c r="K47" s="9"/>
      <c r="L47" s="609"/>
      <c r="M47" s="9"/>
      <c r="N47" s="14"/>
      <c r="O47" s="14"/>
      <c r="P47" s="2352"/>
      <c r="Q47" s="2353"/>
      <c r="R47" s="14"/>
      <c r="S47" s="14"/>
      <c r="T47" s="1411"/>
      <c r="U47" s="1411"/>
      <c r="V47" s="1411"/>
      <c r="W47" s="2285"/>
      <c r="X47" s="1411"/>
      <c r="Y47" s="1411"/>
      <c r="Z47" s="19"/>
      <c r="AA47" s="1411"/>
      <c r="AB47" s="2244"/>
      <c r="AC47" s="2341"/>
      <c r="AD47" s="1411"/>
      <c r="AE47" s="2216"/>
      <c r="AF47" s="1415"/>
    </row>
    <row r="48" spans="1:32" ht="16.399999999999999" customHeight="1">
      <c r="A48" s="2233" t="s">
        <v>45</v>
      </c>
      <c r="B48" s="2233"/>
      <c r="C48" s="2234"/>
      <c r="D48" s="608"/>
      <c r="E48" s="9"/>
      <c r="F48" s="9"/>
      <c r="G48" s="9"/>
      <c r="H48" s="608"/>
      <c r="I48" s="9"/>
      <c r="J48" s="9"/>
      <c r="K48" s="9"/>
      <c r="L48" s="608"/>
      <c r="M48" s="9"/>
      <c r="N48" s="9"/>
      <c r="O48" s="14"/>
      <c r="P48" s="2352"/>
      <c r="Q48" s="2353"/>
      <c r="R48" s="9"/>
      <c r="S48" s="9"/>
      <c r="T48" s="19"/>
      <c r="U48" s="19"/>
      <c r="V48" s="19"/>
      <c r="W48" s="2285"/>
      <c r="X48" s="19"/>
      <c r="Y48" s="19"/>
      <c r="Z48" s="19"/>
      <c r="AA48" s="19"/>
      <c r="AB48" s="2244"/>
      <c r="AC48" s="2341"/>
      <c r="AD48" s="19"/>
      <c r="AE48" s="2216"/>
      <c r="AF48" s="1415"/>
    </row>
    <row r="49" spans="1:33" ht="18" customHeight="1">
      <c r="A49" s="2279" t="s">
        <v>46</v>
      </c>
      <c r="B49" s="2373" t="s">
        <v>1159</v>
      </c>
      <c r="C49" s="2279"/>
      <c r="D49" s="612">
        <f>+'Exhibit A'!D49</f>
        <v>5073.3999999999978</v>
      </c>
      <c r="E49" s="9"/>
      <c r="F49" s="9">
        <f>+'Exhibit A'!F49</f>
        <v>24799.4</v>
      </c>
      <c r="G49" s="19"/>
      <c r="H49" s="612">
        <f>+'Exhibit G State'!N111</f>
        <v>183</v>
      </c>
      <c r="I49" s="19"/>
      <c r="J49" s="9">
        <f>+'Exhibit G State'!AD111</f>
        <v>2208.4</v>
      </c>
      <c r="K49" s="1411"/>
      <c r="L49" s="1407">
        <f>+'Exhibit A'!L49</f>
        <v>94.600000000000023</v>
      </c>
      <c r="M49" s="1411"/>
      <c r="N49" s="16">
        <f>+'Exhibit A'!N49</f>
        <v>767.4</v>
      </c>
      <c r="O49" s="14"/>
      <c r="P49" s="2352"/>
      <c r="Q49" s="2353"/>
      <c r="R49" s="10">
        <f>ROUND(SUM(L49+H49+D49),1)</f>
        <v>5351</v>
      </c>
      <c r="S49" s="9"/>
      <c r="T49" s="18">
        <f>ROUND(SUM(F49+J49+N49),1)</f>
        <v>27775.200000000001</v>
      </c>
      <c r="U49" s="19"/>
      <c r="V49" s="19"/>
      <c r="W49" s="2285"/>
      <c r="X49" s="19"/>
      <c r="Y49" s="19">
        <v>3217.1</v>
      </c>
      <c r="Z49" s="19" t="s">
        <v>14</v>
      </c>
      <c r="AA49" s="19">
        <f>'Exhibit F'!AF123+'Exhibit F'!AF124+'Exhibit F'!AF125+'Exhibit F'!AF126+'Exhibit G State'!AG111+'Exhibit H'!AD66</f>
        <v>17321.5</v>
      </c>
      <c r="AB49" s="2244"/>
      <c r="AC49" s="2341"/>
      <c r="AD49" s="19">
        <f>ROUND(SUM(T49-AA49),1)</f>
        <v>10453.700000000001</v>
      </c>
      <c r="AE49" s="2281"/>
      <c r="AF49" s="1412">
        <f>ROUND(SUM(+AD49/AA49),3)</f>
        <v>0.60399999999999998</v>
      </c>
    </row>
    <row r="50" spans="1:33" ht="18" customHeight="1">
      <c r="A50" s="2279" t="s">
        <v>47</v>
      </c>
      <c r="B50" s="2373" t="s">
        <v>1159</v>
      </c>
      <c r="C50" s="2279"/>
      <c r="D50" s="612">
        <f>+'Exhibit A'!D50</f>
        <v>-606.40000000000009</v>
      </c>
      <c r="E50" s="19"/>
      <c r="F50" s="9">
        <f>+'Exhibit A'!F50</f>
        <v>-4941.6000000000004</v>
      </c>
      <c r="G50" s="19"/>
      <c r="H50" s="612">
        <f>+'Exhibit G State'!N112</f>
        <v>-36</v>
      </c>
      <c r="I50" s="19"/>
      <c r="J50" s="2354">
        <f>'Exhibit G State'!AD112</f>
        <v>-117.6</v>
      </c>
      <c r="K50" s="19"/>
      <c r="L50" s="1407">
        <f>+'Exhibit A'!L50</f>
        <v>-4772.1999999999989</v>
      </c>
      <c r="M50" s="1411"/>
      <c r="N50" s="16">
        <f>+'Exhibit A'!N50</f>
        <v>-24447.8</v>
      </c>
      <c r="O50" s="1411"/>
      <c r="P50" s="2352"/>
      <c r="Q50" s="2374"/>
      <c r="R50" s="2354">
        <f>ROUND(SUM(D50+H50+L50),1)</f>
        <v>-5414.6</v>
      </c>
      <c r="S50" s="1411"/>
      <c r="T50" s="19">
        <f>ROUND(SUM(F50+J50+N50),1)</f>
        <v>-29507</v>
      </c>
      <c r="U50" s="19"/>
      <c r="V50" s="19"/>
      <c r="W50" s="2285"/>
      <c r="X50" s="1411"/>
      <c r="Y50" s="19">
        <v>-3107.4</v>
      </c>
      <c r="Z50" s="19" t="s">
        <v>14</v>
      </c>
      <c r="AA50" s="19">
        <f>'Exhibit F'!AF127+'Exhibit F'!AF128+'Exhibit F'!AF129+'Exhibit F'!AF130+'Exhibit G State'!AG112+'Exhibit H'!AD67</f>
        <v>-17330.5</v>
      </c>
      <c r="AB50" s="2244"/>
      <c r="AC50" s="2341"/>
      <c r="AD50" s="19">
        <f>-ROUND(SUM(T50-AA50),1)</f>
        <v>12176.5</v>
      </c>
      <c r="AE50" s="2216"/>
      <c r="AF50" s="2375">
        <f>ROUND(SUM(-AD50/AA50),3)</f>
        <v>0.70299999999999996</v>
      </c>
    </row>
    <row r="51" spans="1:33" ht="18" customHeight="1">
      <c r="A51" s="2233" t="s">
        <v>48</v>
      </c>
      <c r="B51" s="2233"/>
      <c r="C51" s="2234"/>
      <c r="D51" s="12">
        <f>ROUND(SUM(D49:D50),1)</f>
        <v>4467</v>
      </c>
      <c r="E51" s="1352"/>
      <c r="F51" s="12">
        <f>ROUND(SUM(F49:F50),1)</f>
        <v>19857.8</v>
      </c>
      <c r="G51" s="1352"/>
      <c r="H51" s="12">
        <f>ROUND(SUM(H49:H50),1)</f>
        <v>147</v>
      </c>
      <c r="I51" s="1352"/>
      <c r="J51" s="12">
        <f>ROUND(SUM(J49:J50),1)</f>
        <v>2090.8000000000002</v>
      </c>
      <c r="K51" s="1352"/>
      <c r="L51" s="12">
        <f>ROUND(SUM(L49:L50),1)</f>
        <v>-4677.6000000000004</v>
      </c>
      <c r="M51" s="1352"/>
      <c r="N51" s="12">
        <f>ROUND(SUM(N49:N50),1)</f>
        <v>-23680.400000000001</v>
      </c>
      <c r="O51" s="2263"/>
      <c r="P51" s="2359"/>
      <c r="Q51" s="2360"/>
      <c r="R51" s="12">
        <f>ROUND(SUM(R49:R50),1)</f>
        <v>-63.6</v>
      </c>
      <c r="S51" s="2263"/>
      <c r="T51" s="1543">
        <f>ROUND(SUM(T49:T50),1)</f>
        <v>-1731.8</v>
      </c>
      <c r="U51" s="1464"/>
      <c r="V51" s="1464"/>
      <c r="W51" s="2289"/>
      <c r="X51" s="1464"/>
      <c r="Y51" s="3389">
        <f>ROUND(SUM(+Y49+Y50),1)</f>
        <v>109.7</v>
      </c>
      <c r="Z51" s="20"/>
      <c r="AA51" s="2287">
        <f>ROUND(SUM(+AA49+AA50),1)</f>
        <v>-9</v>
      </c>
      <c r="AB51" s="2290"/>
      <c r="AC51" s="2361"/>
      <c r="AD51" s="2287">
        <f>ROUND(SUM(+AD49-AD50),1)</f>
        <v>-1722.8</v>
      </c>
      <c r="AE51" s="2265"/>
      <c r="AF51" s="1414">
        <f>-ROUND(SUM(AD51/AA51),3)</f>
        <v>-191.422</v>
      </c>
    </row>
    <row r="52" spans="1:33" ht="16.399999999999999" customHeight="1">
      <c r="A52" s="2234"/>
      <c r="B52" s="2234"/>
      <c r="C52" s="2234"/>
      <c r="D52" s="609"/>
      <c r="E52" s="9"/>
      <c r="F52" s="14"/>
      <c r="G52" s="9"/>
      <c r="H52" s="609"/>
      <c r="I52" s="9"/>
      <c r="J52" s="14"/>
      <c r="K52" s="9"/>
      <c r="L52" s="609"/>
      <c r="M52" s="9"/>
      <c r="N52" s="14"/>
      <c r="O52" s="14"/>
      <c r="P52" s="2352"/>
      <c r="Q52" s="2353"/>
      <c r="R52" s="14"/>
      <c r="S52" s="14"/>
      <c r="T52" s="1411"/>
      <c r="U52" s="1411"/>
      <c r="V52" s="1411"/>
      <c r="W52" s="2285"/>
      <c r="X52" s="1411"/>
      <c r="Y52" s="1411"/>
      <c r="Z52" s="19"/>
      <c r="AA52" s="1411"/>
      <c r="AB52" s="2244"/>
      <c r="AC52" s="2341"/>
      <c r="AD52" s="1411"/>
      <c r="AE52" s="2216"/>
      <c r="AF52" s="1415"/>
    </row>
    <row r="53" spans="1:33" ht="18" customHeight="1">
      <c r="A53" s="2232" t="s">
        <v>43</v>
      </c>
      <c r="B53" s="2233"/>
      <c r="C53" s="2234"/>
      <c r="D53" s="608"/>
      <c r="E53" s="9"/>
      <c r="F53" s="9"/>
      <c r="G53" s="9"/>
      <c r="H53" s="608"/>
      <c r="I53" s="9"/>
      <c r="J53" s="9"/>
      <c r="K53" s="9"/>
      <c r="L53" s="608"/>
      <c r="M53" s="9"/>
      <c r="N53" s="9"/>
      <c r="O53" s="14"/>
      <c r="P53" s="2352"/>
      <c r="Q53" s="2353"/>
      <c r="R53" s="9"/>
      <c r="S53" s="9"/>
      <c r="T53" s="19"/>
      <c r="U53" s="19"/>
      <c r="V53" s="19"/>
      <c r="W53" s="2285"/>
      <c r="X53" s="19"/>
      <c r="Y53" s="19"/>
      <c r="Z53" s="19"/>
      <c r="AA53" s="19"/>
      <c r="AB53" s="2244"/>
      <c r="AC53" s="2341"/>
      <c r="AD53" s="19"/>
      <c r="AE53" s="2216"/>
      <c r="AF53" s="1416"/>
    </row>
    <row r="54" spans="1:33" ht="18" customHeight="1">
      <c r="A54" s="2232" t="s">
        <v>57</v>
      </c>
      <c r="B54" s="2232"/>
      <c r="C54" s="2279"/>
      <c r="D54" s="612"/>
      <c r="E54" s="9"/>
      <c r="F54" s="9"/>
      <c r="G54" s="9"/>
      <c r="H54" s="608"/>
      <c r="I54" s="9"/>
      <c r="J54" s="9"/>
      <c r="K54" s="9"/>
      <c r="L54" s="608"/>
      <c r="M54" s="9"/>
      <c r="N54" s="9"/>
      <c r="O54" s="14"/>
      <c r="P54" s="2352"/>
      <c r="Q54" s="2353"/>
      <c r="R54" s="9"/>
      <c r="S54" s="9"/>
      <c r="T54" s="19"/>
      <c r="U54" s="19"/>
      <c r="V54" s="19"/>
      <c r="W54" s="2285"/>
      <c r="X54" s="19"/>
      <c r="Y54" s="19" t="s">
        <v>14</v>
      </c>
      <c r="Z54" s="19"/>
      <c r="AA54" s="19"/>
      <c r="AB54" s="2244"/>
      <c r="AC54" s="2341"/>
      <c r="AD54" s="19"/>
      <c r="AE54" s="2216"/>
      <c r="AF54" s="1415"/>
    </row>
    <row r="55" spans="1:33" ht="18" customHeight="1">
      <c r="A55" s="2232" t="s">
        <v>58</v>
      </c>
      <c r="B55" s="2232"/>
      <c r="C55" s="2279"/>
      <c r="D55" s="20">
        <f>ROUND(SUM(D46+D51),1)</f>
        <v>4164.3999999999996</v>
      </c>
      <c r="E55" s="20"/>
      <c r="F55" s="20">
        <f>ROUND(SUM(F46)+SUM(F51),1)</f>
        <v>10792.9</v>
      </c>
      <c r="G55" s="20"/>
      <c r="H55" s="20">
        <f>ROUND(SUM(H46+H51),1)</f>
        <v>-1609.9</v>
      </c>
      <c r="I55" s="20"/>
      <c r="J55" s="20">
        <f>ROUND(SUM(J46)+SUM(J51),1)</f>
        <v>789.8</v>
      </c>
      <c r="K55" s="20"/>
      <c r="L55" s="20">
        <f>ROUND(SUM(L46+L51),1)</f>
        <v>-797.9</v>
      </c>
      <c r="M55" s="2376"/>
      <c r="N55" s="2376">
        <f>ROUND(SUM(N46+N51),1)</f>
        <v>119.2</v>
      </c>
      <c r="O55" s="2359"/>
      <c r="P55" s="2359"/>
      <c r="Q55" s="2377"/>
      <c r="R55" s="2376">
        <f>ROUND(SUM(+R46+R51),1)</f>
        <v>1756.6</v>
      </c>
      <c r="S55" s="2376"/>
      <c r="T55" s="2376">
        <f>ROUND(SUM(T46+T51),1)</f>
        <v>11701.9</v>
      </c>
      <c r="U55" s="2376"/>
      <c r="V55" s="2376"/>
      <c r="W55" s="2378"/>
      <c r="X55" s="2376"/>
      <c r="Y55" s="20">
        <f>ROUND(SUM(Y46)+SUM(Y51),1)</f>
        <v>167</v>
      </c>
      <c r="Z55" s="20"/>
      <c r="AA55" s="20">
        <f>ROUND(SUM(AA46)+SUM(AA51),1)</f>
        <v>8174.7</v>
      </c>
      <c r="AB55" s="2290"/>
      <c r="AC55" s="2361"/>
      <c r="AD55" s="1464">
        <f>ROUND(SUM(+AD46+AD51),1)</f>
        <v>3527.2</v>
      </c>
      <c r="AE55" s="2265"/>
      <c r="AF55" s="1476">
        <f>ROUND(SUM(AD55/AA55),3)</f>
        <v>0.43099999999999999</v>
      </c>
    </row>
    <row r="56" spans="1:33" ht="16.399999999999999" customHeight="1">
      <c r="A56" s="2233"/>
      <c r="B56" s="2233"/>
      <c r="C56" s="2234"/>
      <c r="D56" s="608"/>
      <c r="E56" s="9"/>
      <c r="F56" s="14"/>
      <c r="G56" s="9"/>
      <c r="H56" s="608"/>
      <c r="I56" s="9"/>
      <c r="J56" s="9"/>
      <c r="K56" s="9"/>
      <c r="L56" s="612"/>
      <c r="M56" s="19"/>
      <c r="N56" s="19"/>
      <c r="O56" s="1411"/>
      <c r="P56" s="2352"/>
      <c r="Q56" s="2374"/>
      <c r="R56" s="19"/>
      <c r="S56" s="19"/>
      <c r="T56" s="19"/>
      <c r="U56" s="19"/>
      <c r="V56" s="19"/>
      <c r="W56" s="2285"/>
      <c r="X56" s="19"/>
      <c r="Y56" s="19"/>
      <c r="Z56" s="19"/>
      <c r="AA56" s="19"/>
      <c r="AB56" s="2244"/>
      <c r="AC56" s="2341"/>
      <c r="AD56" s="19"/>
      <c r="AE56" s="2216"/>
      <c r="AF56" s="1415"/>
    </row>
    <row r="57" spans="1:33" ht="18" customHeight="1">
      <c r="A57" s="2379" t="s">
        <v>51</v>
      </c>
      <c r="B57" s="2271" t="s">
        <v>1497</v>
      </c>
      <c r="C57" s="2234"/>
      <c r="D57" s="17">
        <f>+'Exhibit A'!D57</f>
        <v>15789.3</v>
      </c>
      <c r="E57" s="1352"/>
      <c r="F57" s="17">
        <f>'Exhibit A'!F57</f>
        <v>9160.7999999999993</v>
      </c>
      <c r="G57" s="1352"/>
      <c r="H57" s="17">
        <f>+'Exhibit G State'!N13</f>
        <v>8108.3</v>
      </c>
      <c r="I57" s="1352"/>
      <c r="J57" s="17">
        <f>'Exhibit G State'!D13</f>
        <v>5708.6</v>
      </c>
      <c r="K57" s="1352"/>
      <c r="L57" s="1636">
        <f>+'Exhibit A'!L57</f>
        <v>982.1</v>
      </c>
      <c r="M57" s="1464"/>
      <c r="N57" s="3736">
        <f>+'Exhibit A'!N57</f>
        <v>65</v>
      </c>
      <c r="O57" s="1464"/>
      <c r="P57" s="2359"/>
      <c r="Q57" s="3737"/>
      <c r="R57" s="1636">
        <f>ROUND(SUM(D57+H57+L57),1)</f>
        <v>24879.7</v>
      </c>
      <c r="S57" s="2263"/>
      <c r="T57" s="1636">
        <f>ROUND(SUM(F57+J57+N57),1)</f>
        <v>14934.4</v>
      </c>
      <c r="U57" s="1464"/>
      <c r="V57" s="1464"/>
      <c r="W57" s="2289"/>
      <c r="X57" s="1464"/>
      <c r="Y57" s="1636">
        <v>22416</v>
      </c>
      <c r="Z57" s="20" t="s">
        <v>14</v>
      </c>
      <c r="AA57" s="1636">
        <f>'Exhibit F'!AF12+'Exhibit G State'!AG13+'Exhibit H'!AD12</f>
        <v>14408.300000000001</v>
      </c>
      <c r="AB57" s="2290"/>
      <c r="AC57" s="2361"/>
      <c r="AD57" s="1636">
        <f>ROUND(SUM(T57-AA57),1)</f>
        <v>526.1</v>
      </c>
      <c r="AE57" s="2265"/>
      <c r="AF57" s="2292">
        <f>ROUND(+AD57/AA57,3)</f>
        <v>3.6999999999999998E-2</v>
      </c>
    </row>
    <row r="58" spans="1:33" ht="16.399999999999999" customHeight="1">
      <c r="A58" s="2279"/>
      <c r="B58" s="2234"/>
      <c r="C58" s="2234"/>
      <c r="D58" s="2380"/>
      <c r="E58" s="2234"/>
      <c r="F58" s="7"/>
      <c r="G58" s="2234"/>
      <c r="H58" s="606"/>
      <c r="I58" s="2234"/>
      <c r="J58" s="7"/>
      <c r="K58" s="2234"/>
      <c r="L58" s="2380"/>
      <c r="M58" s="2234"/>
      <c r="N58" s="7"/>
      <c r="O58" s="7"/>
      <c r="P58" s="2338"/>
      <c r="Q58" s="2339"/>
      <c r="R58" s="7"/>
      <c r="S58" s="7"/>
      <c r="T58" s="2244"/>
      <c r="U58" s="2244"/>
      <c r="V58" s="2244"/>
      <c r="W58" s="2340"/>
      <c r="X58" s="2244"/>
      <c r="Y58" s="2244"/>
      <c r="Z58" s="2279"/>
      <c r="AA58" s="2244"/>
      <c r="AB58" s="2244"/>
      <c r="AC58" s="2341"/>
      <c r="AD58" s="1411"/>
      <c r="AE58" s="2216"/>
      <c r="AF58" s="1415"/>
    </row>
    <row r="59" spans="1:33" ht="18" customHeight="1" thickBot="1">
      <c r="A59" s="2381" t="s">
        <v>59</v>
      </c>
      <c r="B59" s="2382" t="s">
        <v>14</v>
      </c>
      <c r="C59" s="2234"/>
      <c r="D59" s="22">
        <f>ROUND(SUM(D55+D57),1)</f>
        <v>19953.7</v>
      </c>
      <c r="E59" s="2295"/>
      <c r="F59" s="22">
        <f>ROUND(SUM(F55+F57),1)</f>
        <v>19953.7</v>
      </c>
      <c r="G59" s="2295"/>
      <c r="H59" s="22">
        <f>ROUND(SUM(H55+H57),1)</f>
        <v>6498.4</v>
      </c>
      <c r="I59" s="2295"/>
      <c r="J59" s="22">
        <f>ROUND(SUM(J55)+SUM(J57),1)</f>
        <v>6498.4</v>
      </c>
      <c r="K59" s="2295"/>
      <c r="L59" s="22">
        <f>ROUND(SUM(L55+L57),1)</f>
        <v>184.2</v>
      </c>
      <c r="M59" s="2383"/>
      <c r="N59" s="2384">
        <f>ROUND(SUM(N55+N57),1)</f>
        <v>184.2</v>
      </c>
      <c r="O59" s="2385"/>
      <c r="P59" s="2385"/>
      <c r="Q59" s="2386"/>
      <c r="R59" s="2384">
        <f>ROUND(SUM(R55+R57),1)</f>
        <v>26636.3</v>
      </c>
      <c r="S59" s="2385"/>
      <c r="T59" s="2384">
        <f>ROUND(SUM(T55+T57),1)</f>
        <v>26636.3</v>
      </c>
      <c r="U59" s="2385"/>
      <c r="V59" s="2385"/>
      <c r="W59" s="2387"/>
      <c r="X59" s="2385"/>
      <c r="Y59" s="22">
        <f>ROUND(SUM(Y55+Y57),1)</f>
        <v>22583</v>
      </c>
      <c r="Z59" s="2295"/>
      <c r="AA59" s="22">
        <f>ROUND(SUM(AA55+AA57),1)</f>
        <v>22583</v>
      </c>
      <c r="AB59" s="2300"/>
      <c r="AC59" s="2388"/>
      <c r="AD59" s="22">
        <f>ROUND(SUM(AD55+AD57),1)</f>
        <v>4053.3</v>
      </c>
      <c r="AE59" s="2265"/>
      <c r="AF59" s="2299">
        <f>ROUND(+AD59/AA59,3)</f>
        <v>0.17899999999999999</v>
      </c>
      <c r="AG59" s="2218" t="s">
        <v>14</v>
      </c>
    </row>
    <row r="60" spans="1:33" ht="16" thickTop="1">
      <c r="A60" s="2301"/>
      <c r="B60" s="2301"/>
      <c r="C60" s="2301"/>
      <c r="D60" s="2303"/>
      <c r="E60" s="2303"/>
      <c r="F60" s="2303"/>
      <c r="G60" s="2303"/>
      <c r="H60" s="2302"/>
      <c r="I60" s="2303"/>
      <c r="J60" s="2303"/>
      <c r="K60" s="2303"/>
      <c r="L60" s="2303"/>
      <c r="M60" s="2303"/>
      <c r="N60" s="2303"/>
      <c r="O60" s="2303"/>
      <c r="P60" s="2389"/>
      <c r="Q60" s="2303"/>
      <c r="R60" s="2303"/>
      <c r="S60" s="2303"/>
      <c r="T60" s="2305"/>
      <c r="U60" s="2305"/>
      <c r="V60" s="2305"/>
      <c r="W60" s="2305"/>
      <c r="X60" s="2305"/>
      <c r="Y60" s="2305"/>
      <c r="Z60" s="2305"/>
      <c r="AA60" s="2305"/>
      <c r="AB60" s="2305"/>
      <c r="AC60" s="2305"/>
      <c r="AD60" s="2305"/>
      <c r="AE60" s="2216"/>
      <c r="AF60" s="2306"/>
    </row>
    <row r="61" spans="1:33">
      <c r="A61" s="2281"/>
      <c r="B61" s="2281"/>
      <c r="C61" s="2281"/>
      <c r="D61" s="2281"/>
      <c r="E61" s="2281"/>
      <c r="F61" s="2281"/>
      <c r="G61" s="2281"/>
      <c r="H61" s="2308" t="s">
        <v>14</v>
      </c>
      <c r="I61" s="2281"/>
      <c r="J61" s="2281"/>
      <c r="K61" s="2281"/>
      <c r="L61" s="2281"/>
      <c r="M61" s="2281"/>
      <c r="N61" s="2281"/>
      <c r="O61" s="2281"/>
      <c r="P61" s="2281"/>
      <c r="Q61" s="2281" t="s">
        <v>14</v>
      </c>
      <c r="R61" s="2281" t="s">
        <v>14</v>
      </c>
      <c r="S61" s="2281"/>
      <c r="T61" s="2318"/>
      <c r="U61" s="2318"/>
      <c r="V61" s="2318"/>
      <c r="W61" s="2318"/>
      <c r="X61" s="2318"/>
      <c r="Y61" s="2318"/>
      <c r="Z61" s="2318"/>
      <c r="AA61" s="2318"/>
      <c r="AB61" s="2318"/>
    </row>
    <row r="62" spans="1:33" ht="18" customHeight="1">
      <c r="A62" s="2238" t="s">
        <v>1106</v>
      </c>
      <c r="B62" s="2281"/>
      <c r="C62" s="2281"/>
      <c r="D62" s="2281"/>
      <c r="E62" s="2281"/>
      <c r="F62" s="2281"/>
      <c r="G62" s="2281"/>
      <c r="H62" s="2308"/>
      <c r="I62" s="2281"/>
      <c r="J62" s="2281"/>
      <c r="K62" s="2281"/>
      <c r="L62" s="2281"/>
      <c r="M62" s="2281"/>
      <c r="N62" s="2281"/>
      <c r="O62" s="2281"/>
      <c r="P62" s="2281"/>
      <c r="Q62" s="2281"/>
      <c r="R62" s="2281"/>
      <c r="S62" s="2281"/>
      <c r="T62" s="2318"/>
      <c r="U62" s="2318"/>
      <c r="V62" s="2318"/>
      <c r="W62" s="2318"/>
      <c r="X62" s="2318"/>
      <c r="Y62" s="2318"/>
      <c r="Z62" s="2318"/>
      <c r="AA62" s="2318" t="s">
        <v>14</v>
      </c>
      <c r="AB62" s="2318"/>
    </row>
    <row r="63" spans="1:33" ht="18" customHeight="1">
      <c r="A63" s="2390" t="s">
        <v>1105</v>
      </c>
      <c r="B63" s="2281"/>
      <c r="C63" s="2281"/>
      <c r="D63" s="2281"/>
      <c r="E63" s="2281"/>
      <c r="F63" s="2281"/>
      <c r="G63" s="2281"/>
      <c r="H63" s="2308"/>
      <c r="I63" s="2281"/>
      <c r="J63" s="2281"/>
      <c r="K63" s="2281"/>
      <c r="L63" s="2281"/>
      <c r="M63" s="2281"/>
      <c r="N63" s="2281"/>
      <c r="O63" s="2281"/>
      <c r="P63" s="2281"/>
      <c r="Q63" s="2281"/>
      <c r="R63" s="2281"/>
      <c r="S63" s="2281"/>
      <c r="T63" s="2318"/>
      <c r="U63" s="2318"/>
      <c r="V63" s="2318"/>
      <c r="W63" s="2318"/>
      <c r="X63" s="2318"/>
      <c r="Y63" s="2318"/>
      <c r="Z63" s="2318"/>
      <c r="AA63" s="2318"/>
      <c r="AB63" s="2318"/>
    </row>
    <row r="64" spans="1:33" ht="15.5">
      <c r="A64" s="2337"/>
      <c r="B64" s="2281"/>
      <c r="C64" s="2281"/>
      <c r="D64" s="2281"/>
      <c r="E64" s="2281"/>
      <c r="F64" s="2281"/>
      <c r="G64" s="2281"/>
      <c r="H64" s="2308"/>
      <c r="I64" s="2281"/>
      <c r="J64" s="2281"/>
      <c r="K64" s="2281"/>
      <c r="L64" s="2281"/>
      <c r="M64" s="2281"/>
      <c r="N64" s="2281"/>
      <c r="O64" s="2281"/>
      <c r="P64" s="2281"/>
      <c r="Q64" s="2281"/>
      <c r="R64" s="2281"/>
      <c r="S64" s="2281"/>
      <c r="T64" s="2318"/>
      <c r="U64" s="2318"/>
      <c r="V64" s="2318"/>
      <c r="W64" s="2318"/>
      <c r="X64" s="2318"/>
      <c r="Y64" s="612" t="s">
        <v>14</v>
      </c>
      <c r="Z64" s="2318"/>
      <c r="AA64" s="2318" t="s">
        <v>14</v>
      </c>
      <c r="AB64" s="2318"/>
    </row>
    <row r="65" spans="1:28" ht="15.5">
      <c r="A65" s="2313"/>
      <c r="B65" s="2314"/>
      <c r="C65" s="2307"/>
      <c r="D65" s="2316"/>
      <c r="E65" s="2316"/>
      <c r="F65" s="2316"/>
      <c r="G65" s="2316"/>
      <c r="H65" s="2315"/>
      <c r="I65" s="2316"/>
      <c r="J65" s="2316"/>
      <c r="K65" s="2316"/>
      <c r="L65" s="2316"/>
      <c r="M65" s="2281"/>
      <c r="N65" s="2281"/>
      <c r="O65" s="2281"/>
      <c r="P65" s="2281"/>
      <c r="Q65" s="2281"/>
      <c r="R65" s="2281"/>
      <c r="S65" s="2281"/>
      <c r="T65" s="2318"/>
      <c r="U65" s="2318"/>
      <c r="V65" s="2318"/>
      <c r="W65" s="2318"/>
      <c r="X65" s="2318"/>
      <c r="Y65" s="612" t="s">
        <v>14</v>
      </c>
      <c r="Z65" s="2318"/>
      <c r="AA65" s="2318"/>
      <c r="AB65" s="2318"/>
    </row>
    <row r="66" spans="1:28" ht="15.5">
      <c r="A66" s="1415"/>
      <c r="B66" s="1415"/>
      <c r="C66" s="1415"/>
      <c r="D66" s="2238"/>
      <c r="E66" s="1415"/>
      <c r="F66" s="1415"/>
      <c r="G66" s="1415"/>
      <c r="H66" s="2317"/>
      <c r="I66" s="1415"/>
      <c r="J66" s="1415"/>
      <c r="K66" s="1415"/>
      <c r="L66" s="2238"/>
      <c r="M66" s="2281"/>
      <c r="N66" s="2281"/>
      <c r="O66" s="2281"/>
      <c r="P66" s="2281"/>
      <c r="Q66" s="2281"/>
      <c r="R66" s="2281"/>
      <c r="S66" s="2281"/>
      <c r="T66" s="2318"/>
      <c r="U66" s="2318"/>
      <c r="V66" s="2318"/>
      <c r="W66" s="2318"/>
      <c r="X66" s="2318"/>
      <c r="Y66" s="2318"/>
      <c r="Z66" s="2318"/>
      <c r="AA66" s="2318"/>
      <c r="AB66" s="2318"/>
    </row>
    <row r="67" spans="1:28" ht="15.5">
      <c r="A67" s="1415"/>
      <c r="B67" s="1415"/>
      <c r="C67" s="1415"/>
      <c r="D67" s="2238"/>
      <c r="E67" s="1415"/>
      <c r="F67" s="1415"/>
      <c r="G67" s="1415"/>
      <c r="H67" s="2317"/>
      <c r="I67" s="1415"/>
      <c r="J67" s="1415"/>
      <c r="K67" s="1415"/>
      <c r="L67" s="2238"/>
      <c r="M67" s="2281"/>
      <c r="N67" s="2281"/>
      <c r="O67" s="2281"/>
      <c r="P67" s="2281"/>
      <c r="Q67" s="2281"/>
      <c r="R67" s="2281"/>
      <c r="S67" s="2281"/>
      <c r="T67" s="2318"/>
      <c r="U67" s="2318"/>
      <c r="V67" s="2318"/>
      <c r="W67" s="2318"/>
      <c r="X67" s="2318"/>
      <c r="Y67" s="2318"/>
      <c r="Z67" s="2318"/>
      <c r="AA67" s="2318"/>
      <c r="AB67" s="2318"/>
    </row>
    <row r="68" spans="1:28" ht="15.5">
      <c r="A68" s="1415"/>
      <c r="B68" s="1415"/>
      <c r="C68" s="1415"/>
      <c r="D68" s="2238"/>
      <c r="E68" s="1415"/>
      <c r="F68" s="1415"/>
      <c r="G68" s="1415"/>
      <c r="H68" s="2317"/>
      <c r="I68" s="1415"/>
      <c r="J68" s="1415"/>
      <c r="K68" s="1415"/>
      <c r="L68" s="2238"/>
      <c r="M68" s="2281"/>
      <c r="N68" s="2281"/>
      <c r="O68" s="2281"/>
      <c r="P68" s="2281"/>
      <c r="Q68" s="2281"/>
      <c r="R68" s="2281"/>
      <c r="S68" s="2281"/>
      <c r="T68" s="2318"/>
      <c r="U68" s="2318"/>
      <c r="V68" s="2318"/>
      <c r="W68" s="2318"/>
      <c r="X68" s="2318"/>
      <c r="Y68" s="2318"/>
      <c r="Z68" s="2318"/>
      <c r="AA68" s="2318"/>
      <c r="AB68" s="2318"/>
    </row>
    <row r="69" spans="1:28" ht="19.5" customHeight="1">
      <c r="A69" s="2223"/>
      <c r="I69" s="1415"/>
    </row>
  </sheetData>
  <mergeCells count="7">
    <mergeCell ref="R10:AB10"/>
    <mergeCell ref="D10:N10"/>
    <mergeCell ref="L11:N11"/>
    <mergeCell ref="A3:AB3"/>
    <mergeCell ref="A4:AB4"/>
    <mergeCell ref="A5:AB5"/>
    <mergeCell ref="A7:AB7"/>
  </mergeCells>
  <pageMargins left="0.25" right="0.25" top="0.5" bottom="0.25" header="0" footer="0.25"/>
  <pageSetup scale="47" firstPageNumber="3" orientation="landscape" useFirstPageNumber="1" r:id="rId1"/>
  <headerFooter scaleWithDoc="0" alignWithMargins="0">
    <oddFooter>&amp;C&amp;8&amp;P</oddFooter>
  </headerFooter>
  <ignoredErrors>
    <ignoredError sqref="AE15:AF15 AD52:AF54 AE16:AE17 AD36:AF36 AE32:AE34 AD15:AD17 AD32:AD34 AD44:AF45 AE37:AE41 AD37:AD41 AE49:AF50 AD49 AD58:AF58 AD48:AF48 AE46 AF16:AF17 AF32:AF35 AD35:AE35 AF37:AF41 AE43 AD57:AF57 AD59:AF59 AE51 AD56:AF56 AE55 AE47:AF47" unlockedFormula="1"/>
    <ignoredError sqref="B49:B50 B57" numberStoredAsText="1"/>
    <ignoredError sqref="AF42 AF26 AF2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pageSetUpPr autoPageBreaks="0"/>
  </sheetPr>
  <dimension ref="A1:O171"/>
  <sheetViews>
    <sheetView showGridLines="0" zoomScale="90" zoomScaleNormal="80" workbookViewId="0"/>
  </sheetViews>
  <sheetFormatPr defaultColWidth="8.84375" defaultRowHeight="15.5"/>
  <cols>
    <col min="1" max="1" width="56.84375" style="720" customWidth="1"/>
    <col min="2" max="2" width="2.07421875" style="720" customWidth="1"/>
    <col min="3" max="3" width="19" style="719" customWidth="1"/>
    <col min="4" max="4" width="1.84375" style="720" customWidth="1"/>
    <col min="5" max="5" width="16.4609375" style="720" customWidth="1"/>
    <col min="6" max="6" width="1.53515625" style="720" customWidth="1"/>
    <col min="7" max="7" width="16.53515625" style="720" customWidth="1"/>
    <col min="8" max="8" width="1.53515625" style="720" customWidth="1"/>
    <col min="9" max="9" width="17.84375" style="720" customWidth="1"/>
    <col min="10" max="10" width="1.53515625" style="720" customWidth="1"/>
    <col min="11" max="11" width="20.07421875" style="720" customWidth="1"/>
    <col min="12" max="12" width="6.07421875" style="2199" customWidth="1"/>
    <col min="13" max="13" width="2.53515625" style="2199" customWidth="1"/>
    <col min="14" max="14" width="11" style="2199" bestFit="1" customWidth="1"/>
    <col min="15" max="15" width="20.84375" style="720" customWidth="1"/>
    <col min="16" max="16384" width="8.84375" style="720"/>
  </cols>
  <sheetData>
    <row r="1" spans="1:15">
      <c r="A1" s="1486" t="s">
        <v>882</v>
      </c>
    </row>
    <row r="2" spans="1:15">
      <c r="A2" s="2981"/>
    </row>
    <row r="3" spans="1:15" ht="18">
      <c r="A3" s="2982" t="s">
        <v>0</v>
      </c>
      <c r="B3" s="762"/>
      <c r="C3" s="762"/>
      <c r="D3" s="762"/>
      <c r="E3" s="762"/>
      <c r="F3" s="762"/>
      <c r="G3" s="762"/>
      <c r="H3" s="762"/>
      <c r="I3" s="762"/>
      <c r="J3" s="762"/>
      <c r="K3" s="2983" t="s">
        <v>229</v>
      </c>
      <c r="L3" s="2984"/>
    </row>
    <row r="4" spans="1:15" ht="18">
      <c r="A4" s="2982" t="s">
        <v>228</v>
      </c>
      <c r="B4" s="762"/>
      <c r="C4" s="762" t="s">
        <v>14</v>
      </c>
      <c r="D4" s="762"/>
      <c r="E4" s="762"/>
      <c r="F4" s="762"/>
      <c r="G4" s="762"/>
      <c r="H4" s="762"/>
      <c r="I4" s="762"/>
      <c r="J4" s="762"/>
      <c r="L4" s="2985"/>
    </row>
    <row r="5" spans="1:15" ht="18">
      <c r="A5" s="2982" t="s">
        <v>1187</v>
      </c>
      <c r="B5" s="762"/>
      <c r="C5" s="762"/>
      <c r="D5" s="762"/>
      <c r="E5" s="762"/>
      <c r="F5" s="762"/>
      <c r="G5" s="762"/>
      <c r="H5" s="762"/>
      <c r="I5" s="762"/>
      <c r="J5" s="762"/>
      <c r="K5" s="2986"/>
      <c r="L5" s="2987"/>
    </row>
    <row r="6" spans="1:15" ht="18">
      <c r="A6" s="2988" t="s">
        <v>230</v>
      </c>
      <c r="B6" s="762"/>
      <c r="C6" s="762"/>
      <c r="D6" s="762"/>
      <c r="E6" s="762"/>
      <c r="F6" s="762"/>
      <c r="G6" s="762"/>
      <c r="H6" s="762"/>
      <c r="I6" s="762"/>
      <c r="J6" s="762"/>
      <c r="K6" s="431"/>
      <c r="L6" s="2989"/>
    </row>
    <row r="7" spans="1:15" ht="18">
      <c r="A7" s="2988" t="s">
        <v>1404</v>
      </c>
      <c r="B7" s="762"/>
      <c r="C7" s="762"/>
      <c r="D7" s="762"/>
      <c r="E7" s="762"/>
      <c r="F7" s="762"/>
      <c r="G7" s="762"/>
      <c r="H7" s="762"/>
      <c r="I7" s="762"/>
      <c r="J7" s="762"/>
      <c r="K7" s="431"/>
      <c r="L7" s="2989"/>
    </row>
    <row r="8" spans="1:15" ht="18">
      <c r="A8" s="2988" t="s">
        <v>1564</v>
      </c>
      <c r="B8" s="762"/>
      <c r="C8" s="762"/>
      <c r="D8" s="762"/>
      <c r="E8" s="762" t="s">
        <v>14</v>
      </c>
      <c r="F8" s="762"/>
      <c r="G8" s="762"/>
      <c r="H8" s="762"/>
      <c r="I8" s="762"/>
      <c r="J8" s="762"/>
      <c r="K8" s="762"/>
      <c r="L8" s="2984"/>
    </row>
    <row r="9" spans="1:15" ht="18">
      <c r="A9" s="2982" t="s">
        <v>1281</v>
      </c>
      <c r="B9" s="2990" t="s">
        <v>231</v>
      </c>
      <c r="C9" s="715"/>
      <c r="D9" s="715"/>
      <c r="E9" s="715"/>
      <c r="F9" s="715"/>
      <c r="G9" s="715"/>
      <c r="H9" s="715"/>
      <c r="I9" s="715"/>
      <c r="J9" s="715"/>
      <c r="K9" s="715"/>
      <c r="L9" s="717"/>
    </row>
    <row r="10" spans="1:15">
      <c r="A10" s="715"/>
      <c r="B10" s="715"/>
      <c r="C10" s="428" t="s">
        <v>232</v>
      </c>
      <c r="D10" s="432"/>
      <c r="E10" s="432"/>
      <c r="F10" s="432"/>
      <c r="G10" s="434"/>
      <c r="H10" s="432"/>
      <c r="I10" s="2194" t="s">
        <v>233</v>
      </c>
      <c r="J10" s="432"/>
      <c r="K10" s="2194" t="s">
        <v>232</v>
      </c>
      <c r="L10" s="2194"/>
    </row>
    <row r="11" spans="1:15">
      <c r="A11" s="715"/>
      <c r="B11" s="715"/>
      <c r="C11" s="3406" t="s">
        <v>1565</v>
      </c>
      <c r="D11" s="432"/>
      <c r="E11" s="2195" t="s">
        <v>234</v>
      </c>
      <c r="F11" s="434"/>
      <c r="G11" s="2196" t="s">
        <v>235</v>
      </c>
      <c r="H11" s="434"/>
      <c r="I11" s="2196" t="s">
        <v>236</v>
      </c>
      <c r="J11" s="434"/>
      <c r="K11" s="2991" t="s">
        <v>1566</v>
      </c>
      <c r="L11" s="2197"/>
    </row>
    <row r="12" spans="1:15">
      <c r="A12" s="715"/>
      <c r="B12" s="715"/>
      <c r="C12" s="2197"/>
      <c r="D12" s="432"/>
      <c r="E12" s="2194"/>
      <c r="F12" s="434"/>
      <c r="G12" s="2194"/>
      <c r="H12" s="434"/>
      <c r="I12" s="2194"/>
      <c r="J12" s="434"/>
      <c r="K12" s="2992"/>
      <c r="L12" s="2197"/>
    </row>
    <row r="13" spans="1:15">
      <c r="A13" s="429" t="s">
        <v>145</v>
      </c>
      <c r="B13" s="715"/>
      <c r="C13" s="717"/>
      <c r="D13" s="715"/>
      <c r="E13" s="1703"/>
      <c r="F13" s="715"/>
      <c r="G13" s="714"/>
      <c r="H13" s="715"/>
      <c r="I13" s="714"/>
      <c r="J13" s="715"/>
      <c r="K13" s="717"/>
      <c r="L13" s="717"/>
    </row>
    <row r="14" spans="1:15">
      <c r="A14" s="715" t="s">
        <v>237</v>
      </c>
      <c r="B14" s="1703"/>
      <c r="C14" s="1670">
        <v>0</v>
      </c>
      <c r="D14" s="1671"/>
      <c r="E14" s="1670">
        <v>2.5000000000000001E-2</v>
      </c>
      <c r="F14" s="1671"/>
      <c r="G14" s="1670">
        <v>4382.1379999999999</v>
      </c>
      <c r="H14" s="1671"/>
      <c r="I14" s="1670">
        <v>4382.1130000000003</v>
      </c>
      <c r="J14" s="1703"/>
      <c r="K14" s="778">
        <f>ROUND(SUM(C14)+SUM(E14)-SUM(G14)+SUM(I14),3)</f>
        <v>0</v>
      </c>
      <c r="L14" s="2112"/>
      <c r="O14" s="3910"/>
    </row>
    <row r="15" spans="1:15">
      <c r="A15" s="715" t="s">
        <v>238</v>
      </c>
      <c r="B15" s="715"/>
      <c r="C15" s="1674">
        <v>15761.679</v>
      </c>
      <c r="D15" s="1671"/>
      <c r="E15" s="1674">
        <v>5759.8339999999998</v>
      </c>
      <c r="F15" s="1671"/>
      <c r="G15" s="1674">
        <v>1680.2619999999999</v>
      </c>
      <c r="H15" s="1671"/>
      <c r="I15" s="1674">
        <v>84.956999999999994</v>
      </c>
      <c r="J15" s="1703"/>
      <c r="K15" s="633">
        <f t="shared" ref="K15:K23" si="0">ROUND(SUM(C15)+SUM(E15)-SUM(G15)+SUM(I15),3)</f>
        <v>19926.207999999999</v>
      </c>
      <c r="L15" s="2118"/>
      <c r="M15" s="2115"/>
      <c r="N15" s="2115"/>
      <c r="O15" s="3910"/>
    </row>
    <row r="16" spans="1:15">
      <c r="A16" s="716" t="s">
        <v>239</v>
      </c>
      <c r="B16" s="715"/>
      <c r="C16" s="1674">
        <v>0</v>
      </c>
      <c r="D16" s="1671"/>
      <c r="E16" s="1674">
        <v>0</v>
      </c>
      <c r="F16" s="1671"/>
      <c r="G16" s="1674">
        <v>0</v>
      </c>
      <c r="H16" s="1671"/>
      <c r="I16" s="1674">
        <v>0</v>
      </c>
      <c r="J16" s="1703"/>
      <c r="K16" s="633">
        <f t="shared" si="0"/>
        <v>0</v>
      </c>
      <c r="L16" s="2118"/>
      <c r="M16" s="2115"/>
      <c r="N16" s="2115"/>
      <c r="O16" s="3910"/>
    </row>
    <row r="17" spans="1:15">
      <c r="A17" s="715" t="s">
        <v>240</v>
      </c>
      <c r="B17" s="715"/>
      <c r="C17" s="1674">
        <v>0</v>
      </c>
      <c r="D17" s="1671"/>
      <c r="E17" s="1674">
        <v>0</v>
      </c>
      <c r="F17" s="1671"/>
      <c r="G17" s="1674">
        <v>0</v>
      </c>
      <c r="H17" s="1671"/>
      <c r="I17" s="1674">
        <v>0</v>
      </c>
      <c r="J17" s="1703"/>
      <c r="K17" s="633">
        <f t="shared" si="0"/>
        <v>0</v>
      </c>
      <c r="L17" s="2118"/>
      <c r="M17" s="2115"/>
      <c r="N17" s="2115"/>
      <c r="O17" s="3910"/>
    </row>
    <row r="18" spans="1:15">
      <c r="A18" s="715" t="s">
        <v>241</v>
      </c>
      <c r="B18" s="715"/>
      <c r="C18" s="1674">
        <v>0</v>
      </c>
      <c r="D18" s="1671"/>
      <c r="E18" s="1674">
        <v>0</v>
      </c>
      <c r="F18" s="1671"/>
      <c r="G18" s="1674">
        <v>0</v>
      </c>
      <c r="H18" s="1671"/>
      <c r="I18" s="1674">
        <v>0</v>
      </c>
      <c r="J18" s="1703"/>
      <c r="K18" s="633">
        <f t="shared" si="0"/>
        <v>0</v>
      </c>
      <c r="L18" s="2118"/>
      <c r="M18" s="2115"/>
      <c r="N18" s="2115"/>
      <c r="O18" s="3910"/>
    </row>
    <row r="19" spans="1:15">
      <c r="A19" s="715" t="s">
        <v>242</v>
      </c>
      <c r="B19" s="715"/>
      <c r="C19" s="1674">
        <v>27.608000000000001</v>
      </c>
      <c r="D19" s="1671"/>
      <c r="E19" s="1674">
        <v>0</v>
      </c>
      <c r="F19" s="1671"/>
      <c r="G19" s="1674">
        <v>0.121</v>
      </c>
      <c r="H19" s="1671"/>
      <c r="I19" s="1674">
        <v>0</v>
      </c>
      <c r="J19" s="1703"/>
      <c r="K19" s="633">
        <f t="shared" si="0"/>
        <v>27.486999999999998</v>
      </c>
      <c r="L19" s="718"/>
      <c r="M19" s="2115"/>
      <c r="N19" s="2115"/>
      <c r="O19" s="3910"/>
    </row>
    <row r="20" spans="1:15">
      <c r="A20" s="715" t="s">
        <v>243</v>
      </c>
      <c r="B20" s="715"/>
      <c r="C20" s="1674">
        <v>0</v>
      </c>
      <c r="D20" s="1671"/>
      <c r="E20" s="1674">
        <v>0</v>
      </c>
      <c r="F20" s="1671"/>
      <c r="G20" s="1674">
        <v>0</v>
      </c>
      <c r="H20" s="1671"/>
      <c r="I20" s="1674">
        <v>0</v>
      </c>
      <c r="J20" s="1703"/>
      <c r="K20" s="633">
        <f t="shared" si="0"/>
        <v>0</v>
      </c>
      <c r="L20" s="2118"/>
      <c r="M20" s="2115"/>
      <c r="N20" s="2115"/>
      <c r="O20" s="3910"/>
    </row>
    <row r="21" spans="1:15">
      <c r="A21" s="716" t="s">
        <v>244</v>
      </c>
      <c r="B21" s="717"/>
      <c r="C21" s="1674">
        <v>0</v>
      </c>
      <c r="D21" s="1671"/>
      <c r="E21" s="1674">
        <v>0</v>
      </c>
      <c r="F21" s="1671"/>
      <c r="G21" s="1674">
        <v>0</v>
      </c>
      <c r="H21" s="1671"/>
      <c r="I21" s="1674">
        <v>0</v>
      </c>
      <c r="J21" s="1703"/>
      <c r="K21" s="633">
        <f t="shared" si="0"/>
        <v>0</v>
      </c>
      <c r="L21" s="2118"/>
      <c r="M21" s="2115"/>
      <c r="N21" s="2115"/>
      <c r="O21" s="3910"/>
    </row>
    <row r="22" spans="1:15">
      <c r="A22" s="716" t="s">
        <v>245</v>
      </c>
      <c r="B22" s="715"/>
      <c r="C22" s="1674">
        <v>0</v>
      </c>
      <c r="D22" s="1671"/>
      <c r="E22" s="1674">
        <v>0</v>
      </c>
      <c r="F22" s="1671"/>
      <c r="G22" s="1674">
        <v>0</v>
      </c>
      <c r="H22" s="1671"/>
      <c r="I22" s="1674">
        <v>0</v>
      </c>
      <c r="J22" s="1703"/>
      <c r="K22" s="633">
        <f t="shared" si="0"/>
        <v>0</v>
      </c>
      <c r="L22" s="2118"/>
      <c r="M22" s="2115"/>
      <c r="N22" s="2115"/>
      <c r="O22" s="3910"/>
    </row>
    <row r="23" spans="1:15">
      <c r="A23" s="716" t="s">
        <v>246</v>
      </c>
      <c r="B23" s="715"/>
      <c r="C23" s="1674">
        <v>0</v>
      </c>
      <c r="D23" s="1671"/>
      <c r="E23" s="1674">
        <v>0</v>
      </c>
      <c r="F23" s="1671"/>
      <c r="G23" s="1674">
        <v>0</v>
      </c>
      <c r="H23" s="1671"/>
      <c r="I23" s="1674">
        <v>0</v>
      </c>
      <c r="J23" s="1703"/>
      <c r="K23" s="633">
        <f t="shared" si="0"/>
        <v>0</v>
      </c>
      <c r="L23" s="2118"/>
      <c r="M23" s="2115"/>
      <c r="O23" s="3910"/>
    </row>
    <row r="24" spans="1:15" ht="22.5" customHeight="1">
      <c r="A24" s="426" t="s">
        <v>247</v>
      </c>
      <c r="B24" s="715"/>
      <c r="C24" s="427">
        <f>ROUND(SUM(C14:C23),3)</f>
        <v>15789.287</v>
      </c>
      <c r="D24" s="428"/>
      <c r="E24" s="427">
        <f>ROUND(SUM(E14:E23),3)</f>
        <v>5759.8590000000004</v>
      </c>
      <c r="F24" s="428"/>
      <c r="G24" s="427">
        <f>ROUND(SUM(G14:G23),3)</f>
        <v>6062.5209999999997</v>
      </c>
      <c r="H24" s="428"/>
      <c r="I24" s="427">
        <f>ROUND(SUM(I14:I23),3)</f>
        <v>4467.07</v>
      </c>
      <c r="J24" s="428"/>
      <c r="K24" s="427">
        <f>ROUND(SUM(K14:K23),3)</f>
        <v>19953.695</v>
      </c>
      <c r="L24" s="2993"/>
      <c r="M24" s="2115"/>
      <c r="N24" s="2115"/>
      <c r="O24" s="3910"/>
    </row>
    <row r="25" spans="1:15" ht="8.25" customHeight="1">
      <c r="A25" s="426"/>
      <c r="B25" s="715"/>
      <c r="C25" s="714"/>
      <c r="D25" s="633"/>
      <c r="E25" s="714"/>
      <c r="F25" s="633"/>
      <c r="G25" s="714"/>
      <c r="H25" s="633"/>
      <c r="I25" s="714"/>
      <c r="J25" s="633"/>
      <c r="K25" s="714"/>
      <c r="L25" s="714"/>
      <c r="M25" s="2115"/>
      <c r="N25" s="2115"/>
      <c r="O25" s="3910"/>
    </row>
    <row r="26" spans="1:15" ht="16">
      <c r="A26" s="716"/>
      <c r="B26" s="715"/>
      <c r="C26" s="717"/>
      <c r="D26" s="715"/>
      <c r="E26" s="717"/>
      <c r="F26" s="672"/>
      <c r="G26" s="717"/>
      <c r="H26" s="672"/>
      <c r="I26" s="717"/>
      <c r="J26" s="715"/>
      <c r="K26" s="718"/>
      <c r="L26" s="718"/>
      <c r="M26" s="2115"/>
      <c r="N26" s="2115"/>
      <c r="O26" s="3910"/>
    </row>
    <row r="27" spans="1:15" ht="16">
      <c r="A27" s="429" t="s">
        <v>796</v>
      </c>
      <c r="B27" s="715"/>
      <c r="C27" s="715"/>
      <c r="D27" s="715"/>
      <c r="E27" s="715"/>
      <c r="F27" s="672"/>
      <c r="G27" s="715"/>
      <c r="H27" s="672"/>
      <c r="I27" s="715"/>
      <c r="J27" s="715"/>
      <c r="K27" s="715"/>
      <c r="L27" s="717"/>
      <c r="M27" s="2115"/>
      <c r="N27" s="2115"/>
      <c r="O27" s="3910"/>
    </row>
    <row r="28" spans="1:15">
      <c r="A28" s="716" t="s">
        <v>248</v>
      </c>
      <c r="B28" s="715"/>
      <c r="C28" s="1674">
        <v>0.80400000000000005</v>
      </c>
      <c r="D28" s="1671"/>
      <c r="E28" s="1674">
        <v>8.0000000000000002E-3</v>
      </c>
      <c r="F28" s="1671"/>
      <c r="G28" s="1674">
        <v>5.0000000000000001E-3</v>
      </c>
      <c r="H28" s="1671"/>
      <c r="I28" s="1674">
        <v>0</v>
      </c>
      <c r="J28" s="1703"/>
      <c r="K28" s="633">
        <f t="shared" ref="K28:K33" si="1">ROUND(SUM(C28)+SUM(E28)-SUM(G28)+SUM(I28),3)</f>
        <v>0.80700000000000005</v>
      </c>
      <c r="L28" s="3066"/>
      <c r="M28" s="2115"/>
      <c r="O28" s="3910"/>
    </row>
    <row r="29" spans="1:15">
      <c r="A29" s="716" t="s">
        <v>249</v>
      </c>
      <c r="B29" s="715"/>
      <c r="C29" s="1674">
        <v>62.996000000000002</v>
      </c>
      <c r="D29" s="1671"/>
      <c r="E29" s="1674">
        <v>0.28199999999999997</v>
      </c>
      <c r="F29" s="1671"/>
      <c r="G29" s="1674">
        <v>0.54900000000000004</v>
      </c>
      <c r="H29" s="1671"/>
      <c r="I29" s="1674">
        <v>0</v>
      </c>
      <c r="J29" s="1703"/>
      <c r="K29" s="633">
        <f t="shared" si="1"/>
        <v>62.728999999999999</v>
      </c>
      <c r="L29" s="3066"/>
      <c r="M29" s="2115"/>
      <c r="N29" s="2115"/>
      <c r="O29" s="3910"/>
    </row>
    <row r="30" spans="1:15">
      <c r="A30" s="715" t="s">
        <v>250</v>
      </c>
      <c r="B30" s="2990" t="s">
        <v>231</v>
      </c>
      <c r="C30" s="1674">
        <v>119.108</v>
      </c>
      <c r="D30" s="1671"/>
      <c r="E30" s="1674">
        <v>2.4460000000000002</v>
      </c>
      <c r="F30" s="1671"/>
      <c r="G30" s="1674">
        <v>0.24099999999999999</v>
      </c>
      <c r="H30" s="1671"/>
      <c r="I30" s="1674">
        <v>0</v>
      </c>
      <c r="J30" s="1703"/>
      <c r="K30" s="633">
        <f t="shared" si="1"/>
        <v>121.313</v>
      </c>
      <c r="L30" s="3066"/>
      <c r="M30" s="2115"/>
      <c r="N30" s="2115"/>
      <c r="O30" s="3910"/>
    </row>
    <row r="31" spans="1:15">
      <c r="A31" s="716" t="s">
        <v>251</v>
      </c>
      <c r="B31" s="2990"/>
      <c r="C31" s="1674">
        <v>0.16400000000000001</v>
      </c>
      <c r="D31" s="1671"/>
      <c r="E31" s="1674">
        <v>0</v>
      </c>
      <c r="F31" s="1671"/>
      <c r="G31" s="1674">
        <v>0.05</v>
      </c>
      <c r="H31" s="1671"/>
      <c r="I31" s="1674">
        <v>0</v>
      </c>
      <c r="J31" s="1703"/>
      <c r="K31" s="633">
        <f t="shared" si="1"/>
        <v>0.114</v>
      </c>
      <c r="L31" s="3066"/>
      <c r="M31" s="2115"/>
      <c r="N31" s="2115"/>
      <c r="O31" s="3910"/>
    </row>
    <row r="32" spans="1:15">
      <c r="A32" s="716" t="s">
        <v>252</v>
      </c>
      <c r="B32" s="2990"/>
      <c r="C32" s="1674">
        <v>0.60499999999999998</v>
      </c>
      <c r="D32" s="1671"/>
      <c r="E32" s="1674">
        <v>4.0000000000000001E-3</v>
      </c>
      <c r="F32" s="1671"/>
      <c r="G32" s="1674">
        <v>0.05</v>
      </c>
      <c r="H32" s="1671"/>
      <c r="I32" s="1674">
        <v>0</v>
      </c>
      <c r="J32" s="1703"/>
      <c r="K32" s="633">
        <f t="shared" si="1"/>
        <v>0.55900000000000005</v>
      </c>
      <c r="L32" s="3066"/>
      <c r="M32" s="2115"/>
      <c r="N32" s="2115"/>
      <c r="O32" s="3910"/>
    </row>
    <row r="33" spans="1:15">
      <c r="A33" s="715" t="s">
        <v>253</v>
      </c>
      <c r="B33" s="715"/>
      <c r="C33" s="1674">
        <v>8.1959999999999997</v>
      </c>
      <c r="D33" s="1671"/>
      <c r="E33" s="1674">
        <v>0.52</v>
      </c>
      <c r="F33" s="1671"/>
      <c r="G33" s="1674">
        <v>0.39100000000000001</v>
      </c>
      <c r="H33" s="1671"/>
      <c r="I33" s="1674">
        <v>0</v>
      </c>
      <c r="J33" s="1703"/>
      <c r="K33" s="633">
        <f t="shared" si="1"/>
        <v>8.3249999999999993</v>
      </c>
      <c r="L33" s="3066"/>
      <c r="M33" s="2115"/>
      <c r="N33" s="2115"/>
      <c r="O33" s="3910"/>
    </row>
    <row r="34" spans="1:15">
      <c r="A34" s="715" t="s">
        <v>254</v>
      </c>
      <c r="B34" s="715"/>
      <c r="C34" s="3407"/>
      <c r="D34" s="1701"/>
      <c r="E34" s="1702"/>
      <c r="F34" s="1702"/>
      <c r="G34" s="1702"/>
      <c r="H34" s="1702"/>
      <c r="I34" s="1702"/>
      <c r="J34" s="430"/>
      <c r="K34" s="1485"/>
      <c r="L34" s="2114"/>
      <c r="M34" s="2115"/>
      <c r="N34" s="2115"/>
      <c r="O34" s="3910"/>
    </row>
    <row r="35" spans="1:15">
      <c r="A35" s="715" t="s">
        <v>255</v>
      </c>
      <c r="B35" s="715"/>
      <c r="C35" s="1674">
        <v>8.5259999999999998</v>
      </c>
      <c r="D35" s="1671"/>
      <c r="E35" s="1674">
        <v>0.95699999999999996</v>
      </c>
      <c r="F35" s="1671"/>
      <c r="G35" s="1674">
        <v>0.46300000000000002</v>
      </c>
      <c r="H35" s="1671"/>
      <c r="I35" s="1674">
        <v>0</v>
      </c>
      <c r="J35" s="1703"/>
      <c r="K35" s="633">
        <f t="shared" ref="K35:K60" si="2">ROUND(SUM(C35)+SUM(E35)-SUM(G35)+SUM(I35),3)</f>
        <v>9.02</v>
      </c>
      <c r="L35" s="2113"/>
      <c r="M35" s="2115"/>
      <c r="N35" s="2115"/>
      <c r="O35" s="3910"/>
    </row>
    <row r="36" spans="1:15">
      <c r="A36" s="715" t="s">
        <v>256</v>
      </c>
      <c r="B36" s="715"/>
      <c r="C36" s="1674">
        <v>2E-3</v>
      </c>
      <c r="D36" s="1671"/>
      <c r="E36" s="1674">
        <v>0</v>
      </c>
      <c r="F36" s="1671"/>
      <c r="G36" s="1674">
        <v>-1E-3</v>
      </c>
      <c r="H36" s="1671"/>
      <c r="I36" s="1674">
        <v>0</v>
      </c>
      <c r="J36" s="1703"/>
      <c r="K36" s="633">
        <f t="shared" si="2"/>
        <v>3.0000000000000001E-3</v>
      </c>
      <c r="L36" s="3066"/>
      <c r="M36" s="2115"/>
      <c r="N36" s="2115"/>
      <c r="O36" s="3910"/>
    </row>
    <row r="37" spans="1:15">
      <c r="A37" s="715" t="s">
        <v>257</v>
      </c>
      <c r="B37" s="715"/>
      <c r="C37" s="1674">
        <v>5.415</v>
      </c>
      <c r="D37" s="1671"/>
      <c r="E37" s="1674">
        <v>1E-3</v>
      </c>
      <c r="F37" s="1671"/>
      <c r="G37" s="1674">
        <v>0</v>
      </c>
      <c r="H37" s="1671"/>
      <c r="I37" s="1674">
        <v>0</v>
      </c>
      <c r="J37" s="1703"/>
      <c r="K37" s="633">
        <f t="shared" si="2"/>
        <v>5.4160000000000004</v>
      </c>
      <c r="L37" s="3066"/>
      <c r="M37" s="2115"/>
      <c r="N37" s="2115"/>
      <c r="O37" s="3910"/>
    </row>
    <row r="38" spans="1:15">
      <c r="A38" s="2040" t="s">
        <v>258</v>
      </c>
      <c r="B38" s="2994"/>
      <c r="C38" s="1674">
        <v>0</v>
      </c>
      <c r="D38" s="1671"/>
      <c r="E38" s="1674">
        <v>0</v>
      </c>
      <c r="F38" s="1671"/>
      <c r="G38" s="1674">
        <v>0</v>
      </c>
      <c r="H38" s="1671"/>
      <c r="I38" s="1674">
        <v>0</v>
      </c>
      <c r="J38" s="1703"/>
      <c r="K38" s="633">
        <f t="shared" si="2"/>
        <v>0</v>
      </c>
      <c r="L38" s="3066"/>
      <c r="M38" s="2115"/>
      <c r="N38" s="2115"/>
      <c r="O38" s="3910"/>
    </row>
    <row r="39" spans="1:15">
      <c r="A39" s="716" t="s">
        <v>259</v>
      </c>
      <c r="B39" s="715"/>
      <c r="C39" s="1674">
        <v>236.16200000000001</v>
      </c>
      <c r="D39" s="1671"/>
      <c r="E39" s="1674">
        <v>535.13499999999999</v>
      </c>
      <c r="F39" s="1671"/>
      <c r="G39" s="1674">
        <v>522.59300000000007</v>
      </c>
      <c r="H39" s="1671"/>
      <c r="I39" s="1674">
        <v>-0.32</v>
      </c>
      <c r="J39" s="1703"/>
      <c r="K39" s="633">
        <f t="shared" si="2"/>
        <v>248.38399999999999</v>
      </c>
      <c r="L39" s="2113"/>
      <c r="M39" s="2115"/>
      <c r="N39" s="2115"/>
      <c r="O39" s="3910"/>
    </row>
    <row r="40" spans="1:15">
      <c r="A40" s="715" t="s">
        <v>260</v>
      </c>
      <c r="B40" s="715"/>
      <c r="C40" s="1674">
        <v>64.936999999999998</v>
      </c>
      <c r="D40" s="1671"/>
      <c r="E40" s="1704">
        <v>47.418999999999997</v>
      </c>
      <c r="F40" s="1671"/>
      <c r="G40" s="1674">
        <v>49.1</v>
      </c>
      <c r="H40" s="1671"/>
      <c r="I40" s="1674">
        <v>15.664999999999999</v>
      </c>
      <c r="J40" s="1703"/>
      <c r="K40" s="633">
        <f t="shared" si="2"/>
        <v>78.921000000000006</v>
      </c>
      <c r="L40" s="3066"/>
      <c r="M40" s="2115"/>
      <c r="O40" s="3910"/>
    </row>
    <row r="41" spans="1:15">
      <c r="A41" s="716" t="s">
        <v>261</v>
      </c>
      <c r="B41" s="715"/>
      <c r="C41" s="1674">
        <v>1303.8589999999999</v>
      </c>
      <c r="D41" s="1671"/>
      <c r="E41" s="1674">
        <v>340.00099999999998</v>
      </c>
      <c r="F41" s="1671"/>
      <c r="G41" s="1674">
        <v>2356.038</v>
      </c>
      <c r="H41" s="1671"/>
      <c r="I41" s="1674">
        <v>0</v>
      </c>
      <c r="J41" s="1703"/>
      <c r="K41" s="633">
        <f t="shared" si="2"/>
        <v>-712.178</v>
      </c>
      <c r="L41" s="3066"/>
      <c r="M41" s="2115"/>
      <c r="N41" s="2115"/>
      <c r="O41" s="3910"/>
    </row>
    <row r="42" spans="1:15">
      <c r="A42" s="716" t="s">
        <v>262</v>
      </c>
      <c r="B42" s="715"/>
      <c r="C42" s="1674">
        <v>18.16</v>
      </c>
      <c r="D42" s="1671"/>
      <c r="E42" s="1674">
        <v>1.1910000000000001</v>
      </c>
      <c r="F42" s="1671"/>
      <c r="G42" s="1674">
        <v>0.10200000000000001</v>
      </c>
      <c r="H42" s="1671"/>
      <c r="I42" s="1674">
        <v>0</v>
      </c>
      <c r="J42" s="1703"/>
      <c r="K42" s="633">
        <f t="shared" si="2"/>
        <v>19.248999999999999</v>
      </c>
      <c r="L42" s="3066"/>
      <c r="M42" s="2115"/>
      <c r="N42" s="2115"/>
      <c r="O42" s="3910"/>
    </row>
    <row r="43" spans="1:15">
      <c r="A43" s="715" t="s">
        <v>263</v>
      </c>
      <c r="B43" s="715"/>
      <c r="C43" s="1674">
        <v>-3.4390000000000001</v>
      </c>
      <c r="D43" s="1671"/>
      <c r="E43" s="1674">
        <v>0</v>
      </c>
      <c r="F43" s="1671"/>
      <c r="G43" s="1674">
        <v>6.2E-2</v>
      </c>
      <c r="H43" s="1671"/>
      <c r="I43" s="1674">
        <v>0</v>
      </c>
      <c r="J43" s="1703"/>
      <c r="K43" s="633">
        <f t="shared" si="2"/>
        <v>-3.5009999999999999</v>
      </c>
      <c r="L43" s="3066"/>
      <c r="M43" s="2115"/>
      <c r="N43" s="2115"/>
      <c r="O43" s="3910"/>
    </row>
    <row r="44" spans="1:15">
      <c r="A44" s="715" t="s">
        <v>1111</v>
      </c>
      <c r="B44" s="715"/>
      <c r="C44" s="1674">
        <v>-2.371</v>
      </c>
      <c r="D44" s="1671"/>
      <c r="E44" s="1674">
        <v>8.0619999999999994</v>
      </c>
      <c r="F44" s="1671"/>
      <c r="G44" s="1674">
        <v>9.1059999999999999</v>
      </c>
      <c r="H44" s="1671"/>
      <c r="I44" s="1674">
        <v>1.835</v>
      </c>
      <c r="J44" s="1703"/>
      <c r="K44" s="633">
        <f t="shared" si="2"/>
        <v>-1.58</v>
      </c>
      <c r="L44" s="2113"/>
      <c r="M44" s="2115"/>
      <c r="N44" s="2115"/>
      <c r="O44" s="3910"/>
    </row>
    <row r="45" spans="1:15">
      <c r="A45" s="715" t="s">
        <v>264</v>
      </c>
      <c r="B45" s="715"/>
      <c r="C45" s="1674">
        <v>101.29</v>
      </c>
      <c r="D45" s="1671"/>
      <c r="E45" s="1674">
        <v>9.6519999999999992</v>
      </c>
      <c r="F45" s="1671"/>
      <c r="G45" s="1674">
        <v>4.16</v>
      </c>
      <c r="H45" s="1671"/>
      <c r="I45" s="1674">
        <v>-0.66</v>
      </c>
      <c r="J45" s="1703"/>
      <c r="K45" s="633">
        <f t="shared" si="2"/>
        <v>106.122</v>
      </c>
      <c r="L45" s="3066"/>
      <c r="M45" s="2115"/>
      <c r="N45" s="2115"/>
      <c r="O45" s="3910"/>
    </row>
    <row r="46" spans="1:15">
      <c r="A46" s="715" t="s">
        <v>265</v>
      </c>
      <c r="B46" s="715"/>
      <c r="C46" s="1674">
        <v>11.98</v>
      </c>
      <c r="D46" s="1671"/>
      <c r="E46" s="1674">
        <v>3.68</v>
      </c>
      <c r="F46" s="1671"/>
      <c r="G46" s="1674">
        <v>1.9990000000000001</v>
      </c>
      <c r="H46" s="1671"/>
      <c r="I46" s="1674">
        <v>-1.754</v>
      </c>
      <c r="J46" s="1703"/>
      <c r="K46" s="633">
        <f t="shared" si="2"/>
        <v>11.907</v>
      </c>
      <c r="L46" s="3066" t="s">
        <v>14</v>
      </c>
      <c r="M46" s="2115"/>
      <c r="N46" s="2115"/>
      <c r="O46" s="3910"/>
    </row>
    <row r="47" spans="1:15">
      <c r="A47" s="715" t="s">
        <v>266</v>
      </c>
      <c r="B47" s="715"/>
      <c r="C47" s="1674">
        <v>3.76</v>
      </c>
      <c r="D47" s="1671"/>
      <c r="E47" s="1674">
        <v>13.121</v>
      </c>
      <c r="F47" s="1671"/>
      <c r="G47" s="1674">
        <v>3.5030000000000001</v>
      </c>
      <c r="H47" s="1671"/>
      <c r="I47" s="1674">
        <v>0</v>
      </c>
      <c r="J47" s="1703"/>
      <c r="K47" s="633">
        <f t="shared" si="2"/>
        <v>13.378</v>
      </c>
      <c r="L47" s="3066"/>
      <c r="M47" s="2115"/>
      <c r="N47" s="2115"/>
      <c r="O47" s="3910"/>
    </row>
    <row r="48" spans="1:15">
      <c r="A48" s="715" t="s">
        <v>267</v>
      </c>
      <c r="B48" s="715"/>
      <c r="C48" s="1674">
        <v>9.1460000000000008</v>
      </c>
      <c r="D48" s="1671"/>
      <c r="E48" s="1674">
        <v>0.98499999999999999</v>
      </c>
      <c r="F48" s="1671"/>
      <c r="G48" s="1674">
        <v>8.2000000000000003E-2</v>
      </c>
      <c r="H48" s="1671"/>
      <c r="I48" s="1674">
        <v>0</v>
      </c>
      <c r="J48" s="1703"/>
      <c r="K48" s="633">
        <f t="shared" si="2"/>
        <v>10.048999999999999</v>
      </c>
      <c r="L48" s="3066"/>
      <c r="M48" s="2115"/>
      <c r="N48" s="2115"/>
      <c r="O48" s="3910"/>
    </row>
    <row r="49" spans="1:15">
      <c r="A49" s="716" t="s">
        <v>268</v>
      </c>
      <c r="B49" s="715"/>
      <c r="C49" s="1674">
        <v>0.52300000000000002</v>
      </c>
      <c r="D49" s="1671"/>
      <c r="E49" s="1674">
        <v>1E-3</v>
      </c>
      <c r="F49" s="1671"/>
      <c r="G49" s="1674">
        <v>1.4E-2</v>
      </c>
      <c r="H49" s="1671"/>
      <c r="I49" s="1674">
        <v>0</v>
      </c>
      <c r="J49" s="1703"/>
      <c r="K49" s="633">
        <f t="shared" si="2"/>
        <v>0.51</v>
      </c>
      <c r="L49" s="3066"/>
      <c r="M49" s="2115"/>
      <c r="N49" s="2115"/>
      <c r="O49" s="3910"/>
    </row>
    <row r="50" spans="1:15">
      <c r="A50" s="715" t="s">
        <v>269</v>
      </c>
      <c r="B50" s="715"/>
      <c r="C50" s="1674">
        <v>321.166</v>
      </c>
      <c r="D50" s="1671"/>
      <c r="E50" s="1674">
        <v>454.21699999999998</v>
      </c>
      <c r="F50" s="1671"/>
      <c r="G50" s="1674">
        <v>161.59399999999999</v>
      </c>
      <c r="H50" s="1671"/>
      <c r="I50" s="1674">
        <v>5.79</v>
      </c>
      <c r="J50" s="1703"/>
      <c r="K50" s="633">
        <f t="shared" si="2"/>
        <v>619.57899999999995</v>
      </c>
      <c r="L50" s="3066"/>
      <c r="M50" s="2115"/>
      <c r="N50" s="2115"/>
      <c r="O50" s="3910"/>
    </row>
    <row r="51" spans="1:15">
      <c r="A51" s="715" t="s">
        <v>270</v>
      </c>
      <c r="B51" s="715"/>
      <c r="C51" s="1674">
        <v>-34.207000000000001</v>
      </c>
      <c r="D51" s="1671"/>
      <c r="E51" s="1674">
        <v>3.3010000000000002</v>
      </c>
      <c r="F51" s="1671"/>
      <c r="G51" s="1674">
        <v>2.7439999999999998</v>
      </c>
      <c r="H51" s="1671"/>
      <c r="I51" s="1674">
        <v>0</v>
      </c>
      <c r="J51" s="1703"/>
      <c r="K51" s="633">
        <f t="shared" si="2"/>
        <v>-33.65</v>
      </c>
      <c r="L51" s="3066"/>
      <c r="M51" s="2115"/>
      <c r="N51" s="2115"/>
      <c r="O51" s="3910"/>
    </row>
    <row r="52" spans="1:15">
      <c r="A52" s="715" t="s">
        <v>271</v>
      </c>
      <c r="B52" s="715"/>
      <c r="C52" s="1674">
        <v>7.0999999999999994E-2</v>
      </c>
      <c r="D52" s="1671"/>
      <c r="E52" s="1674">
        <v>0</v>
      </c>
      <c r="F52" s="1671"/>
      <c r="G52" s="1674">
        <v>0</v>
      </c>
      <c r="H52" s="1671"/>
      <c r="I52" s="1674">
        <v>0</v>
      </c>
      <c r="J52" s="1703"/>
      <c r="K52" s="633">
        <f t="shared" si="2"/>
        <v>7.0999999999999994E-2</v>
      </c>
      <c r="L52" s="3066"/>
      <c r="M52" s="2115"/>
      <c r="N52" s="2115"/>
      <c r="O52" s="3910"/>
    </row>
    <row r="53" spans="1:15">
      <c r="A53" s="715" t="s">
        <v>902</v>
      </c>
      <c r="B53" s="715"/>
      <c r="C53" s="1674">
        <v>12.612</v>
      </c>
      <c r="D53" s="1671"/>
      <c r="E53" s="1674">
        <v>6.4000000000000001E-2</v>
      </c>
      <c r="F53" s="1671"/>
      <c r="G53" s="1674">
        <v>0.23300000000000001</v>
      </c>
      <c r="H53" s="1671"/>
      <c r="I53" s="1674">
        <v>0</v>
      </c>
      <c r="J53" s="1703"/>
      <c r="K53" s="633">
        <f t="shared" si="2"/>
        <v>12.443</v>
      </c>
      <c r="L53" s="3066"/>
      <c r="M53" s="2115"/>
      <c r="N53" s="2115"/>
      <c r="O53" s="3910"/>
    </row>
    <row r="54" spans="1:15">
      <c r="A54" s="715" t="s">
        <v>272</v>
      </c>
      <c r="B54" s="715"/>
      <c r="C54" s="1674">
        <v>0</v>
      </c>
      <c r="D54" s="1671"/>
      <c r="E54" s="1674">
        <v>0</v>
      </c>
      <c r="F54" s="1671"/>
      <c r="G54" s="1674">
        <v>0</v>
      </c>
      <c r="H54" s="1671"/>
      <c r="I54" s="1674">
        <v>0</v>
      </c>
      <c r="J54" s="1703"/>
      <c r="K54" s="633">
        <f t="shared" si="2"/>
        <v>0</v>
      </c>
      <c r="L54" s="3066"/>
      <c r="M54" s="2115"/>
      <c r="O54" s="3910"/>
    </row>
    <row r="55" spans="1:15">
      <c r="A55" s="716" t="s">
        <v>273</v>
      </c>
      <c r="B55" s="715"/>
      <c r="C55" s="1674">
        <v>0.46800000000000003</v>
      </c>
      <c r="D55" s="1671"/>
      <c r="E55" s="1674">
        <v>0</v>
      </c>
      <c r="F55" s="1671"/>
      <c r="G55" s="1674">
        <v>0</v>
      </c>
      <c r="H55" s="1671"/>
      <c r="I55" s="1674">
        <v>0</v>
      </c>
      <c r="J55" s="1703"/>
      <c r="K55" s="633">
        <f t="shared" si="2"/>
        <v>0.46800000000000003</v>
      </c>
      <c r="L55" s="2113"/>
      <c r="M55" s="2115"/>
      <c r="N55" s="2115"/>
      <c r="O55" s="3910"/>
    </row>
    <row r="56" spans="1:15">
      <c r="A56" s="716" t="s">
        <v>274</v>
      </c>
      <c r="B56" s="715"/>
      <c r="C56" s="1674">
        <v>0</v>
      </c>
      <c r="D56" s="1671"/>
      <c r="E56" s="1674">
        <v>0</v>
      </c>
      <c r="F56" s="1671"/>
      <c r="G56" s="1674">
        <v>0</v>
      </c>
      <c r="H56" s="1671"/>
      <c r="I56" s="1674">
        <v>0</v>
      </c>
      <c r="J56" s="1703"/>
      <c r="K56" s="633">
        <f t="shared" si="2"/>
        <v>0</v>
      </c>
      <c r="L56" s="3066"/>
      <c r="M56" s="2115"/>
      <c r="N56" s="2115"/>
      <c r="O56" s="3910"/>
    </row>
    <row r="57" spans="1:15">
      <c r="A57" s="716" t="s">
        <v>275</v>
      </c>
      <c r="B57" s="715"/>
      <c r="C57" s="1674">
        <v>0</v>
      </c>
      <c r="D57" s="1671"/>
      <c r="E57" s="1674">
        <v>0</v>
      </c>
      <c r="F57" s="1671"/>
      <c r="G57" s="1674">
        <v>0</v>
      </c>
      <c r="H57" s="1671"/>
      <c r="I57" s="1674">
        <v>0</v>
      </c>
      <c r="J57" s="1703"/>
      <c r="K57" s="633">
        <f t="shared" si="2"/>
        <v>0</v>
      </c>
      <c r="L57" s="3066"/>
      <c r="M57" s="2115"/>
      <c r="N57" s="2115"/>
      <c r="O57" s="3910"/>
    </row>
    <row r="58" spans="1:15">
      <c r="A58" s="716" t="s">
        <v>1274</v>
      </c>
      <c r="B58" s="715"/>
      <c r="C58" s="1674">
        <v>0.61399999999999999</v>
      </c>
      <c r="D58" s="1671"/>
      <c r="E58" s="1674">
        <v>1E-3</v>
      </c>
      <c r="F58" s="1671"/>
      <c r="G58" s="1674">
        <v>0</v>
      </c>
      <c r="H58" s="1671"/>
      <c r="I58" s="1674">
        <v>0</v>
      </c>
      <c r="J58" s="1703"/>
      <c r="K58" s="633">
        <f t="shared" si="2"/>
        <v>0.61499999999999999</v>
      </c>
      <c r="L58" s="3066"/>
      <c r="M58" s="2115"/>
      <c r="N58" s="2115"/>
      <c r="O58" s="3910"/>
    </row>
    <row r="59" spans="1:15">
      <c r="A59" s="716" t="s">
        <v>276</v>
      </c>
      <c r="B59" s="715"/>
      <c r="C59" s="1674">
        <v>1792.5650000000001</v>
      </c>
      <c r="D59" s="1671"/>
      <c r="E59" s="1674">
        <v>248.45599999999999</v>
      </c>
      <c r="F59" s="1671"/>
      <c r="G59" s="1674">
        <v>307.87200000000001</v>
      </c>
      <c r="H59" s="1671"/>
      <c r="I59" s="1674">
        <v>36.581000000000003</v>
      </c>
      <c r="J59" s="1703"/>
      <c r="K59" s="633">
        <f t="shared" si="2"/>
        <v>1769.73</v>
      </c>
      <c r="L59" s="3066"/>
      <c r="M59" s="2995"/>
      <c r="N59" s="2115"/>
      <c r="O59" s="3910"/>
    </row>
    <row r="60" spans="1:15">
      <c r="A60" s="715" t="s">
        <v>277</v>
      </c>
      <c r="B60" s="715"/>
      <c r="C60" s="1674">
        <v>23.795999999999999</v>
      </c>
      <c r="D60" s="1671"/>
      <c r="E60" s="1674">
        <v>1E-3</v>
      </c>
      <c r="F60" s="1671"/>
      <c r="G60" s="1674">
        <v>3.0369999999999999</v>
      </c>
      <c r="H60" s="1671"/>
      <c r="I60" s="1674">
        <v>0</v>
      </c>
      <c r="J60" s="1703"/>
      <c r="K60" s="633">
        <f t="shared" si="2"/>
        <v>20.76</v>
      </c>
      <c r="L60" s="3066"/>
      <c r="M60" s="720"/>
      <c r="N60" s="2115"/>
      <c r="O60" s="3910"/>
    </row>
    <row r="61" spans="1:15">
      <c r="A61" s="715"/>
      <c r="B61" s="715"/>
      <c r="C61" s="1674"/>
      <c r="D61" s="1671"/>
      <c r="E61" s="1674"/>
      <c r="F61" s="1671"/>
      <c r="G61" s="1674"/>
      <c r="H61" s="1671"/>
      <c r="I61" s="1674"/>
      <c r="J61" s="1703"/>
      <c r="K61" s="633"/>
      <c r="L61" s="2113"/>
      <c r="M61" s="429"/>
      <c r="N61" s="2115"/>
      <c r="O61" s="3910"/>
    </row>
    <row r="62" spans="1:15">
      <c r="A62" s="429" t="s">
        <v>841</v>
      </c>
      <c r="B62" s="715"/>
      <c r="C62" s="1674"/>
      <c r="D62" s="1671"/>
      <c r="E62" s="1674"/>
      <c r="F62" s="1671"/>
      <c r="G62" s="1674"/>
      <c r="H62" s="1671"/>
      <c r="I62" s="1674"/>
      <c r="J62" s="1703"/>
      <c r="K62" s="633"/>
      <c r="L62" s="2113"/>
      <c r="M62" s="429"/>
      <c r="N62" s="2115"/>
      <c r="O62" s="3910"/>
    </row>
    <row r="63" spans="1:15">
      <c r="A63" s="715" t="s">
        <v>278</v>
      </c>
      <c r="B63" s="1703"/>
      <c r="C63" s="1674">
        <v>5.2999999999999999E-2</v>
      </c>
      <c r="D63" s="1671"/>
      <c r="E63" s="1674">
        <v>0</v>
      </c>
      <c r="F63" s="1671"/>
      <c r="G63" s="1674">
        <v>0</v>
      </c>
      <c r="H63" s="1671"/>
      <c r="I63" s="1674">
        <v>0</v>
      </c>
      <c r="J63" s="1703"/>
      <c r="K63" s="633">
        <f>ROUND(SUM(C63)+SUM(E63)-SUM(G63)+SUM(I63),3)</f>
        <v>5.2999999999999999E-2</v>
      </c>
      <c r="L63" s="2113"/>
      <c r="M63" s="2115"/>
      <c r="N63" s="2115"/>
      <c r="O63" s="3910"/>
    </row>
    <row r="64" spans="1:15">
      <c r="A64" s="715" t="s">
        <v>279</v>
      </c>
      <c r="B64" s="715"/>
      <c r="C64" s="1674">
        <v>2531.895</v>
      </c>
      <c r="D64" s="1671"/>
      <c r="E64" s="1674">
        <v>576.13</v>
      </c>
      <c r="F64" s="1671"/>
      <c r="G64" s="1674">
        <v>664.98900000000003</v>
      </c>
      <c r="H64" s="1671"/>
      <c r="I64" s="1674">
        <v>111.595</v>
      </c>
      <c r="J64" s="1703"/>
      <c r="K64" s="633">
        <f>ROUND(SUM(C64)+SUM(E64)-SUM(G64)+SUM(I64),3)</f>
        <v>2554.6309999999999</v>
      </c>
      <c r="L64" s="3066"/>
      <c r="M64" s="2115"/>
      <c r="N64" s="2115"/>
      <c r="O64" s="3910"/>
    </row>
    <row r="65" spans="1:15">
      <c r="A65" s="716" t="s">
        <v>280</v>
      </c>
      <c r="B65" s="715"/>
      <c r="C65" s="1674">
        <v>6.8319999999999999</v>
      </c>
      <c r="D65" s="1671"/>
      <c r="E65" s="1674">
        <v>0.371</v>
      </c>
      <c r="F65" s="1671"/>
      <c r="G65" s="1674">
        <v>0.73899999999999999</v>
      </c>
      <c r="H65" s="1671"/>
      <c r="I65" s="1674">
        <v>0</v>
      </c>
      <c r="J65" s="1703"/>
      <c r="K65" s="633">
        <f>ROUND(SUM(C65)+SUM(E65)-SUM(G65)+SUM(I65),3)</f>
        <v>6.4640000000000004</v>
      </c>
      <c r="L65" s="3066"/>
      <c r="M65" s="2115"/>
      <c r="N65" s="2115"/>
      <c r="O65" s="3910"/>
    </row>
    <row r="66" spans="1:15">
      <c r="A66" s="715" t="s">
        <v>281</v>
      </c>
      <c r="B66" s="715"/>
      <c r="C66" s="1674">
        <v>0.73099999999999998</v>
      </c>
      <c r="D66" s="1671"/>
      <c r="E66" s="1674">
        <v>2E-3</v>
      </c>
      <c r="F66" s="1671"/>
      <c r="G66" s="1674">
        <v>0.23899999999999999</v>
      </c>
      <c r="H66" s="1671"/>
      <c r="I66" s="1674">
        <v>0</v>
      </c>
      <c r="J66" s="1703"/>
      <c r="K66" s="633">
        <f>ROUND(SUM(C66)+SUM(E66)-SUM(G66)+SUM(I66),3)</f>
        <v>0.49399999999999999</v>
      </c>
      <c r="L66" s="3066"/>
      <c r="M66" s="2115"/>
      <c r="N66" s="2115"/>
      <c r="O66" s="3910"/>
    </row>
    <row r="67" spans="1:15">
      <c r="A67" s="715" t="s">
        <v>282</v>
      </c>
      <c r="B67" s="715"/>
      <c r="C67" s="3407"/>
      <c r="D67" s="1701"/>
      <c r="E67" s="1704"/>
      <c r="F67" s="1705"/>
      <c r="G67" s="1704"/>
      <c r="H67" s="1705"/>
      <c r="I67" s="1706"/>
      <c r="J67" s="715"/>
      <c r="K67" s="633" t="s">
        <v>14</v>
      </c>
      <c r="L67" s="3066"/>
      <c r="M67" s="2115"/>
      <c r="N67" s="2115"/>
      <c r="O67" s="3910"/>
    </row>
    <row r="68" spans="1:15">
      <c r="A68" s="715" t="s">
        <v>283</v>
      </c>
      <c r="B68" s="715"/>
      <c r="C68" s="1674">
        <v>56.567</v>
      </c>
      <c r="D68" s="1671"/>
      <c r="E68" s="1674">
        <v>26.257000000000001</v>
      </c>
      <c r="F68" s="1671"/>
      <c r="G68" s="1674">
        <v>0.83699999999999997</v>
      </c>
      <c r="H68" s="1671"/>
      <c r="I68" s="1674">
        <v>0</v>
      </c>
      <c r="J68" s="1703"/>
      <c r="K68" s="633">
        <f t="shared" ref="K68:K73" si="3">ROUND(SUM(C68)+SUM(E68)-SUM(G68)+SUM(I68),3)</f>
        <v>81.986999999999995</v>
      </c>
      <c r="L68" s="3066"/>
      <c r="M68" s="2115"/>
      <c r="N68" s="720"/>
      <c r="O68" s="3910"/>
    </row>
    <row r="69" spans="1:15">
      <c r="A69" s="715" t="s">
        <v>284</v>
      </c>
      <c r="B69" s="431"/>
      <c r="C69" s="1674">
        <v>0.52800000000000002</v>
      </c>
      <c r="D69" s="1671"/>
      <c r="E69" s="1674">
        <v>0</v>
      </c>
      <c r="F69" s="1671"/>
      <c r="G69" s="1674">
        <v>1.9E-2</v>
      </c>
      <c r="H69" s="1671"/>
      <c r="I69" s="1674">
        <v>0</v>
      </c>
      <c r="J69" s="1703"/>
      <c r="K69" s="633">
        <f t="shared" si="3"/>
        <v>0.50900000000000001</v>
      </c>
      <c r="L69" s="3066"/>
      <c r="M69" s="2115"/>
      <c r="N69" s="2115"/>
      <c r="O69" s="3910"/>
    </row>
    <row r="70" spans="1:15">
      <c r="A70" s="715" t="s">
        <v>285</v>
      </c>
      <c r="B70" s="715"/>
      <c r="C70" s="1674">
        <v>2.4E-2</v>
      </c>
      <c r="D70" s="1671"/>
      <c r="E70" s="1674">
        <v>0</v>
      </c>
      <c r="F70" s="1671"/>
      <c r="G70" s="1674">
        <v>0</v>
      </c>
      <c r="H70" s="1671"/>
      <c r="I70" s="1674">
        <v>0</v>
      </c>
      <c r="J70" s="1703"/>
      <c r="K70" s="633">
        <f t="shared" si="3"/>
        <v>2.4E-2</v>
      </c>
      <c r="L70" s="3066"/>
      <c r="M70" s="2115"/>
      <c r="N70" s="2115"/>
      <c r="O70" s="3910"/>
    </row>
    <row r="71" spans="1:15">
      <c r="A71" s="716" t="s">
        <v>286</v>
      </c>
      <c r="B71" s="715"/>
      <c r="C71" s="1674">
        <v>10.54</v>
      </c>
      <c r="D71" s="1671"/>
      <c r="E71" s="1674">
        <v>1E-3</v>
      </c>
      <c r="F71" s="1671"/>
      <c r="G71" s="1674">
        <v>4.4999999999999998E-2</v>
      </c>
      <c r="H71" s="1671"/>
      <c r="I71" s="1674">
        <v>0</v>
      </c>
      <c r="J71" s="1703"/>
      <c r="K71" s="633">
        <f t="shared" si="3"/>
        <v>10.496</v>
      </c>
      <c r="L71" s="3066"/>
      <c r="M71" s="2115"/>
      <c r="N71" s="2115"/>
      <c r="O71" s="3910"/>
    </row>
    <row r="72" spans="1:15">
      <c r="A72" s="715" t="s">
        <v>287</v>
      </c>
      <c r="B72" s="715"/>
      <c r="C72" s="1674">
        <v>-17.86</v>
      </c>
      <c r="D72" s="1671"/>
      <c r="E72" s="1674">
        <v>0</v>
      </c>
      <c r="F72" s="1671"/>
      <c r="G72" s="1674">
        <v>0.34499999999999997</v>
      </c>
      <c r="H72" s="1671"/>
      <c r="I72" s="1674">
        <v>0</v>
      </c>
      <c r="J72" s="1703"/>
      <c r="K72" s="633">
        <f t="shared" si="3"/>
        <v>-18.204999999999998</v>
      </c>
      <c r="L72" s="3066"/>
      <c r="M72" s="2115"/>
      <c r="N72" s="2115"/>
      <c r="O72" s="3910"/>
    </row>
    <row r="73" spans="1:15">
      <c r="A73" s="715" t="s">
        <v>288</v>
      </c>
      <c r="B73" s="715"/>
      <c r="C73" s="1674">
        <v>4.2999999999999997E-2</v>
      </c>
      <c r="D73" s="1671"/>
      <c r="E73" s="1674">
        <v>1.4E-2</v>
      </c>
      <c r="F73" s="1671"/>
      <c r="G73" s="1674">
        <v>0</v>
      </c>
      <c r="H73" s="1671"/>
      <c r="I73" s="1674">
        <v>0</v>
      </c>
      <c r="J73" s="1703"/>
      <c r="K73" s="633">
        <f t="shared" si="3"/>
        <v>5.7000000000000002E-2</v>
      </c>
      <c r="L73" s="2113"/>
      <c r="M73" s="2115"/>
      <c r="N73" s="2115"/>
      <c r="O73" s="3910"/>
    </row>
    <row r="74" spans="1:15">
      <c r="A74" s="715" t="s">
        <v>289</v>
      </c>
      <c r="B74" s="715"/>
      <c r="C74" s="3407"/>
      <c r="D74" s="1701"/>
      <c r="E74" s="1704"/>
      <c r="F74" s="1705"/>
      <c r="G74" s="1704"/>
      <c r="H74" s="1705"/>
      <c r="I74" s="1704"/>
      <c r="J74" s="715"/>
      <c r="K74" s="633"/>
      <c r="L74" s="2116"/>
      <c r="M74" s="2115"/>
      <c r="N74" s="2115"/>
      <c r="O74" s="3910"/>
    </row>
    <row r="75" spans="1:15">
      <c r="A75" s="715" t="s">
        <v>290</v>
      </c>
      <c r="B75" s="715"/>
      <c r="C75" s="1674">
        <v>-5.351</v>
      </c>
      <c r="D75" s="1671"/>
      <c r="E75" s="1674">
        <v>0</v>
      </c>
      <c r="F75" s="1671"/>
      <c r="G75" s="1674">
        <v>0</v>
      </c>
      <c r="H75" s="1671"/>
      <c r="I75" s="1674">
        <v>0</v>
      </c>
      <c r="J75" s="1703"/>
      <c r="K75" s="633">
        <f t="shared" ref="K75:K89" si="4">ROUND(SUM(C75)+SUM(E75)-SUM(G75)+SUM(I75),3)</f>
        <v>-5.351</v>
      </c>
      <c r="L75" s="3066"/>
      <c r="M75" s="2115"/>
      <c r="N75" s="2115"/>
      <c r="O75" s="3910"/>
    </row>
    <row r="76" spans="1:15">
      <c r="A76" s="715" t="s">
        <v>291</v>
      </c>
      <c r="B76" s="715"/>
      <c r="C76" s="1674">
        <v>-42.069000000000003</v>
      </c>
      <c r="D76" s="1671"/>
      <c r="E76" s="1674">
        <v>1E-3</v>
      </c>
      <c r="F76" s="1671"/>
      <c r="G76" s="1704">
        <v>4.2720000000000002</v>
      </c>
      <c r="H76" s="1671"/>
      <c r="I76" s="1674">
        <v>0</v>
      </c>
      <c r="J76" s="1703"/>
      <c r="K76" s="633">
        <f t="shared" si="4"/>
        <v>-46.34</v>
      </c>
      <c r="L76" s="3066"/>
      <c r="M76" s="2115"/>
      <c r="N76" s="2115"/>
      <c r="O76" s="3910"/>
    </row>
    <row r="77" spans="1:15">
      <c r="A77" s="715" t="s">
        <v>292</v>
      </c>
      <c r="B77" s="715"/>
      <c r="C77" s="1674">
        <v>70.855000000000004</v>
      </c>
      <c r="D77" s="1671"/>
      <c r="E77" s="1674">
        <v>9.4570000000000007</v>
      </c>
      <c r="F77" s="1671"/>
      <c r="G77" s="1674">
        <v>4.6390000000000002</v>
      </c>
      <c r="H77" s="1671"/>
      <c r="I77" s="1674">
        <v>0</v>
      </c>
      <c r="J77" s="1703"/>
      <c r="K77" s="633">
        <f t="shared" si="4"/>
        <v>75.673000000000002</v>
      </c>
      <c r="L77" s="2113"/>
      <c r="M77" s="2115"/>
      <c r="N77" s="2115"/>
      <c r="O77" s="3910"/>
    </row>
    <row r="78" spans="1:15">
      <c r="A78" s="715" t="s">
        <v>293</v>
      </c>
      <c r="B78" s="715"/>
      <c r="C78" s="1674">
        <v>0.255</v>
      </c>
      <c r="D78" s="1671"/>
      <c r="E78" s="1674">
        <v>1E-3</v>
      </c>
      <c r="F78" s="1671"/>
      <c r="G78" s="1674">
        <v>0</v>
      </c>
      <c r="H78" s="1671"/>
      <c r="I78" s="1674">
        <v>0</v>
      </c>
      <c r="J78" s="1703"/>
      <c r="K78" s="633">
        <f t="shared" si="4"/>
        <v>0.25600000000000001</v>
      </c>
      <c r="L78" s="2113"/>
      <c r="M78" s="2115"/>
      <c r="N78" s="2115"/>
      <c r="O78" s="3910"/>
    </row>
    <row r="79" spans="1:15">
      <c r="A79" s="716" t="s">
        <v>294</v>
      </c>
      <c r="B79" s="715"/>
      <c r="C79" s="1674">
        <v>597.72</v>
      </c>
      <c r="D79" s="1671"/>
      <c r="E79" s="1674">
        <v>39.472000000000001</v>
      </c>
      <c r="F79" s="1671"/>
      <c r="G79" s="1674">
        <v>17.594999999999999</v>
      </c>
      <c r="H79" s="1671"/>
      <c r="I79" s="1674">
        <v>0</v>
      </c>
      <c r="J79" s="1703"/>
      <c r="K79" s="633">
        <f t="shared" si="4"/>
        <v>619.59699999999998</v>
      </c>
      <c r="L79" s="3066"/>
      <c r="M79" s="2115"/>
      <c r="N79" s="2115"/>
      <c r="O79" s="3910"/>
    </row>
    <row r="80" spans="1:15">
      <c r="A80" s="715" t="s">
        <v>295</v>
      </c>
      <c r="B80" s="715"/>
      <c r="C80" s="1674">
        <v>24.995999999999999</v>
      </c>
      <c r="D80" s="1671"/>
      <c r="E80" s="1674">
        <v>1E-3</v>
      </c>
      <c r="F80" s="1671"/>
      <c r="G80" s="1674">
        <v>2E-3</v>
      </c>
      <c r="H80" s="1671"/>
      <c r="I80" s="1674">
        <v>-11.305</v>
      </c>
      <c r="J80" s="1703"/>
      <c r="K80" s="633">
        <f t="shared" si="4"/>
        <v>13.69</v>
      </c>
      <c r="L80" s="2113"/>
      <c r="M80" s="2115"/>
      <c r="N80" s="2115"/>
      <c r="O80" s="3910"/>
    </row>
    <row r="81" spans="1:15">
      <c r="A81" s="716" t="s">
        <v>296</v>
      </c>
      <c r="B81" s="715"/>
      <c r="C81" s="1674">
        <v>164.209</v>
      </c>
      <c r="D81" s="1671"/>
      <c r="E81" s="1674">
        <v>5.0000000000000001E-3</v>
      </c>
      <c r="F81" s="1671"/>
      <c r="G81" s="1674">
        <v>61.475000000000001</v>
      </c>
      <c r="H81" s="1671"/>
      <c r="I81" s="1674">
        <v>12.625</v>
      </c>
      <c r="J81" s="1703"/>
      <c r="K81" s="633">
        <f t="shared" si="4"/>
        <v>115.364</v>
      </c>
      <c r="L81" s="3066"/>
      <c r="M81" s="2115"/>
      <c r="N81" s="2115"/>
      <c r="O81" s="3910"/>
    </row>
    <row r="82" spans="1:15">
      <c r="A82" s="716" t="s">
        <v>1110</v>
      </c>
      <c r="B82" s="715"/>
      <c r="C82" s="1674">
        <v>67.838999999999999</v>
      </c>
      <c r="D82" s="1671"/>
      <c r="E82" s="1674">
        <v>19.471</v>
      </c>
      <c r="F82" s="1671"/>
      <c r="G82" s="1674">
        <v>1.2450000000000001</v>
      </c>
      <c r="H82" s="1671"/>
      <c r="I82" s="1674">
        <v>0</v>
      </c>
      <c r="J82" s="1703"/>
      <c r="K82" s="633">
        <f t="shared" si="4"/>
        <v>86.064999999999998</v>
      </c>
      <c r="L82" s="3066"/>
      <c r="M82" s="2115"/>
      <c r="N82" s="2115"/>
      <c r="O82" s="3910"/>
    </row>
    <row r="83" spans="1:15">
      <c r="A83" s="716" t="s">
        <v>1188</v>
      </c>
      <c r="B83" s="715"/>
      <c r="C83" s="1674">
        <v>21.016999999999999</v>
      </c>
      <c r="D83" s="1671"/>
      <c r="E83" s="1674">
        <v>1.014</v>
      </c>
      <c r="F83" s="1671"/>
      <c r="G83" s="1674">
        <v>0.57299999999999995</v>
      </c>
      <c r="H83" s="1671"/>
      <c r="I83" s="1674">
        <v>0.35399999999999998</v>
      </c>
      <c r="J83" s="1703"/>
      <c r="K83" s="633">
        <f t="shared" si="4"/>
        <v>21.812000000000001</v>
      </c>
      <c r="L83" s="2113"/>
      <c r="M83" s="2115"/>
      <c r="N83" s="2115"/>
      <c r="O83" s="3910"/>
    </row>
    <row r="84" spans="1:15">
      <c r="A84" s="716" t="s">
        <v>1168</v>
      </c>
      <c r="B84" s="715"/>
      <c r="C84" s="1674">
        <v>5.5430000000000001</v>
      </c>
      <c r="D84" s="1671"/>
      <c r="E84" s="1674">
        <v>0.20899999999999999</v>
      </c>
      <c r="F84" s="1671"/>
      <c r="G84" s="1674">
        <v>0.124</v>
      </c>
      <c r="H84" s="1671"/>
      <c r="I84" s="1674">
        <v>0</v>
      </c>
      <c r="J84" s="1703"/>
      <c r="K84" s="633">
        <f t="shared" si="4"/>
        <v>5.6280000000000001</v>
      </c>
      <c r="L84" s="3066"/>
      <c r="M84" s="2115"/>
      <c r="N84" s="2115"/>
      <c r="O84" s="3910"/>
    </row>
    <row r="85" spans="1:15">
      <c r="A85" s="716" t="s">
        <v>1536</v>
      </c>
      <c r="B85" s="715"/>
      <c r="C85" s="1674">
        <v>0</v>
      </c>
      <c r="D85" s="1671"/>
      <c r="E85" s="1674">
        <v>0</v>
      </c>
      <c r="F85" s="1671"/>
      <c r="G85" s="1674">
        <v>0</v>
      </c>
      <c r="H85" s="1671"/>
      <c r="I85" s="1674">
        <v>0</v>
      </c>
      <c r="J85" s="1703"/>
      <c r="K85" s="633">
        <f>ROUND(SUM(C85)+SUM(E85)-SUM(G85)+SUM(I85),3)</f>
        <v>0</v>
      </c>
      <c r="L85" s="3066"/>
      <c r="M85" s="2115"/>
      <c r="N85" s="2115"/>
      <c r="O85" s="3910"/>
    </row>
    <row r="86" spans="1:15">
      <c r="A86" s="716" t="s">
        <v>1225</v>
      </c>
      <c r="B86" s="715"/>
      <c r="C86" s="1674">
        <v>254.72499999999999</v>
      </c>
      <c r="D86" s="1671"/>
      <c r="E86" s="1674">
        <v>1.0999999999999999E-2</v>
      </c>
      <c r="F86" s="1671"/>
      <c r="G86" s="1674">
        <v>0</v>
      </c>
      <c r="H86" s="1671"/>
      <c r="I86" s="1674">
        <v>0</v>
      </c>
      <c r="J86" s="1703"/>
      <c r="K86" s="633">
        <f t="shared" si="4"/>
        <v>254.73599999999999</v>
      </c>
      <c r="L86" s="3066"/>
      <c r="M86" s="2115"/>
      <c r="N86" s="2115"/>
      <c r="O86" s="3910"/>
    </row>
    <row r="87" spans="1:15">
      <c r="A87" s="716" t="s">
        <v>1264</v>
      </c>
      <c r="B87" s="715"/>
      <c r="C87" s="1674">
        <v>5.0000000000000001E-3</v>
      </c>
      <c r="D87" s="1671"/>
      <c r="E87" s="1674">
        <v>0</v>
      </c>
      <c r="F87" s="1671"/>
      <c r="G87" s="1674">
        <v>0</v>
      </c>
      <c r="H87" s="1671"/>
      <c r="I87" s="1674">
        <v>0</v>
      </c>
      <c r="J87" s="1703"/>
      <c r="K87" s="633">
        <f t="shared" si="4"/>
        <v>5.0000000000000001E-3</v>
      </c>
      <c r="L87" s="3066"/>
      <c r="M87" s="2115"/>
      <c r="N87" s="2115"/>
      <c r="O87" s="3910"/>
    </row>
    <row r="88" spans="1:15">
      <c r="A88" s="716" t="s">
        <v>1180</v>
      </c>
      <c r="B88" s="715"/>
      <c r="C88" s="1674">
        <v>22.347999999999999</v>
      </c>
      <c r="D88" s="1671"/>
      <c r="E88" s="1674">
        <v>0.32100000000000001</v>
      </c>
      <c r="F88" s="1671"/>
      <c r="G88" s="1674">
        <v>0</v>
      </c>
      <c r="H88" s="1671"/>
      <c r="I88" s="1674">
        <v>0</v>
      </c>
      <c r="J88" s="1703"/>
      <c r="K88" s="633">
        <f>ROUND(SUM(C88)+SUM(E88)-SUM(G88)+SUM(I88),3)</f>
        <v>22.669</v>
      </c>
      <c r="L88" s="3066"/>
      <c r="M88" s="2115"/>
      <c r="N88" s="2115"/>
      <c r="O88" s="3910"/>
    </row>
    <row r="89" spans="1:15">
      <c r="A89" s="1705" t="s">
        <v>810</v>
      </c>
      <c r="B89" s="715"/>
      <c r="C89" s="1674">
        <v>269.95800000000003</v>
      </c>
      <c r="D89" s="1671"/>
      <c r="E89" s="1674">
        <v>82.034999999999997</v>
      </c>
      <c r="F89" s="1671"/>
      <c r="G89" s="1674">
        <v>0</v>
      </c>
      <c r="H89" s="1671"/>
      <c r="I89" s="1674">
        <v>-23.442</v>
      </c>
      <c r="J89" s="1703"/>
      <c r="K89" s="633">
        <f t="shared" si="4"/>
        <v>328.55099999999999</v>
      </c>
      <c r="L89" s="3066"/>
      <c r="M89" s="2115"/>
      <c r="N89" s="2115"/>
      <c r="O89" s="3910"/>
    </row>
    <row r="90" spans="1:15">
      <c r="A90" s="428" t="s">
        <v>297</v>
      </c>
      <c r="B90" s="715"/>
      <c r="C90" s="433">
        <f>ROUND(SUM(C28:C89),3)</f>
        <v>8108.3109999999997</v>
      </c>
      <c r="D90" s="432"/>
      <c r="E90" s="433">
        <f>ROUND(SUM(E28:E89),3)</f>
        <v>2424.2779999999998</v>
      </c>
      <c r="F90" s="432"/>
      <c r="G90" s="433">
        <f>ROUND(SUM(G28:G89),3)</f>
        <v>4181.125</v>
      </c>
      <c r="H90" s="432"/>
      <c r="I90" s="433">
        <f>ROUND(SUM(I28:I89),3)</f>
        <v>146.964</v>
      </c>
      <c r="J90" s="432"/>
      <c r="K90" s="433">
        <f>ROUND(SUM(K28:K89),3)</f>
        <v>6498.4279999999999</v>
      </c>
      <c r="L90" s="2117"/>
      <c r="M90" s="2996"/>
      <c r="N90" s="2115"/>
      <c r="O90" s="3910"/>
    </row>
    <row r="91" spans="1:15" ht="11.25" customHeight="1">
      <c r="A91" s="715"/>
      <c r="B91" s="715"/>
      <c r="C91" s="717"/>
      <c r="D91" s="715"/>
      <c r="E91" s="717"/>
      <c r="F91" s="715"/>
      <c r="G91" s="717"/>
      <c r="H91" s="715"/>
      <c r="I91" s="717"/>
      <c r="J91" s="715"/>
      <c r="K91" s="717"/>
      <c r="L91" s="717"/>
      <c r="M91" s="2115"/>
      <c r="N91" s="2115"/>
      <c r="O91" s="3910"/>
    </row>
    <row r="92" spans="1:15">
      <c r="A92" s="429" t="s">
        <v>298</v>
      </c>
      <c r="B92" s="715"/>
      <c r="C92" s="715"/>
      <c r="D92" s="715"/>
      <c r="E92" s="715"/>
      <c r="F92" s="715"/>
      <c r="G92" s="715"/>
      <c r="H92" s="715"/>
      <c r="I92" s="715"/>
      <c r="J92" s="715"/>
      <c r="K92" s="715"/>
      <c r="L92" s="717"/>
      <c r="M92" s="2115"/>
      <c r="N92" s="2115"/>
      <c r="O92" s="3910"/>
    </row>
    <row r="93" spans="1:15">
      <c r="A93" s="715" t="s">
        <v>871</v>
      </c>
      <c r="B93" s="715"/>
      <c r="C93" s="1674">
        <v>-29.285</v>
      </c>
      <c r="D93" s="1671"/>
      <c r="E93" s="1674">
        <v>122.54</v>
      </c>
      <c r="F93" s="1671"/>
      <c r="G93" s="1674">
        <v>107.637</v>
      </c>
      <c r="H93" s="1671"/>
      <c r="I93" s="1674">
        <v>-16.902000000000001</v>
      </c>
      <c r="J93" s="1703"/>
      <c r="K93" s="633">
        <f t="shared" ref="K93:K99" si="5">ROUND(SUM(C93)+SUM(E93)-SUM(G93)+SUM(I93),3)</f>
        <v>-31.283999999999999</v>
      </c>
      <c r="L93" s="718"/>
      <c r="M93" s="2115"/>
      <c r="N93" s="2115"/>
      <c r="O93" s="3910"/>
    </row>
    <row r="94" spans="1:15">
      <c r="A94" s="715" t="s">
        <v>299</v>
      </c>
      <c r="B94" s="715"/>
      <c r="C94" s="1674">
        <v>3435.13</v>
      </c>
      <c r="D94" s="1671"/>
      <c r="E94" s="1674">
        <v>6560.3149999999996</v>
      </c>
      <c r="F94" s="1671"/>
      <c r="G94" s="1674">
        <v>5415.4840000000004</v>
      </c>
      <c r="H94" s="1671"/>
      <c r="I94" s="1674">
        <v>-143.78700000000001</v>
      </c>
      <c r="J94" s="1703"/>
      <c r="K94" s="633">
        <f t="shared" si="5"/>
        <v>4436.174</v>
      </c>
      <c r="L94" s="718"/>
      <c r="M94" s="2115"/>
      <c r="N94" s="2115"/>
      <c r="O94" s="3910"/>
    </row>
    <row r="95" spans="1:15">
      <c r="A95" s="715" t="s">
        <v>300</v>
      </c>
      <c r="B95" s="430"/>
      <c r="C95" s="1674">
        <v>-36.268000000000001</v>
      </c>
      <c r="D95" s="1671"/>
      <c r="E95" s="1674">
        <v>458.94900000000001</v>
      </c>
      <c r="F95" s="1671"/>
      <c r="G95" s="1674">
        <v>469.93799999999999</v>
      </c>
      <c r="H95" s="1671"/>
      <c r="I95" s="1674">
        <v>-2.0149999999999997</v>
      </c>
      <c r="J95" s="1703"/>
      <c r="K95" s="633">
        <f t="shared" si="5"/>
        <v>-49.271999999999998</v>
      </c>
      <c r="L95" s="718"/>
      <c r="M95" s="2115"/>
      <c r="N95" s="2115"/>
      <c r="O95" s="3910"/>
    </row>
    <row r="96" spans="1:15">
      <c r="A96" s="715" t="s">
        <v>1507</v>
      </c>
      <c r="B96" s="715"/>
      <c r="C96" s="1674">
        <v>15064.111000000001</v>
      </c>
      <c r="D96" s="1671"/>
      <c r="E96" s="1674">
        <v>160.971</v>
      </c>
      <c r="F96" s="1671"/>
      <c r="G96" s="1674">
        <v>648.23800000000006</v>
      </c>
      <c r="H96" s="1671"/>
      <c r="I96" s="1674">
        <v>-1.175</v>
      </c>
      <c r="J96" s="1703"/>
      <c r="K96" s="633">
        <f t="shared" si="5"/>
        <v>14575.669</v>
      </c>
      <c r="L96" s="718"/>
      <c r="M96" s="720"/>
      <c r="O96" s="3910"/>
    </row>
    <row r="97" spans="1:15">
      <c r="A97" s="715" t="s">
        <v>301</v>
      </c>
      <c r="B97" s="715"/>
      <c r="C97" s="1674">
        <v>164.05699999999999</v>
      </c>
      <c r="D97" s="1671"/>
      <c r="E97" s="1674">
        <v>83.897999999999996</v>
      </c>
      <c r="F97" s="1671"/>
      <c r="G97" s="1674">
        <v>52.475999999999999</v>
      </c>
      <c r="H97" s="1671"/>
      <c r="I97" s="1674">
        <v>0</v>
      </c>
      <c r="J97" s="1703"/>
      <c r="K97" s="633">
        <f t="shared" si="5"/>
        <v>195.47900000000001</v>
      </c>
      <c r="L97" s="718"/>
      <c r="M97" s="2115"/>
      <c r="N97" s="2115"/>
      <c r="O97" s="3910"/>
    </row>
    <row r="98" spans="1:15">
      <c r="A98" s="715" t="s">
        <v>1506</v>
      </c>
      <c r="B98" s="715"/>
      <c r="C98" s="1674">
        <v>-0.49099999999999999</v>
      </c>
      <c r="D98" s="1671"/>
      <c r="E98" s="1674">
        <v>0.20399999999999999</v>
      </c>
      <c r="F98" s="1671"/>
      <c r="G98" s="1674">
        <v>0.25800000000000001</v>
      </c>
      <c r="H98" s="1671"/>
      <c r="I98" s="1674">
        <v>0</v>
      </c>
      <c r="J98" s="1703"/>
      <c r="K98" s="633">
        <f t="shared" si="5"/>
        <v>-0.54500000000000004</v>
      </c>
      <c r="L98" s="718"/>
      <c r="M98" s="2115"/>
      <c r="N98" s="2115"/>
      <c r="O98" s="3910"/>
    </row>
    <row r="99" spans="1:15">
      <c r="A99" s="716" t="s">
        <v>302</v>
      </c>
      <c r="B99" s="715"/>
      <c r="C99" s="1674">
        <v>-5.4950000000000001</v>
      </c>
      <c r="D99" s="1671"/>
      <c r="E99" s="1674">
        <v>19.658000000000001</v>
      </c>
      <c r="F99" s="1671"/>
      <c r="G99" s="1674">
        <v>16.216999999999999</v>
      </c>
      <c r="H99" s="1671"/>
      <c r="I99" s="1674">
        <v>0</v>
      </c>
      <c r="J99" s="1703"/>
      <c r="K99" s="633">
        <f t="shared" si="5"/>
        <v>-2.0539999999999998</v>
      </c>
      <c r="L99" s="718"/>
      <c r="M99" s="2115"/>
      <c r="N99" s="2115"/>
      <c r="O99" s="3910"/>
    </row>
    <row r="100" spans="1:15">
      <c r="A100" s="428" t="s">
        <v>303</v>
      </c>
      <c r="B100" s="715"/>
      <c r="C100" s="433">
        <f>ROUND(SUM(C93:C99),3)</f>
        <v>18591.758999999998</v>
      </c>
      <c r="D100" s="432"/>
      <c r="E100" s="433">
        <f>ROUND(SUM(E93:E99),3)</f>
        <v>7406.5349999999999</v>
      </c>
      <c r="F100" s="432"/>
      <c r="G100" s="433">
        <f>ROUND(SUM(G93:G99),3)</f>
        <v>6710.2479999999996</v>
      </c>
      <c r="H100" s="432"/>
      <c r="I100" s="433">
        <f>ROUND(SUM(I93:I99),3)</f>
        <v>-163.87899999999999</v>
      </c>
      <c r="J100" s="432"/>
      <c r="K100" s="433">
        <f>ROUND(SUM(K93:K99),3)</f>
        <v>19124.167000000001</v>
      </c>
      <c r="L100" s="434"/>
      <c r="M100" s="2115"/>
      <c r="N100" s="2115"/>
      <c r="O100" s="3910"/>
    </row>
    <row r="101" spans="1:15" ht="12" customHeight="1">
      <c r="A101" s="432"/>
      <c r="B101" s="715"/>
      <c r="C101" s="717"/>
      <c r="D101" s="715"/>
      <c r="E101" s="717"/>
      <c r="F101" s="715"/>
      <c r="G101" s="717"/>
      <c r="H101" s="715"/>
      <c r="I101" s="717"/>
      <c r="J101" s="715"/>
      <c r="K101" s="717"/>
      <c r="L101" s="717"/>
      <c r="M101" s="2115"/>
      <c r="N101" s="2115"/>
      <c r="O101" s="3910"/>
    </row>
    <row r="102" spans="1:15">
      <c r="A102" s="2998" t="s">
        <v>304</v>
      </c>
      <c r="B102" s="715"/>
      <c r="C102" s="2198">
        <f>C90+C100</f>
        <v>26700.07</v>
      </c>
      <c r="D102" s="432"/>
      <c r="E102" s="2198">
        <f>E90+E100</f>
        <v>9830.8130000000001</v>
      </c>
      <c r="F102" s="432"/>
      <c r="G102" s="2198">
        <f>G90+G100</f>
        <v>10891.373</v>
      </c>
      <c r="H102" s="432"/>
      <c r="I102" s="2198">
        <f>I90+I100</f>
        <v>-16.914999999999992</v>
      </c>
      <c r="J102" s="432"/>
      <c r="K102" s="2198">
        <f>K90+K100</f>
        <v>25622.595000000001</v>
      </c>
      <c r="L102" s="434"/>
      <c r="M102" s="2996"/>
      <c r="N102" s="2996"/>
      <c r="O102" s="3910"/>
    </row>
    <row r="103" spans="1:15" ht="10.5" customHeight="1">
      <c r="A103" s="2999"/>
      <c r="B103" s="715"/>
      <c r="C103" s="717"/>
      <c r="D103" s="715"/>
      <c r="E103" s="717"/>
      <c r="F103" s="715"/>
      <c r="G103" s="717"/>
      <c r="H103" s="715"/>
      <c r="I103" s="717"/>
      <c r="J103" s="715"/>
      <c r="K103" s="717"/>
      <c r="L103" s="717"/>
      <c r="M103" s="2115"/>
      <c r="N103" s="2115"/>
      <c r="O103" s="3910"/>
    </row>
    <row r="104" spans="1:15" ht="16">
      <c r="A104" s="429" t="s">
        <v>183</v>
      </c>
      <c r="B104" s="715"/>
      <c r="C104" s="715"/>
      <c r="D104" s="715"/>
      <c r="E104" s="672"/>
      <c r="F104" s="672"/>
      <c r="G104" s="672"/>
      <c r="H104" s="672"/>
      <c r="I104" s="672"/>
      <c r="J104" s="430"/>
      <c r="K104" s="672"/>
      <c r="L104" s="717"/>
      <c r="M104" s="2115"/>
      <c r="N104" s="2115"/>
      <c r="O104" s="3910"/>
    </row>
    <row r="105" spans="1:15">
      <c r="A105" s="715" t="s">
        <v>305</v>
      </c>
      <c r="B105" s="715"/>
      <c r="C105" s="1674">
        <v>0</v>
      </c>
      <c r="D105" s="1671"/>
      <c r="E105" s="1674">
        <v>0</v>
      </c>
      <c r="F105" s="1671"/>
      <c r="G105" s="1674">
        <v>0</v>
      </c>
      <c r="H105" s="1671"/>
      <c r="I105" s="1674">
        <v>0</v>
      </c>
      <c r="J105" s="1703"/>
      <c r="K105" s="633">
        <f t="shared" ref="K105:K111" si="6">ROUND(SUM(C105)+SUM(E105)-SUM(G105)+SUM(I105),3)</f>
        <v>0</v>
      </c>
      <c r="L105" s="2118"/>
      <c r="O105" s="3910"/>
    </row>
    <row r="106" spans="1:15">
      <c r="A106" s="715" t="s">
        <v>306</v>
      </c>
      <c r="B106" s="715"/>
      <c r="C106" s="1674">
        <v>43.625</v>
      </c>
      <c r="D106" s="1671"/>
      <c r="E106" s="1674">
        <v>20.123000000000001</v>
      </c>
      <c r="F106" s="1671"/>
      <c r="G106" s="1674">
        <v>0</v>
      </c>
      <c r="H106" s="1671"/>
      <c r="I106" s="1674">
        <v>-45.927</v>
      </c>
      <c r="J106" s="1703"/>
      <c r="K106" s="633">
        <f t="shared" si="6"/>
        <v>17.821000000000002</v>
      </c>
      <c r="L106" s="718"/>
      <c r="M106" s="2115"/>
      <c r="N106" s="2115"/>
      <c r="O106" s="3910"/>
    </row>
    <row r="107" spans="1:15">
      <c r="A107" s="715" t="s">
        <v>307</v>
      </c>
      <c r="B107" s="715"/>
      <c r="C107" s="1674">
        <v>906.49900000000002</v>
      </c>
      <c r="D107" s="1671"/>
      <c r="E107" s="1674">
        <v>4040.116</v>
      </c>
      <c r="F107" s="1671"/>
      <c r="G107" s="1674">
        <v>743.15899999999999</v>
      </c>
      <c r="H107" s="1671"/>
      <c r="I107" s="1674">
        <v>-4084.5709999999999</v>
      </c>
      <c r="J107" s="1703"/>
      <c r="K107" s="633">
        <f t="shared" si="6"/>
        <v>118.88500000000001</v>
      </c>
      <c r="L107" s="718"/>
      <c r="M107" s="2115"/>
      <c r="N107" s="2115"/>
      <c r="O107" s="3910"/>
    </row>
    <row r="108" spans="1:15">
      <c r="A108" s="715" t="s">
        <v>308</v>
      </c>
      <c r="B108" s="715"/>
      <c r="C108" s="1674">
        <v>0</v>
      </c>
      <c r="D108" s="1671"/>
      <c r="E108" s="1674">
        <v>1.732</v>
      </c>
      <c r="F108" s="1671"/>
      <c r="G108" s="1674">
        <v>1.28</v>
      </c>
      <c r="H108" s="1671"/>
      <c r="I108" s="1674">
        <v>-0.45200000000000001</v>
      </c>
      <c r="J108" s="1703"/>
      <c r="K108" s="633">
        <f t="shared" si="6"/>
        <v>0</v>
      </c>
      <c r="L108" s="2118"/>
      <c r="M108" s="2115"/>
      <c r="N108" s="2115"/>
      <c r="O108" s="3910"/>
    </row>
    <row r="109" spans="1:15">
      <c r="A109" s="715" t="s">
        <v>309</v>
      </c>
      <c r="B109" s="715"/>
      <c r="C109" s="1674">
        <v>27.111999999999998</v>
      </c>
      <c r="D109" s="1671"/>
      <c r="E109" s="1674">
        <v>21.291</v>
      </c>
      <c r="F109" s="1671"/>
      <c r="G109" s="1674">
        <v>0</v>
      </c>
      <c r="H109" s="1671"/>
      <c r="I109" s="1674">
        <v>-7.556</v>
      </c>
      <c r="J109" s="1703"/>
      <c r="K109" s="633">
        <f t="shared" si="6"/>
        <v>40.847000000000001</v>
      </c>
      <c r="L109" s="718"/>
      <c r="M109" s="2115"/>
      <c r="N109" s="2115" t="s">
        <v>14</v>
      </c>
      <c r="O109" s="3910"/>
    </row>
    <row r="110" spans="1:15">
      <c r="A110" s="715" t="s">
        <v>310</v>
      </c>
      <c r="B110" s="715"/>
      <c r="C110" s="1674">
        <v>4.8319999999999999</v>
      </c>
      <c r="D110" s="1671"/>
      <c r="E110" s="1674">
        <v>133.28900000000002</v>
      </c>
      <c r="F110" s="1671"/>
      <c r="G110" s="1674">
        <v>0</v>
      </c>
      <c r="H110" s="1671"/>
      <c r="I110" s="1674">
        <v>-131.44900000000001</v>
      </c>
      <c r="J110" s="1703"/>
      <c r="K110" s="633">
        <f t="shared" si="6"/>
        <v>6.6719999999999997</v>
      </c>
      <c r="L110" s="718"/>
      <c r="M110" s="2115"/>
      <c r="N110" s="2115" t="s">
        <v>14</v>
      </c>
      <c r="O110" s="3910"/>
    </row>
    <row r="111" spans="1:15">
      <c r="A111" s="716" t="s">
        <v>311</v>
      </c>
      <c r="B111" s="715"/>
      <c r="C111" s="1674">
        <v>0</v>
      </c>
      <c r="D111" s="1671"/>
      <c r="E111" s="1674">
        <v>407.541</v>
      </c>
      <c r="F111" s="1671"/>
      <c r="G111" s="1674">
        <v>0</v>
      </c>
      <c r="H111" s="1671"/>
      <c r="I111" s="1674">
        <v>-407.541</v>
      </c>
      <c r="J111" s="1703"/>
      <c r="K111" s="633">
        <f t="shared" si="6"/>
        <v>0</v>
      </c>
      <c r="L111" s="718"/>
      <c r="M111" s="2115"/>
      <c r="N111" s="2115" t="s">
        <v>14</v>
      </c>
      <c r="O111" s="3910"/>
    </row>
    <row r="112" spans="1:15">
      <c r="A112" s="3000" t="s">
        <v>312</v>
      </c>
      <c r="B112" s="3001"/>
      <c r="C112" s="433">
        <f>ROUND(SUM(C105:C111),3)</f>
        <v>982.06799999999998</v>
      </c>
      <c r="D112" s="435"/>
      <c r="E112" s="433">
        <f>ROUND(SUM(E105:E111),3)</f>
        <v>4624.0919999999996</v>
      </c>
      <c r="F112" s="435"/>
      <c r="G112" s="433">
        <f>ROUND(SUM(G105:G111),3)</f>
        <v>744.43899999999996</v>
      </c>
      <c r="H112" s="435"/>
      <c r="I112" s="433">
        <f>ROUND(SUM(I105:I111),3)</f>
        <v>-4677.4960000000001</v>
      </c>
      <c r="J112" s="435"/>
      <c r="K112" s="433">
        <f>ROUND(SUM(K105:K111),3)</f>
        <v>184.22499999999999</v>
      </c>
      <c r="L112" s="434"/>
      <c r="M112" s="2996"/>
      <c r="N112" s="2115" t="s">
        <v>14</v>
      </c>
      <c r="O112" s="3910"/>
    </row>
    <row r="113" spans="1:15">
      <c r="A113" s="715"/>
      <c r="B113" s="715"/>
      <c r="C113" s="717"/>
      <c r="D113" s="715"/>
      <c r="E113" s="717"/>
      <c r="F113" s="715"/>
      <c r="G113" s="717"/>
      <c r="H113" s="715"/>
      <c r="I113" s="717"/>
      <c r="J113" s="715"/>
      <c r="K113" s="717" t="s">
        <v>14</v>
      </c>
      <c r="L113" s="717"/>
      <c r="M113" s="2115"/>
      <c r="N113" s="2115" t="s">
        <v>14</v>
      </c>
      <c r="O113" s="3910"/>
    </row>
    <row r="114" spans="1:15">
      <c r="A114" s="3002" t="s">
        <v>842</v>
      </c>
      <c r="B114" s="715"/>
      <c r="K114" s="719"/>
      <c r="L114" s="718"/>
      <c r="M114" s="2115"/>
      <c r="N114" s="2115"/>
      <c r="O114" s="3910"/>
    </row>
    <row r="115" spans="1:15">
      <c r="A115" s="715" t="s">
        <v>313</v>
      </c>
      <c r="B115" s="1703"/>
      <c r="C115" s="1674">
        <v>0</v>
      </c>
      <c r="D115" s="1671"/>
      <c r="E115" s="1674">
        <v>332.12700000000001</v>
      </c>
      <c r="F115" s="1671"/>
      <c r="G115" s="3868">
        <v>746.31499999999994</v>
      </c>
      <c r="H115" s="1671"/>
      <c r="I115" s="1674">
        <v>414.18799999999999</v>
      </c>
      <c r="J115" s="1703"/>
      <c r="K115" s="633">
        <f>ROUND(SUM(C115)+SUM(E115)-SUM(G115)+SUM(I115),3)</f>
        <v>0</v>
      </c>
      <c r="L115" s="2118"/>
      <c r="M115" s="2115"/>
      <c r="N115" s="720"/>
      <c r="O115" s="3910"/>
    </row>
    <row r="116" spans="1:15">
      <c r="A116" s="715" t="s">
        <v>314</v>
      </c>
      <c r="B116" s="716"/>
      <c r="C116" s="1674">
        <v>173.46</v>
      </c>
      <c r="D116" s="1671"/>
      <c r="E116" s="3868">
        <v>216.68</v>
      </c>
      <c r="F116" s="1671"/>
      <c r="G116" s="1674">
        <v>176.905</v>
      </c>
      <c r="H116" s="1671"/>
      <c r="I116" s="3868">
        <v>-191.97399999999999</v>
      </c>
      <c r="J116" s="3903"/>
      <c r="K116" s="3869">
        <f t="shared" ref="K116:K130" si="7">ROUND(SUM(C116)+SUM(E116)-SUM(G116)+SUM(I116),3)</f>
        <v>21.260999999999999</v>
      </c>
      <c r="L116" s="718"/>
      <c r="M116" s="2115"/>
      <c r="N116" s="2115"/>
      <c r="O116" s="3910"/>
    </row>
    <row r="117" spans="1:15">
      <c r="A117" s="715" t="s">
        <v>315</v>
      </c>
      <c r="B117" s="715"/>
      <c r="C117" s="1674">
        <v>120.364</v>
      </c>
      <c r="D117" s="1671"/>
      <c r="E117" s="1674">
        <v>5.0000000000000001E-3</v>
      </c>
      <c r="F117" s="1671"/>
      <c r="G117" s="1674">
        <v>2.19</v>
      </c>
      <c r="H117" s="1671"/>
      <c r="I117" s="1674">
        <v>0.18</v>
      </c>
      <c r="J117" s="1703"/>
      <c r="K117" s="633">
        <f t="shared" si="7"/>
        <v>118.35899999999999</v>
      </c>
      <c r="L117" s="718"/>
      <c r="M117" s="2115"/>
      <c r="N117" s="2115"/>
      <c r="O117" s="3910"/>
    </row>
    <row r="118" spans="1:15">
      <c r="A118" s="715" t="s">
        <v>316</v>
      </c>
      <c r="B118" s="715"/>
      <c r="C118" s="1674">
        <v>14.177999999999999</v>
      </c>
      <c r="D118" s="1671"/>
      <c r="E118" s="1674">
        <v>4</v>
      </c>
      <c r="F118" s="1671"/>
      <c r="G118" s="1674">
        <v>0</v>
      </c>
      <c r="H118" s="1671"/>
      <c r="I118" s="1674">
        <v>0</v>
      </c>
      <c r="J118" s="1703"/>
      <c r="K118" s="633">
        <f t="shared" si="7"/>
        <v>18.178000000000001</v>
      </c>
      <c r="L118" s="718"/>
      <c r="M118" s="2115"/>
      <c r="N118" s="2115"/>
      <c r="O118" s="3910"/>
    </row>
    <row r="119" spans="1:15">
      <c r="A119" s="715" t="s">
        <v>317</v>
      </c>
      <c r="B119" s="715"/>
      <c r="C119" s="1674">
        <v>-87.841999999999999</v>
      </c>
      <c r="D119" s="1671"/>
      <c r="E119" s="1674">
        <v>8.9879999999999995</v>
      </c>
      <c r="F119" s="1671"/>
      <c r="G119" s="1674">
        <v>10.266</v>
      </c>
      <c r="H119" s="1671"/>
      <c r="I119" s="1674">
        <v>0</v>
      </c>
      <c r="J119" s="1703"/>
      <c r="K119" s="633">
        <f t="shared" si="7"/>
        <v>-89.12</v>
      </c>
      <c r="L119" s="718"/>
      <c r="M119" s="2115"/>
      <c r="N119" s="2115"/>
      <c r="O119" s="3910"/>
    </row>
    <row r="120" spans="1:15">
      <c r="A120" s="715" t="s">
        <v>318</v>
      </c>
      <c r="B120" s="715"/>
      <c r="C120" s="1674">
        <v>1.4999999999999999E-2</v>
      </c>
      <c r="D120" s="1671"/>
      <c r="E120" s="1674">
        <v>0</v>
      </c>
      <c r="F120" s="1671"/>
      <c r="G120" s="1674">
        <v>0</v>
      </c>
      <c r="H120" s="1671"/>
      <c r="I120" s="1674">
        <v>0</v>
      </c>
      <c r="J120" s="1703"/>
      <c r="K120" s="633">
        <f t="shared" si="7"/>
        <v>1.4999999999999999E-2</v>
      </c>
      <c r="L120" s="718"/>
      <c r="M120" s="2115"/>
      <c r="N120" s="2115"/>
      <c r="O120" s="3910"/>
    </row>
    <row r="121" spans="1:15">
      <c r="A121" s="715" t="s">
        <v>319</v>
      </c>
      <c r="B121" s="715"/>
      <c r="C121" s="1674">
        <v>87.611999999999995</v>
      </c>
      <c r="D121" s="1671"/>
      <c r="E121" s="1674">
        <v>14.257999999999999</v>
      </c>
      <c r="F121" s="1671"/>
      <c r="G121" s="1674">
        <v>19.882000000000001</v>
      </c>
      <c r="H121" s="1671"/>
      <c r="I121" s="1674">
        <v>0</v>
      </c>
      <c r="J121" s="1703"/>
      <c r="K121" s="633">
        <f t="shared" si="7"/>
        <v>81.988</v>
      </c>
      <c r="L121" s="718"/>
      <c r="M121" s="2115"/>
      <c r="N121" s="2115"/>
      <c r="O121" s="3910"/>
    </row>
    <row r="122" spans="1:15">
      <c r="A122" s="715" t="s">
        <v>320</v>
      </c>
      <c r="B122" s="715"/>
      <c r="C122" s="1674">
        <v>0</v>
      </c>
      <c r="D122" s="1671"/>
      <c r="E122" s="1674">
        <v>0</v>
      </c>
      <c r="F122" s="1671"/>
      <c r="G122" s="1674">
        <v>0</v>
      </c>
      <c r="H122" s="1671"/>
      <c r="I122" s="1674">
        <v>0</v>
      </c>
      <c r="J122" s="1703"/>
      <c r="K122" s="633">
        <f t="shared" si="7"/>
        <v>0</v>
      </c>
      <c r="L122" s="718"/>
      <c r="M122" s="2115"/>
      <c r="N122" s="2115"/>
      <c r="O122" s="3910"/>
    </row>
    <row r="123" spans="1:15">
      <c r="A123" s="715" t="s">
        <v>321</v>
      </c>
      <c r="B123" s="715"/>
      <c r="C123" s="1674">
        <v>0.16400000000000001</v>
      </c>
      <c r="D123" s="1671"/>
      <c r="E123" s="1674">
        <v>0</v>
      </c>
      <c r="F123" s="1671"/>
      <c r="G123" s="1674">
        <v>0</v>
      </c>
      <c r="H123" s="1671"/>
      <c r="I123" s="1674">
        <v>0</v>
      </c>
      <c r="J123" s="1703"/>
      <c r="K123" s="633">
        <f t="shared" si="7"/>
        <v>0.16400000000000001</v>
      </c>
      <c r="L123" s="718"/>
      <c r="M123" s="2115"/>
      <c r="N123" s="2115"/>
      <c r="O123" s="3910"/>
    </row>
    <row r="124" spans="1:15">
      <c r="A124" s="715" t="s">
        <v>870</v>
      </c>
      <c r="B124" s="715"/>
      <c r="C124" s="1674">
        <v>0</v>
      </c>
      <c r="D124" s="1671"/>
      <c r="E124" s="1674">
        <v>0</v>
      </c>
      <c r="F124" s="1671"/>
      <c r="G124" s="1674">
        <v>0</v>
      </c>
      <c r="H124" s="1671"/>
      <c r="I124" s="1674">
        <v>0</v>
      </c>
      <c r="J124" s="1703"/>
      <c r="K124" s="633">
        <f t="shared" si="7"/>
        <v>0</v>
      </c>
      <c r="L124" s="718"/>
      <c r="M124" s="2115"/>
      <c r="N124" s="2115"/>
      <c r="O124" s="3910"/>
    </row>
    <row r="125" spans="1:15">
      <c r="A125" s="715" t="s">
        <v>322</v>
      </c>
      <c r="B125" s="715"/>
      <c r="C125" s="1674">
        <v>0.66800000000000004</v>
      </c>
      <c r="D125" s="1671"/>
      <c r="E125" s="1674">
        <v>0</v>
      </c>
      <c r="F125" s="1671"/>
      <c r="G125" s="1674">
        <v>0</v>
      </c>
      <c r="H125" s="1671"/>
      <c r="I125" s="1674">
        <v>0</v>
      </c>
      <c r="J125" s="1703"/>
      <c r="K125" s="633">
        <f t="shared" si="7"/>
        <v>0.66800000000000004</v>
      </c>
      <c r="L125" s="718"/>
      <c r="M125" s="2115"/>
      <c r="N125" s="2115"/>
      <c r="O125" s="3910"/>
    </row>
    <row r="126" spans="1:15">
      <c r="A126" s="715" t="s">
        <v>323</v>
      </c>
      <c r="B126" s="715"/>
      <c r="C126" s="1674">
        <v>3.3279999999999998</v>
      </c>
      <c r="D126" s="1671"/>
      <c r="E126" s="1674">
        <v>0</v>
      </c>
      <c r="F126" s="1671"/>
      <c r="G126" s="1674">
        <v>0</v>
      </c>
      <c r="H126" s="1671"/>
      <c r="I126" s="1674">
        <v>0</v>
      </c>
      <c r="J126" s="1703"/>
      <c r="K126" s="633">
        <f t="shared" si="7"/>
        <v>3.3279999999999998</v>
      </c>
      <c r="L126" s="718"/>
      <c r="M126" s="2115"/>
      <c r="N126" s="2115"/>
      <c r="O126" s="3910"/>
    </row>
    <row r="127" spans="1:15">
      <c r="A127" s="715" t="s">
        <v>324</v>
      </c>
      <c r="B127" s="715"/>
      <c r="C127" s="1674">
        <v>1.419</v>
      </c>
      <c r="D127" s="1671"/>
      <c r="E127" s="1674">
        <v>0</v>
      </c>
      <c r="F127" s="1671"/>
      <c r="G127" s="1674">
        <v>0</v>
      </c>
      <c r="H127" s="1671"/>
      <c r="I127" s="1674">
        <v>0</v>
      </c>
      <c r="J127" s="1703"/>
      <c r="K127" s="633">
        <f t="shared" si="7"/>
        <v>1.419</v>
      </c>
      <c r="L127" s="718"/>
      <c r="M127" s="2115"/>
      <c r="N127" s="2115"/>
      <c r="O127" s="3910"/>
    </row>
    <row r="128" spans="1:15">
      <c r="A128" s="715" t="s">
        <v>325</v>
      </c>
      <c r="B128" s="715"/>
      <c r="C128" s="1674">
        <v>17.21</v>
      </c>
      <c r="D128" s="1671"/>
      <c r="E128" s="1674">
        <v>0</v>
      </c>
      <c r="F128" s="1671"/>
      <c r="G128" s="1674">
        <v>0</v>
      </c>
      <c r="H128" s="1671"/>
      <c r="I128" s="1674">
        <v>0</v>
      </c>
      <c r="J128" s="1703"/>
      <c r="K128" s="633">
        <f t="shared" si="7"/>
        <v>17.21</v>
      </c>
      <c r="L128" s="718"/>
      <c r="M128" s="2115"/>
      <c r="N128" s="2115"/>
      <c r="O128" s="3910"/>
    </row>
    <row r="129" spans="1:15">
      <c r="A129" s="715" t="s">
        <v>326</v>
      </c>
      <c r="B129" s="715"/>
      <c r="C129" s="1674">
        <v>4.2549999999999999</v>
      </c>
      <c r="D129" s="1671"/>
      <c r="E129" s="1674">
        <v>0</v>
      </c>
      <c r="F129" s="1671"/>
      <c r="G129" s="1674">
        <v>0</v>
      </c>
      <c r="H129" s="1671"/>
      <c r="I129" s="1674">
        <v>0</v>
      </c>
      <c r="J129" s="1703"/>
      <c r="K129" s="633">
        <f t="shared" si="7"/>
        <v>4.2549999999999999</v>
      </c>
      <c r="L129" s="718"/>
      <c r="M129" s="2115"/>
      <c r="N129" s="720"/>
      <c r="O129" s="3910"/>
    </row>
    <row r="130" spans="1:15">
      <c r="A130" s="715" t="s">
        <v>327</v>
      </c>
      <c r="B130" s="715"/>
      <c r="C130" s="1674">
        <v>5.55</v>
      </c>
      <c r="D130" s="1671"/>
      <c r="E130" s="1674">
        <v>0</v>
      </c>
      <c r="F130" s="1671"/>
      <c r="G130" s="1674">
        <v>0</v>
      </c>
      <c r="H130" s="1671"/>
      <c r="I130" s="1674">
        <v>0</v>
      </c>
      <c r="J130" s="1703"/>
      <c r="K130" s="633">
        <f t="shared" si="7"/>
        <v>5.55</v>
      </c>
      <c r="L130" s="718"/>
      <c r="M130" s="2115"/>
      <c r="N130" s="2115"/>
      <c r="O130" s="3910"/>
    </row>
    <row r="131" spans="1:15">
      <c r="A131" s="715" t="s">
        <v>328</v>
      </c>
      <c r="B131" s="715"/>
      <c r="C131" s="3901"/>
      <c r="D131" s="1701"/>
      <c r="E131" s="1704"/>
      <c r="F131" s="1671"/>
      <c r="G131" s="1704" t="s">
        <v>14</v>
      </c>
      <c r="H131" s="1671"/>
      <c r="I131" s="1704"/>
      <c r="J131" s="715"/>
      <c r="K131" s="3902"/>
      <c r="L131" s="718"/>
      <c r="M131" s="2115"/>
      <c r="N131" s="2115"/>
      <c r="O131" s="3910"/>
    </row>
    <row r="132" spans="1:15">
      <c r="A132" s="715" t="s">
        <v>329</v>
      </c>
      <c r="B132" s="715"/>
      <c r="C132" s="1674">
        <v>2.778</v>
      </c>
      <c r="D132" s="1671"/>
      <c r="E132" s="1674">
        <v>0</v>
      </c>
      <c r="F132" s="1671"/>
      <c r="G132" s="1674">
        <v>0</v>
      </c>
      <c r="H132" s="1671"/>
      <c r="I132" s="1674">
        <v>0</v>
      </c>
      <c r="J132" s="1703"/>
      <c r="K132" s="633">
        <f t="shared" ref="K132:K153" si="8">ROUND(SUM(C132)+SUM(E132)-SUM(G132)+SUM(I132),3)</f>
        <v>2.778</v>
      </c>
      <c r="L132" s="718"/>
      <c r="M132" s="2115"/>
      <c r="N132" s="2115"/>
      <c r="O132" s="3910"/>
    </row>
    <row r="133" spans="1:15">
      <c r="A133" s="715" t="s">
        <v>330</v>
      </c>
      <c r="B133" s="715"/>
      <c r="C133" s="1674">
        <v>1.4279999999999999</v>
      </c>
      <c r="D133" s="1671"/>
      <c r="E133" s="1674">
        <v>0</v>
      </c>
      <c r="F133" s="1671"/>
      <c r="G133" s="1674">
        <v>0</v>
      </c>
      <c r="H133" s="1671"/>
      <c r="I133" s="1674">
        <v>0</v>
      </c>
      <c r="J133" s="1703"/>
      <c r="K133" s="633">
        <f t="shared" si="8"/>
        <v>1.4279999999999999</v>
      </c>
      <c r="L133" s="718"/>
      <c r="M133" s="2115"/>
      <c r="N133" s="2115"/>
      <c r="O133" s="3910"/>
    </row>
    <row r="134" spans="1:15">
      <c r="A134" s="715" t="s">
        <v>1113</v>
      </c>
      <c r="B134" s="715"/>
      <c r="C134" s="1674">
        <v>0</v>
      </c>
      <c r="D134" s="1671"/>
      <c r="E134" s="1674">
        <v>0</v>
      </c>
      <c r="F134" s="1671"/>
      <c r="G134" s="1674">
        <v>0</v>
      </c>
      <c r="H134" s="1671"/>
      <c r="I134" s="1674">
        <v>0</v>
      </c>
      <c r="J134" s="1703"/>
      <c r="K134" s="633">
        <f t="shared" si="8"/>
        <v>0</v>
      </c>
      <c r="L134" s="718"/>
      <c r="M134" s="2115"/>
      <c r="N134" s="2115"/>
      <c r="O134" s="3910"/>
    </row>
    <row r="135" spans="1:15">
      <c r="A135" s="715" t="s">
        <v>1189</v>
      </c>
      <c r="B135" s="715"/>
      <c r="C135" s="1674">
        <v>0</v>
      </c>
      <c r="D135" s="1671"/>
      <c r="E135" s="1674">
        <v>0</v>
      </c>
      <c r="F135" s="1671"/>
      <c r="G135" s="1674">
        <v>0</v>
      </c>
      <c r="H135" s="1671"/>
      <c r="I135" s="1674">
        <v>0</v>
      </c>
      <c r="J135" s="1703"/>
      <c r="K135" s="633">
        <f t="shared" si="8"/>
        <v>0</v>
      </c>
      <c r="L135" s="718"/>
      <c r="M135" s="2115"/>
      <c r="N135" s="2115"/>
      <c r="O135" s="3910"/>
    </row>
    <row r="136" spans="1:15">
      <c r="A136" s="715" t="s">
        <v>331</v>
      </c>
      <c r="B136" s="715"/>
      <c r="C136" s="1674">
        <v>0</v>
      </c>
      <c r="D136" s="1671"/>
      <c r="E136" s="1674">
        <v>0</v>
      </c>
      <c r="F136" s="1671"/>
      <c r="G136" s="1674">
        <v>0</v>
      </c>
      <c r="H136" s="1671"/>
      <c r="I136" s="1674">
        <v>0</v>
      </c>
      <c r="J136" s="1703"/>
      <c r="K136" s="633">
        <f t="shared" si="8"/>
        <v>0</v>
      </c>
      <c r="L136" s="718"/>
      <c r="M136" s="2115"/>
      <c r="N136" s="2115"/>
      <c r="O136" s="3910"/>
    </row>
    <row r="137" spans="1:15">
      <c r="A137" s="715" t="s">
        <v>332</v>
      </c>
      <c r="B137" s="715"/>
      <c r="C137" s="1674">
        <v>0</v>
      </c>
      <c r="D137" s="1671"/>
      <c r="E137" s="1674">
        <v>0</v>
      </c>
      <c r="F137" s="1671"/>
      <c r="G137" s="1674">
        <v>0</v>
      </c>
      <c r="H137" s="1671"/>
      <c r="I137" s="1674">
        <v>0</v>
      </c>
      <c r="J137" s="1703"/>
      <c r="K137" s="633">
        <f t="shared" si="8"/>
        <v>0</v>
      </c>
      <c r="L137" s="718"/>
      <c r="M137" s="2115"/>
      <c r="N137" s="2115"/>
      <c r="O137" s="3910"/>
    </row>
    <row r="138" spans="1:15">
      <c r="A138" s="715" t="s">
        <v>333</v>
      </c>
      <c r="B138" s="715"/>
      <c r="C138" s="1674">
        <v>-905.53</v>
      </c>
      <c r="D138" s="1671"/>
      <c r="E138" s="3868">
        <v>125.069</v>
      </c>
      <c r="F138" s="1671"/>
      <c r="G138" s="1674">
        <v>224.77</v>
      </c>
      <c r="H138" s="1671"/>
      <c r="I138" s="1674">
        <v>0</v>
      </c>
      <c r="J138" s="1703"/>
      <c r="K138" s="3869">
        <f t="shared" si="8"/>
        <v>-1005.231</v>
      </c>
      <c r="L138" s="718"/>
      <c r="M138" s="2115"/>
      <c r="N138" s="2115"/>
      <c r="O138" s="3910"/>
    </row>
    <row r="139" spans="1:15">
      <c r="A139" s="715" t="s">
        <v>334</v>
      </c>
      <c r="B139" s="715"/>
      <c r="C139" s="1674">
        <v>1.083</v>
      </c>
      <c r="D139" s="1671"/>
      <c r="E139" s="1674">
        <v>0</v>
      </c>
      <c r="F139" s="1671"/>
      <c r="G139" s="1674">
        <v>0</v>
      </c>
      <c r="H139" s="1671"/>
      <c r="I139" s="1674">
        <v>0</v>
      </c>
      <c r="J139" s="1703"/>
      <c r="K139" s="633">
        <f t="shared" si="8"/>
        <v>1.083</v>
      </c>
      <c r="L139" s="2118"/>
      <c r="M139" s="2115"/>
      <c r="N139" s="720"/>
      <c r="O139" s="3910"/>
    </row>
    <row r="140" spans="1:15">
      <c r="A140" s="716" t="s">
        <v>335</v>
      </c>
      <c r="B140" s="715"/>
      <c r="C140" s="1674">
        <v>-77.724000000000004</v>
      </c>
      <c r="D140" s="1671"/>
      <c r="E140" s="1674">
        <v>2.331</v>
      </c>
      <c r="F140" s="1671"/>
      <c r="G140" s="1674">
        <v>9.2210000000000001</v>
      </c>
      <c r="H140" s="1671"/>
      <c r="I140" s="1674">
        <v>-2.206</v>
      </c>
      <c r="J140" s="1703"/>
      <c r="K140" s="633">
        <f t="shared" si="8"/>
        <v>-86.82</v>
      </c>
      <c r="L140" s="718"/>
      <c r="M140" s="2115"/>
      <c r="N140" s="2115"/>
      <c r="O140" s="3910"/>
    </row>
    <row r="141" spans="1:15">
      <c r="A141" s="715" t="s">
        <v>336</v>
      </c>
      <c r="B141" s="715"/>
      <c r="C141" s="1674">
        <v>0.54</v>
      </c>
      <c r="D141" s="1671"/>
      <c r="E141" s="1674">
        <v>0</v>
      </c>
      <c r="F141" s="1671"/>
      <c r="G141" s="1674">
        <v>0</v>
      </c>
      <c r="H141" s="1671"/>
      <c r="I141" s="1674">
        <v>0</v>
      </c>
      <c r="J141" s="1703"/>
      <c r="K141" s="633">
        <f t="shared" si="8"/>
        <v>0.54</v>
      </c>
      <c r="L141" s="718"/>
      <c r="M141" s="2115"/>
      <c r="N141" s="720"/>
      <c r="O141" s="3910"/>
    </row>
    <row r="142" spans="1:15">
      <c r="A142" s="715" t="s">
        <v>337</v>
      </c>
      <c r="B142" s="715"/>
      <c r="C142" s="1674">
        <v>-18.475999999999999</v>
      </c>
      <c r="D142" s="1671"/>
      <c r="E142" s="1674">
        <v>0</v>
      </c>
      <c r="F142" s="1671"/>
      <c r="G142" s="1674">
        <v>0.40899999999999997</v>
      </c>
      <c r="H142" s="1671"/>
      <c r="I142" s="1674">
        <v>0</v>
      </c>
      <c r="J142" s="1703"/>
      <c r="K142" s="633">
        <f t="shared" si="8"/>
        <v>-18.885000000000002</v>
      </c>
      <c r="L142" s="718"/>
      <c r="M142" s="2115"/>
      <c r="N142" s="2115"/>
      <c r="O142" s="3910"/>
    </row>
    <row r="143" spans="1:15">
      <c r="A143" s="715" t="s">
        <v>338</v>
      </c>
      <c r="B143" s="715"/>
      <c r="C143" s="1674">
        <v>-12.942</v>
      </c>
      <c r="D143" s="1671"/>
      <c r="E143" s="1674">
        <v>0</v>
      </c>
      <c r="F143" s="1671"/>
      <c r="G143" s="1674">
        <v>0</v>
      </c>
      <c r="H143" s="1671"/>
      <c r="I143" s="1674">
        <v>0</v>
      </c>
      <c r="J143" s="1703"/>
      <c r="K143" s="633">
        <f t="shared" si="8"/>
        <v>-12.942</v>
      </c>
      <c r="L143" s="718"/>
      <c r="M143" s="2115"/>
      <c r="N143" s="2115"/>
      <c r="O143" s="3910"/>
    </row>
    <row r="144" spans="1:15">
      <c r="A144" s="715" t="s">
        <v>339</v>
      </c>
      <c r="B144" s="715"/>
      <c r="C144" s="1674">
        <v>-644.87599999999998</v>
      </c>
      <c r="D144" s="1671"/>
      <c r="E144" s="1674">
        <v>0</v>
      </c>
      <c r="F144" s="1671"/>
      <c r="G144" s="1674">
        <v>37.15</v>
      </c>
      <c r="H144" s="1671"/>
      <c r="I144" s="1674">
        <v>0</v>
      </c>
      <c r="J144" s="1703"/>
      <c r="K144" s="633">
        <f t="shared" si="8"/>
        <v>-682.02599999999995</v>
      </c>
      <c r="L144" s="718"/>
      <c r="M144" s="2115"/>
      <c r="N144" s="2115"/>
      <c r="O144" s="3910"/>
    </row>
    <row r="145" spans="1:15">
      <c r="A145" s="715" t="s">
        <v>340</v>
      </c>
      <c r="B145" s="715"/>
      <c r="C145" s="1674">
        <v>17.646999999999998</v>
      </c>
      <c r="D145" s="1671"/>
      <c r="E145" s="1674">
        <v>3.5999999999999997E-2</v>
      </c>
      <c r="F145" s="1671"/>
      <c r="G145" s="3900">
        <v>5.6000000000000001E-2</v>
      </c>
      <c r="H145" s="1671"/>
      <c r="I145" s="1674">
        <v>0</v>
      </c>
      <c r="J145" s="1703"/>
      <c r="K145" s="633">
        <f t="shared" si="8"/>
        <v>17.626999999999999</v>
      </c>
      <c r="L145" s="718"/>
      <c r="M145" s="2115"/>
      <c r="N145" s="2115"/>
      <c r="O145" s="3910"/>
    </row>
    <row r="146" spans="1:15">
      <c r="A146" s="715" t="s">
        <v>877</v>
      </c>
      <c r="B146" s="715"/>
      <c r="C146" s="1674">
        <v>-11.952</v>
      </c>
      <c r="D146" s="1671"/>
      <c r="E146" s="1674">
        <v>0</v>
      </c>
      <c r="F146" s="1671"/>
      <c r="G146" s="1674">
        <v>0</v>
      </c>
      <c r="H146" s="1671"/>
      <c r="I146" s="1674">
        <v>0</v>
      </c>
      <c r="J146" s="1703"/>
      <c r="K146" s="633">
        <f t="shared" si="8"/>
        <v>-11.952</v>
      </c>
      <c r="L146" s="718"/>
      <c r="M146" s="2115"/>
      <c r="N146" s="2115"/>
      <c r="O146" s="3910"/>
    </row>
    <row r="147" spans="1:15">
      <c r="A147" s="715" t="s">
        <v>341</v>
      </c>
      <c r="B147" s="715"/>
      <c r="C147" s="1674">
        <v>139.12</v>
      </c>
      <c r="D147" s="1671"/>
      <c r="E147" s="1674">
        <v>1.4</v>
      </c>
      <c r="F147" s="1671"/>
      <c r="G147" s="1674">
        <v>3.6320000000000001</v>
      </c>
      <c r="H147" s="1671"/>
      <c r="I147" s="1674">
        <v>1.0269999999999999</v>
      </c>
      <c r="J147" s="1703"/>
      <c r="K147" s="633">
        <f t="shared" si="8"/>
        <v>137.91499999999999</v>
      </c>
      <c r="L147" s="718"/>
      <c r="M147" s="2115"/>
      <c r="N147" s="2115"/>
      <c r="O147" s="3910"/>
    </row>
    <row r="148" spans="1:15">
      <c r="A148" s="715" t="s">
        <v>342</v>
      </c>
      <c r="B148" s="715"/>
      <c r="C148" s="1674">
        <v>5.8999999999999997E-2</v>
      </c>
      <c r="D148" s="1671"/>
      <c r="E148" s="1674">
        <v>0</v>
      </c>
      <c r="F148" s="1671"/>
      <c r="G148" s="1674">
        <v>0</v>
      </c>
      <c r="H148" s="1671"/>
      <c r="I148" s="1674">
        <v>0</v>
      </c>
      <c r="J148" s="1703"/>
      <c r="K148" s="633">
        <f t="shared" si="8"/>
        <v>5.8999999999999997E-2</v>
      </c>
      <c r="L148" s="718"/>
      <c r="M148" s="2115"/>
      <c r="N148" s="2115"/>
      <c r="O148" s="3910"/>
    </row>
    <row r="149" spans="1:15">
      <c r="A149" s="715" t="s">
        <v>343</v>
      </c>
      <c r="B149" s="715"/>
      <c r="C149" s="1674">
        <v>-419.827</v>
      </c>
      <c r="D149" s="1671"/>
      <c r="E149" s="1674">
        <v>0.248</v>
      </c>
      <c r="F149" s="1671"/>
      <c r="G149" s="1674">
        <v>28.707999999999998</v>
      </c>
      <c r="H149" s="1671"/>
      <c r="I149" s="1674">
        <v>0</v>
      </c>
      <c r="J149" s="1703"/>
      <c r="K149" s="633">
        <f t="shared" si="8"/>
        <v>-448.28699999999998</v>
      </c>
      <c r="L149" s="2118"/>
      <c r="M149" s="2115"/>
      <c r="N149" s="2115"/>
      <c r="O149" s="3910"/>
    </row>
    <row r="150" spans="1:15">
      <c r="A150" s="715" t="s">
        <v>344</v>
      </c>
      <c r="B150" s="715"/>
      <c r="C150" s="1674">
        <v>-300.09500000000003</v>
      </c>
      <c r="D150" s="1671"/>
      <c r="E150" s="1674">
        <v>1.7999999999999999E-2</v>
      </c>
      <c r="F150" s="1671"/>
      <c r="G150" s="3900">
        <v>36.932000000000002</v>
      </c>
      <c r="H150" s="1671"/>
      <c r="I150" s="1674">
        <v>0</v>
      </c>
      <c r="J150" s="1703"/>
      <c r="K150" s="633">
        <f t="shared" si="8"/>
        <v>-337.00900000000001</v>
      </c>
      <c r="L150" s="718"/>
      <c r="M150" s="2115"/>
      <c r="N150" s="2115"/>
      <c r="O150" s="3910"/>
    </row>
    <row r="151" spans="1:15">
      <c r="A151" s="715" t="s">
        <v>345</v>
      </c>
      <c r="B151" s="715"/>
      <c r="C151" s="1674">
        <v>92.013000000000005</v>
      </c>
      <c r="D151" s="1671"/>
      <c r="E151" s="1674">
        <v>0.67</v>
      </c>
      <c r="F151" s="1671"/>
      <c r="G151" s="3900">
        <v>7.3259999999999996</v>
      </c>
      <c r="H151" s="1671"/>
      <c r="I151" s="1674">
        <v>1.4930000000000001</v>
      </c>
      <c r="J151" s="1703"/>
      <c r="K151" s="633">
        <f t="shared" si="8"/>
        <v>86.85</v>
      </c>
      <c r="L151" s="718"/>
      <c r="M151" s="2115"/>
      <c r="N151" s="2115"/>
      <c r="O151" s="3910"/>
    </row>
    <row r="152" spans="1:15">
      <c r="A152" s="715" t="s">
        <v>346</v>
      </c>
      <c r="B152" s="715"/>
      <c r="C152" s="1674">
        <v>-58.756999999999998</v>
      </c>
      <c r="D152" s="1671"/>
      <c r="E152" s="1674">
        <v>2.254</v>
      </c>
      <c r="F152" s="1671"/>
      <c r="G152" s="1674">
        <v>0.90100000000000002</v>
      </c>
      <c r="H152" s="1671"/>
      <c r="I152" s="1674">
        <v>0</v>
      </c>
      <c r="J152" s="1703"/>
      <c r="K152" s="633">
        <f t="shared" si="8"/>
        <v>-57.404000000000003</v>
      </c>
      <c r="L152" s="718"/>
      <c r="M152" s="2115"/>
      <c r="N152" s="720"/>
      <c r="O152" s="3910"/>
    </row>
    <row r="153" spans="1:15">
      <c r="A153" s="715" t="s">
        <v>1120</v>
      </c>
      <c r="B153" s="715"/>
      <c r="C153" s="1674">
        <v>56.499000000000002</v>
      </c>
      <c r="D153" s="1671"/>
      <c r="E153" s="1674">
        <v>0</v>
      </c>
      <c r="F153" s="1671"/>
      <c r="G153" s="1674">
        <v>17.199000000000002</v>
      </c>
      <c r="H153" s="1671"/>
      <c r="I153" s="1674">
        <v>0</v>
      </c>
      <c r="J153" s="1703"/>
      <c r="K153" s="633">
        <f t="shared" si="8"/>
        <v>39.299999999999997</v>
      </c>
      <c r="L153" s="718"/>
      <c r="M153" s="2115"/>
      <c r="N153" s="2115"/>
      <c r="O153" s="3910"/>
    </row>
    <row r="154" spans="1:15">
      <c r="A154" s="432" t="s">
        <v>1389</v>
      </c>
      <c r="B154" s="715"/>
      <c r="C154" s="433">
        <f>ROUND(SUM(C115:C153),3)</f>
        <v>-1798.6310000000001</v>
      </c>
      <c r="D154" s="432"/>
      <c r="E154" s="433">
        <f>ROUND(SUM(E115:E153),3)</f>
        <v>708.08399999999995</v>
      </c>
      <c r="F154" s="432"/>
      <c r="G154" s="433">
        <f>ROUND(SUM(G115:G153),3)</f>
        <v>1321.8620000000001</v>
      </c>
      <c r="H154" s="432"/>
      <c r="I154" s="433">
        <f>ROUND(SUM(I115:I153),3)</f>
        <v>222.708</v>
      </c>
      <c r="J154" s="432"/>
      <c r="K154" s="433">
        <f>ROUND(SUM(K115:K153),3)</f>
        <v>-2189.701</v>
      </c>
      <c r="L154" s="434"/>
      <c r="M154" s="2996"/>
      <c r="N154" s="2996"/>
      <c r="O154" s="3910"/>
    </row>
    <row r="155" spans="1:15">
      <c r="A155" s="432"/>
      <c r="B155" s="715"/>
      <c r="C155" s="717"/>
      <c r="D155" s="715"/>
      <c r="E155" s="721"/>
      <c r="F155" s="722"/>
      <c r="G155" s="721"/>
      <c r="H155" s="722"/>
      <c r="I155" s="721"/>
      <c r="J155" s="715"/>
      <c r="K155" s="717"/>
      <c r="L155" s="717"/>
      <c r="O155" s="3910"/>
    </row>
    <row r="156" spans="1:15" ht="16" thickBot="1">
      <c r="A156" s="432" t="s">
        <v>347</v>
      </c>
      <c r="B156" s="435"/>
      <c r="C156" s="436">
        <f>ROUND(SUM(C24+C102+C112+C154),3)</f>
        <v>41672.794000000002</v>
      </c>
      <c r="D156" s="435"/>
      <c r="E156" s="436">
        <f>ROUND(SUM(E24+E102+E112+E154),3)</f>
        <v>20922.848000000002</v>
      </c>
      <c r="F156" s="437"/>
      <c r="G156" s="436">
        <f>ROUND(SUM(G24+G102+G112+G154),3)</f>
        <v>19020.195</v>
      </c>
      <c r="H156" s="437"/>
      <c r="I156" s="436">
        <f>ROUND(SUM(I24+I102+I112+I154),3)</f>
        <v>-4.633</v>
      </c>
      <c r="J156" s="435"/>
      <c r="K156" s="436">
        <f>ROUND(SUM(K24+K102+K112+K154),3)</f>
        <v>43570.813999999998</v>
      </c>
      <c r="L156" s="438"/>
      <c r="O156" s="3910"/>
    </row>
    <row r="157" spans="1:15" ht="16" thickTop="1">
      <c r="A157" s="715"/>
      <c r="B157" s="715"/>
      <c r="C157" s="717" t="s">
        <v>14</v>
      </c>
      <c r="D157" s="715"/>
      <c r="E157" s="717"/>
      <c r="F157" s="715"/>
      <c r="G157" s="717"/>
      <c r="H157" s="715"/>
      <c r="I157" s="717"/>
      <c r="J157" s="715"/>
      <c r="K157" s="717"/>
      <c r="L157" s="717"/>
    </row>
    <row r="158" spans="1:15">
      <c r="A158" s="715"/>
      <c r="B158" s="715"/>
      <c r="C158" s="715" t="s">
        <v>14</v>
      </c>
      <c r="D158" s="715"/>
      <c r="E158" s="715"/>
      <c r="F158" s="715"/>
      <c r="G158" s="715"/>
      <c r="H158" s="715"/>
      <c r="I158" s="715"/>
      <c r="J158" s="715"/>
      <c r="K158" s="715"/>
      <c r="L158" s="717"/>
    </row>
    <row r="159" spans="1:15">
      <c r="A159" s="431"/>
      <c r="B159" s="715"/>
      <c r="C159" s="715"/>
      <c r="D159" s="715"/>
      <c r="E159" s="3396"/>
      <c r="F159" s="715"/>
      <c r="G159" s="715" t="s">
        <v>14</v>
      </c>
      <c r="H159" s="715"/>
      <c r="I159" s="722" t="s">
        <v>14</v>
      </c>
      <c r="J159" s="715"/>
      <c r="K159" s="3397" t="s">
        <v>14</v>
      </c>
      <c r="L159" s="717"/>
    </row>
    <row r="160" spans="1:15">
      <c r="A160" s="715" t="s">
        <v>14</v>
      </c>
      <c r="B160" s="715"/>
      <c r="C160" s="715"/>
      <c r="D160" s="715"/>
      <c r="E160" s="715"/>
      <c r="F160" s="715"/>
      <c r="G160" s="719" t="s">
        <v>14</v>
      </c>
      <c r="H160" s="715"/>
      <c r="I160" s="715" t="s">
        <v>14</v>
      </c>
      <c r="J160" s="715"/>
      <c r="K160" s="715" t="s">
        <v>14</v>
      </c>
      <c r="L160" s="717"/>
    </row>
    <row r="161" spans="1:12">
      <c r="A161" s="715"/>
      <c r="B161" s="715"/>
      <c r="C161" s="715"/>
      <c r="D161" s="715"/>
      <c r="E161" s="715"/>
      <c r="F161" s="715"/>
      <c r="G161" s="715"/>
      <c r="H161" s="715"/>
      <c r="I161" s="715" t="s">
        <v>14</v>
      </c>
      <c r="J161" s="715"/>
      <c r="K161" s="715" t="s">
        <v>14</v>
      </c>
      <c r="L161" s="717"/>
    </row>
    <row r="162" spans="1:12">
      <c r="A162" s="723"/>
      <c r="B162" s="715"/>
      <c r="C162" s="715"/>
      <c r="D162" s="715"/>
      <c r="E162" s="715"/>
      <c r="F162" s="715"/>
      <c r="G162" s="715"/>
      <c r="H162" s="715"/>
      <c r="I162" s="724" t="s">
        <v>14</v>
      </c>
      <c r="J162" s="715"/>
      <c r="K162" s="715" t="s">
        <v>14</v>
      </c>
      <c r="L162" s="717"/>
    </row>
    <row r="163" spans="1:12">
      <c r="I163" s="3854" t="s">
        <v>14</v>
      </c>
      <c r="K163" s="2997" t="s">
        <v>14</v>
      </c>
    </row>
    <row r="164" spans="1:12">
      <c r="I164" s="2199"/>
    </row>
    <row r="165" spans="1:12">
      <c r="I165" s="2199"/>
    </row>
    <row r="166" spans="1:12">
      <c r="I166" s="2199"/>
    </row>
    <row r="167" spans="1:12">
      <c r="I167" s="438"/>
    </row>
    <row r="168" spans="1:12">
      <c r="I168" s="2199"/>
    </row>
    <row r="169" spans="1:12">
      <c r="I169" s="2199"/>
    </row>
    <row r="170" spans="1:12">
      <c r="I170" s="2199"/>
    </row>
    <row r="171" spans="1:12">
      <c r="I171" s="2199"/>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pageSetUpPr autoPageBreaks="0"/>
  </sheetPr>
  <dimension ref="A1:O95"/>
  <sheetViews>
    <sheetView showGridLines="0" zoomScale="80" zoomScaleNormal="60" workbookViewId="0"/>
  </sheetViews>
  <sheetFormatPr defaultColWidth="8.84375" defaultRowHeight="17.5"/>
  <cols>
    <col min="1" max="1" width="55.84375" style="2200" customWidth="1"/>
    <col min="2" max="2" width="6.07421875" style="2200" customWidth="1"/>
    <col min="3" max="3" width="20.07421875" style="2200" customWidth="1"/>
    <col min="4" max="4" width="3.07421875" style="2200" customWidth="1"/>
    <col min="5" max="5" width="17.07421875" style="2200" customWidth="1"/>
    <col min="6" max="6" width="3.53515625" style="2200" customWidth="1"/>
    <col min="7" max="7" width="18.07421875" style="2200" customWidth="1"/>
    <col min="8" max="8" width="3.07421875" style="2200" customWidth="1"/>
    <col min="9" max="9" width="18.53515625" style="2200" customWidth="1"/>
    <col min="10" max="10" width="3.4609375" style="2200" customWidth="1"/>
    <col min="11" max="11" width="22.07421875" style="2200" customWidth="1"/>
    <col min="12" max="12" width="15.53515625" style="2200" customWidth="1"/>
    <col min="13" max="13" width="9.84375" style="2200" bestFit="1" customWidth="1"/>
    <col min="14" max="16384" width="8.84375" style="2200"/>
  </cols>
  <sheetData>
    <row r="1" spans="1:15">
      <c r="A1" s="1486" t="s">
        <v>882</v>
      </c>
    </row>
    <row r="2" spans="1:15">
      <c r="A2" s="3022"/>
    </row>
    <row r="3" spans="1:15" s="441" customFormat="1" ht="18" customHeight="1">
      <c r="A3" s="445" t="s">
        <v>0</v>
      </c>
      <c r="B3" s="3023"/>
      <c r="C3" s="3023"/>
      <c r="D3" s="3023"/>
      <c r="E3" s="2201"/>
      <c r="F3" s="2201"/>
      <c r="G3" s="439"/>
      <c r="H3" s="439"/>
      <c r="I3" s="445"/>
      <c r="J3" s="445"/>
      <c r="K3" s="448" t="s">
        <v>348</v>
      </c>
      <c r="L3" s="439"/>
      <c r="M3" s="439"/>
      <c r="N3" s="439"/>
      <c r="O3" s="439"/>
    </row>
    <row r="4" spans="1:15" s="441" customFormat="1" ht="18" customHeight="1">
      <c r="A4" s="445" t="s">
        <v>349</v>
      </c>
      <c r="B4" s="3023"/>
      <c r="C4" s="3023"/>
      <c r="D4" s="3023"/>
      <c r="E4" s="2201"/>
      <c r="F4" s="2201"/>
      <c r="G4" s="439"/>
      <c r="H4" s="439"/>
      <c r="I4" s="445"/>
      <c r="J4" s="445"/>
      <c r="K4" s="445"/>
      <c r="L4" s="439"/>
      <c r="M4" s="439"/>
      <c r="N4" s="439"/>
      <c r="O4" s="439"/>
    </row>
    <row r="5" spans="1:15" s="441" customFormat="1" ht="18" customHeight="1">
      <c r="A5" s="451" t="s">
        <v>1192</v>
      </c>
      <c r="B5" s="3023"/>
      <c r="C5" s="3023"/>
      <c r="D5" s="3023"/>
      <c r="E5" s="2201"/>
      <c r="F5" s="2201"/>
      <c r="G5" s="439"/>
      <c r="H5" s="439"/>
      <c r="I5" s="445"/>
      <c r="J5" s="445"/>
      <c r="K5" s="445"/>
      <c r="L5" s="439"/>
      <c r="M5" s="439"/>
      <c r="N5" s="439"/>
      <c r="O5" s="439"/>
    </row>
    <row r="6" spans="1:15" s="441" customFormat="1" ht="18" customHeight="1">
      <c r="A6" s="451" t="s">
        <v>350</v>
      </c>
      <c r="B6" s="3023"/>
      <c r="C6" s="3023"/>
      <c r="D6" s="3023"/>
      <c r="E6" s="2201"/>
      <c r="F6" s="2201"/>
      <c r="G6" s="439"/>
      <c r="H6" s="439"/>
      <c r="I6" s="445"/>
      <c r="J6" s="445"/>
      <c r="K6" s="445"/>
      <c r="L6" s="439"/>
      <c r="M6" s="439"/>
      <c r="N6" s="439"/>
      <c r="O6" s="439"/>
    </row>
    <row r="7" spans="1:15" s="441" customFormat="1" ht="18" customHeight="1">
      <c r="A7" s="451" t="str">
        <f>'Sch 1 '!A7</f>
        <v>FISCAL YEAR 2021-2022</v>
      </c>
      <c r="B7" s="3023"/>
      <c r="C7" s="3023"/>
      <c r="D7" s="3023"/>
      <c r="E7" s="2201"/>
      <c r="F7" s="2201"/>
      <c r="G7" s="439"/>
      <c r="H7" s="439"/>
      <c r="I7" s="445"/>
      <c r="J7" s="445"/>
      <c r="K7" s="445"/>
      <c r="L7" s="439"/>
      <c r="M7" s="439"/>
      <c r="N7" s="439"/>
      <c r="O7" s="439"/>
    </row>
    <row r="8" spans="1:15" s="441" customFormat="1" ht="18" customHeight="1">
      <c r="A8" s="451" t="str">
        <f>'Sch 1 '!A8</f>
        <v>FOR THE MONTH OF SEPTEMBER 2021</v>
      </c>
      <c r="B8" s="3023"/>
      <c r="C8" s="3023"/>
      <c r="D8" s="3023"/>
      <c r="E8" s="2201"/>
      <c r="G8" s="2201"/>
      <c r="H8" s="439"/>
      <c r="I8" s="445"/>
      <c r="J8" s="445"/>
      <c r="K8" s="445"/>
      <c r="L8" s="439"/>
      <c r="M8" s="439"/>
      <c r="N8" s="439"/>
      <c r="O8" s="439"/>
    </row>
    <row r="9" spans="1:15" s="441" customFormat="1" ht="18" customHeight="1">
      <c r="A9" s="445" t="s">
        <v>1277</v>
      </c>
      <c r="B9" s="3023"/>
      <c r="C9" s="3023"/>
      <c r="D9" s="3023"/>
      <c r="E9" s="2201"/>
      <c r="F9" s="2201"/>
      <c r="G9" s="439"/>
      <c r="H9" s="439"/>
      <c r="I9" s="445"/>
      <c r="J9" s="445"/>
      <c r="K9" s="445"/>
      <c r="L9" s="439"/>
      <c r="M9" s="439"/>
      <c r="N9" s="439"/>
      <c r="O9" s="439"/>
    </row>
    <row r="10" spans="1:15" s="441" customFormat="1" ht="18">
      <c r="A10" s="445"/>
      <c r="B10" s="445"/>
      <c r="C10" s="439"/>
      <c r="D10" s="445"/>
      <c r="E10" s="439"/>
      <c r="F10" s="439"/>
      <c r="G10" s="439"/>
      <c r="H10" s="439"/>
      <c r="I10" s="439"/>
      <c r="J10" s="439"/>
      <c r="K10" s="439"/>
      <c r="L10" s="439"/>
      <c r="M10" s="439"/>
      <c r="N10" s="439"/>
      <c r="O10" s="439"/>
    </row>
    <row r="11" spans="1:15" s="441" customFormat="1" ht="18">
      <c r="A11" s="445"/>
      <c r="B11" s="445"/>
      <c r="C11" s="445"/>
      <c r="D11" s="445"/>
      <c r="E11" s="445"/>
      <c r="F11" s="445"/>
      <c r="G11" s="445"/>
      <c r="H11" s="445"/>
      <c r="I11" s="445"/>
      <c r="J11" s="445"/>
      <c r="K11" s="445"/>
      <c r="L11" s="439"/>
      <c r="M11" s="439"/>
      <c r="N11" s="439"/>
      <c r="O11" s="439"/>
    </row>
    <row r="12" spans="1:15" s="441" customFormat="1" ht="18">
      <c r="A12" s="445"/>
      <c r="B12" s="445"/>
      <c r="C12" s="681"/>
      <c r="D12" s="445"/>
      <c r="E12" s="445"/>
      <c r="F12" s="445"/>
      <c r="G12" s="445"/>
      <c r="H12" s="445"/>
      <c r="I12" s="681" t="s">
        <v>351</v>
      </c>
      <c r="J12" s="445"/>
      <c r="K12" s="681"/>
      <c r="L12" s="439"/>
      <c r="M12" s="439"/>
      <c r="N12" s="439"/>
      <c r="O12" s="439"/>
    </row>
    <row r="13" spans="1:15" s="441" customFormat="1" ht="18">
      <c r="A13" s="445"/>
      <c r="B13" s="445"/>
      <c r="C13" s="681" t="s">
        <v>232</v>
      </c>
      <c r="D13" s="445"/>
      <c r="E13" s="445"/>
      <c r="F13" s="445"/>
      <c r="G13" s="445"/>
      <c r="H13" s="445"/>
      <c r="I13" s="681" t="s">
        <v>352</v>
      </c>
      <c r="J13" s="445"/>
      <c r="K13" s="681" t="s">
        <v>232</v>
      </c>
      <c r="L13" s="439"/>
      <c r="M13" s="439"/>
      <c r="N13" s="439"/>
      <c r="O13" s="439"/>
    </row>
    <row r="14" spans="1:15" s="441" customFormat="1" ht="18">
      <c r="A14" s="465" t="s">
        <v>353</v>
      </c>
      <c r="B14" s="445"/>
      <c r="C14" s="3403" t="str">
        <f>'Sch 1 '!C11</f>
        <v>SEPTEMBER 1, 2021</v>
      </c>
      <c r="D14" s="445"/>
      <c r="E14" s="681" t="s">
        <v>234</v>
      </c>
      <c r="F14" s="445"/>
      <c r="G14" s="681" t="s">
        <v>235</v>
      </c>
      <c r="H14" s="445"/>
      <c r="I14" s="681" t="s">
        <v>236</v>
      </c>
      <c r="J14" s="445"/>
      <c r="K14" s="895" t="str">
        <f>'Sch 1 '!K11</f>
        <v>SEPTEMBER 30, 2021</v>
      </c>
      <c r="L14" s="439"/>
      <c r="M14" s="439"/>
      <c r="N14" s="439"/>
      <c r="O14" s="439"/>
    </row>
    <row r="15" spans="1:15" s="441" customFormat="1" ht="12" customHeight="1">
      <c r="A15" s="439"/>
      <c r="B15" s="439"/>
      <c r="C15" s="3404"/>
      <c r="D15" s="439"/>
      <c r="E15" s="2202"/>
      <c r="F15" s="439"/>
      <c r="G15" s="2202"/>
      <c r="H15" s="439"/>
      <c r="I15" s="2202"/>
      <c r="J15" s="439"/>
      <c r="K15" s="2202"/>
      <c r="L15" s="439"/>
      <c r="M15" s="439"/>
      <c r="N15" s="439"/>
      <c r="O15" s="439"/>
    </row>
    <row r="16" spans="1:15" s="441" customFormat="1" ht="18">
      <c r="A16" s="452" t="s">
        <v>214</v>
      </c>
      <c r="B16" s="439"/>
      <c r="C16" s="439"/>
      <c r="D16" s="439"/>
      <c r="E16" s="449"/>
      <c r="F16" s="439"/>
      <c r="G16" s="439"/>
      <c r="H16" s="439"/>
      <c r="I16" s="439"/>
      <c r="J16" s="439"/>
      <c r="K16" s="439"/>
      <c r="L16" s="439"/>
      <c r="M16" s="439"/>
      <c r="N16" s="439"/>
      <c r="O16" s="439"/>
    </row>
    <row r="17" spans="1:15" s="441" customFormat="1" ht="12" customHeight="1">
      <c r="A17" s="439"/>
      <c r="B17" s="439"/>
      <c r="C17" s="439"/>
      <c r="D17" s="439"/>
      <c r="E17" s="449"/>
      <c r="F17" s="439"/>
      <c r="G17" s="439"/>
      <c r="H17" s="439"/>
      <c r="I17" s="439"/>
      <c r="J17" s="439"/>
      <c r="K17" s="439"/>
      <c r="L17" s="439"/>
      <c r="M17" s="439"/>
      <c r="N17" s="439"/>
      <c r="O17" s="439"/>
    </row>
    <row r="18" spans="1:15" s="441" customFormat="1" ht="16.5" customHeight="1">
      <c r="A18" s="3841" t="s">
        <v>1502</v>
      </c>
      <c r="B18" s="439"/>
      <c r="C18" s="1675">
        <v>180.38900000000001</v>
      </c>
      <c r="D18" s="1676"/>
      <c r="E18" s="1675">
        <v>15.752000000000001</v>
      </c>
      <c r="F18" s="1676"/>
      <c r="G18" s="1675">
        <v>6.5129999999999999</v>
      </c>
      <c r="H18" s="1676"/>
      <c r="I18" s="1675">
        <v>0</v>
      </c>
      <c r="J18" s="3009"/>
      <c r="K18" s="1678">
        <f t="shared" ref="K18" si="0">ROUND(SUM(C18)+SUM(E18)-SUM(G18)+SUM(I18),3)</f>
        <v>189.62799999999999</v>
      </c>
      <c r="L18" s="697"/>
      <c r="M18" s="439"/>
      <c r="N18" s="439"/>
      <c r="O18" s="439"/>
    </row>
    <row r="19" spans="1:15" s="441" customFormat="1" ht="16.399999999999999" customHeight="1">
      <c r="A19" s="439" t="s">
        <v>354</v>
      </c>
      <c r="B19" s="440"/>
      <c r="C19" s="1679">
        <v>0.11</v>
      </c>
      <c r="D19" s="1676"/>
      <c r="E19" s="1679">
        <v>1E-3</v>
      </c>
      <c r="F19" s="1676"/>
      <c r="G19" s="1679">
        <v>1E-3</v>
      </c>
      <c r="H19" s="1676"/>
      <c r="I19" s="1679">
        <v>0</v>
      </c>
      <c r="J19" s="3009"/>
      <c r="K19" s="1680">
        <f t="shared" ref="K19:K25" si="1">ROUND(SUM(C19)+SUM(E19)-SUM(G19)+SUM(I19),3)</f>
        <v>0.11</v>
      </c>
      <c r="L19" s="697"/>
      <c r="M19" s="439"/>
      <c r="N19" s="439"/>
      <c r="O19" s="439"/>
    </row>
    <row r="20" spans="1:15" s="441" customFormat="1" ht="15.75" customHeight="1">
      <c r="A20" s="439" t="s">
        <v>355</v>
      </c>
      <c r="B20" s="439"/>
      <c r="C20" s="1679">
        <v>3.4569999999999999</v>
      </c>
      <c r="D20" s="1676"/>
      <c r="E20" s="1679">
        <v>3.0259999999999998</v>
      </c>
      <c r="F20" s="1676"/>
      <c r="G20" s="1679">
        <v>1.819</v>
      </c>
      <c r="H20" s="1676"/>
      <c r="I20" s="1679">
        <v>0</v>
      </c>
      <c r="J20" s="3009"/>
      <c r="K20" s="1680">
        <f>ROUND(SUM(C20)+SUM(E20)-SUM(G20)+SUM(I20),3)</f>
        <v>4.6639999999999997</v>
      </c>
      <c r="L20" s="697"/>
      <c r="M20" s="439"/>
      <c r="N20" s="439"/>
      <c r="O20" s="439"/>
    </row>
    <row r="21" spans="1:15" s="441" customFormat="1" ht="16.399999999999999" customHeight="1">
      <c r="A21" s="439" t="s">
        <v>356</v>
      </c>
      <c r="B21" s="439"/>
      <c r="C21" s="1679">
        <v>4.2510000000000003</v>
      </c>
      <c r="D21" s="1676"/>
      <c r="E21" s="1679">
        <v>3.2210000000000001</v>
      </c>
      <c r="F21" s="1676"/>
      <c r="G21" s="1679">
        <v>4.0599999999999996</v>
      </c>
      <c r="H21" s="1676"/>
      <c r="I21" s="1679">
        <v>0</v>
      </c>
      <c r="J21" s="3009"/>
      <c r="K21" s="1680">
        <f t="shared" si="1"/>
        <v>3.4119999999999999</v>
      </c>
      <c r="L21" s="697"/>
      <c r="M21" s="439"/>
      <c r="N21" s="439"/>
      <c r="O21" s="439"/>
    </row>
    <row r="22" spans="1:15" s="441" customFormat="1" ht="16.399999999999999" customHeight="1">
      <c r="A22" s="439" t="s">
        <v>914</v>
      </c>
      <c r="B22" s="439"/>
      <c r="C22" s="1679">
        <v>15.868</v>
      </c>
      <c r="D22" s="1676"/>
      <c r="E22" s="1679">
        <v>3.9169999999999998</v>
      </c>
      <c r="F22" s="1676"/>
      <c r="G22" s="1679">
        <v>2.5110000000000001</v>
      </c>
      <c r="H22" s="1676"/>
      <c r="I22" s="1679">
        <v>0</v>
      </c>
      <c r="J22" s="3009"/>
      <c r="K22" s="1680">
        <f t="shared" si="1"/>
        <v>17.274000000000001</v>
      </c>
      <c r="L22" s="697"/>
      <c r="M22" s="439"/>
      <c r="N22" s="439"/>
      <c r="O22" s="439"/>
    </row>
    <row r="23" spans="1:15" s="441" customFormat="1" ht="16.399999999999999" customHeight="1">
      <c r="A23" s="439" t="s">
        <v>915</v>
      </c>
      <c r="B23" s="439"/>
      <c r="C23" s="1679">
        <v>2.206</v>
      </c>
      <c r="D23" s="1676"/>
      <c r="E23" s="1679">
        <v>1E-3</v>
      </c>
      <c r="F23" s="1676"/>
      <c r="G23" s="1679">
        <v>1.4999999999999999E-2</v>
      </c>
      <c r="H23" s="1676"/>
      <c r="I23" s="1679">
        <v>0</v>
      </c>
      <c r="J23" s="3009"/>
      <c r="K23" s="1680">
        <f t="shared" si="1"/>
        <v>2.1920000000000002</v>
      </c>
      <c r="L23" s="697"/>
      <c r="M23" s="439"/>
      <c r="N23" s="439"/>
      <c r="O23" s="439"/>
    </row>
    <row r="24" spans="1:15" s="441" customFormat="1" ht="16.399999999999999" customHeight="1">
      <c r="A24" s="439" t="s">
        <v>916</v>
      </c>
      <c r="B24" s="439"/>
      <c r="C24" s="1679">
        <v>2.1269999999999998</v>
      </c>
      <c r="D24" s="1676"/>
      <c r="E24" s="1679">
        <v>7.5999999999999998E-2</v>
      </c>
      <c r="F24" s="1676"/>
      <c r="G24" s="1679">
        <v>7.9000000000000001E-2</v>
      </c>
      <c r="H24" s="1676"/>
      <c r="I24" s="1679">
        <v>0</v>
      </c>
      <c r="J24" s="3009"/>
      <c r="K24" s="1680">
        <f t="shared" si="1"/>
        <v>2.1240000000000001</v>
      </c>
      <c r="L24" s="697"/>
      <c r="M24" s="439"/>
      <c r="N24" s="439"/>
      <c r="O24" s="439"/>
    </row>
    <row r="25" spans="1:15" s="441" customFormat="1" ht="16.399999999999999" customHeight="1">
      <c r="A25" s="439" t="s">
        <v>357</v>
      </c>
      <c r="B25" s="439"/>
      <c r="C25" s="1679">
        <v>4.8570000000000002</v>
      </c>
      <c r="D25" s="1676"/>
      <c r="E25" s="1679">
        <v>3.5999999999999997E-2</v>
      </c>
      <c r="F25" s="1676"/>
      <c r="G25" s="1679">
        <v>7.5999999999999998E-2</v>
      </c>
      <c r="H25" s="1676"/>
      <c r="I25" s="1679">
        <v>0</v>
      </c>
      <c r="J25" s="3009"/>
      <c r="K25" s="1680">
        <f t="shared" si="1"/>
        <v>4.8170000000000002</v>
      </c>
      <c r="L25" s="697"/>
      <c r="M25" s="439"/>
      <c r="N25" s="439"/>
      <c r="O25" s="439"/>
    </row>
    <row r="26" spans="1:15" s="441" customFormat="1" ht="16.399999999999999" customHeight="1">
      <c r="A26" s="3377" t="s">
        <v>1293</v>
      </c>
      <c r="B26" s="439"/>
      <c r="C26" s="1679">
        <v>11.602</v>
      </c>
      <c r="D26" s="1676"/>
      <c r="E26" s="1679">
        <v>1425.836</v>
      </c>
      <c r="F26" s="1676"/>
      <c r="G26" s="1679">
        <v>1424.8040000000001</v>
      </c>
      <c r="H26" s="1676"/>
      <c r="I26" s="1679">
        <v>0</v>
      </c>
      <c r="J26" s="3009"/>
      <c r="K26" s="1680">
        <f>ROUND(SUM(C26)+SUM(E26)-SUM(G26)+SUM(I26),3)</f>
        <v>12.634</v>
      </c>
      <c r="L26" s="697"/>
      <c r="M26" s="439"/>
      <c r="N26" s="439"/>
      <c r="O26" s="439"/>
    </row>
    <row r="27" spans="1:15" s="441" customFormat="1" ht="16.399999999999999" customHeight="1">
      <c r="A27" s="449" t="s">
        <v>380</v>
      </c>
      <c r="B27" s="439"/>
      <c r="C27" s="1679">
        <v>5.8529999999999998</v>
      </c>
      <c r="D27" s="1676"/>
      <c r="E27" s="1679">
        <v>281.62599999999998</v>
      </c>
      <c r="F27" s="1676"/>
      <c r="G27" s="1679">
        <v>255.25800000000001</v>
      </c>
      <c r="H27" s="1676"/>
      <c r="I27" s="1679">
        <v>0</v>
      </c>
      <c r="J27" s="3009"/>
      <c r="K27" s="1680">
        <f>ROUND(SUM(C27)+SUM(E27)-SUM(G27)+SUM(I27),3)</f>
        <v>32.220999999999997</v>
      </c>
      <c r="L27" s="697"/>
      <c r="M27" s="439"/>
      <c r="N27" s="439"/>
      <c r="O27" s="439"/>
    </row>
    <row r="28" spans="1:15" s="441" customFormat="1" ht="20.149999999999999" customHeight="1">
      <c r="A28" s="445" t="s">
        <v>358</v>
      </c>
      <c r="B28" s="439"/>
      <c r="C28" s="1537">
        <f>ROUND(SUM(C18:C27),3)</f>
        <v>230.72</v>
      </c>
      <c r="D28" s="1565"/>
      <c r="E28" s="1537">
        <f>ROUND(SUM(E18:E27),3)</f>
        <v>1733.492</v>
      </c>
      <c r="F28" s="1565"/>
      <c r="G28" s="1537">
        <f>ROUND(SUM(G18:G27),3)</f>
        <v>1695.136</v>
      </c>
      <c r="H28" s="688"/>
      <c r="I28" s="1537">
        <f>ROUND(SUM(I18:I27),3)</f>
        <v>0</v>
      </c>
      <c r="J28" s="688"/>
      <c r="K28" s="1537">
        <f>ROUND(SUM(K18:K27),3)</f>
        <v>269.07600000000002</v>
      </c>
      <c r="L28" s="697"/>
      <c r="M28" s="439"/>
      <c r="N28" s="439"/>
      <c r="O28" s="439"/>
    </row>
    <row r="29" spans="1:15" s="441" customFormat="1" ht="15" customHeight="1">
      <c r="A29" s="439"/>
      <c r="B29" s="439"/>
      <c r="C29" s="690"/>
      <c r="D29" s="442"/>
      <c r="E29" s="690"/>
      <c r="F29" s="442"/>
      <c r="G29" s="690"/>
      <c r="H29" s="442"/>
      <c r="I29" s="443"/>
      <c r="J29" s="442"/>
      <c r="K29" s="690"/>
      <c r="L29" s="697"/>
      <c r="M29" s="439"/>
      <c r="N29" s="439"/>
      <c r="O29" s="439"/>
    </row>
    <row r="30" spans="1:15" s="441" customFormat="1" ht="15" customHeight="1">
      <c r="A30" s="439"/>
      <c r="B30" s="439"/>
      <c r="C30" s="442"/>
      <c r="D30" s="3018" t="s">
        <v>231</v>
      </c>
      <c r="E30" s="442"/>
      <c r="F30" s="442"/>
      <c r="G30" s="442"/>
      <c r="H30" s="442"/>
      <c r="I30" s="442"/>
      <c r="J30" s="442"/>
      <c r="K30" s="442"/>
      <c r="L30" s="697"/>
      <c r="M30" s="439"/>
      <c r="N30" s="439"/>
      <c r="O30" s="439"/>
    </row>
    <row r="31" spans="1:15" s="441" customFormat="1" ht="15" customHeight="1">
      <c r="A31" s="439"/>
      <c r="B31" s="439"/>
      <c r="C31" s="442"/>
      <c r="D31" s="442"/>
      <c r="E31" s="442"/>
      <c r="F31" s="442"/>
      <c r="G31" s="442"/>
      <c r="H31" s="442"/>
      <c r="I31" s="442"/>
      <c r="J31" s="442"/>
      <c r="K31" s="442"/>
      <c r="L31" s="697"/>
      <c r="M31" s="439"/>
      <c r="N31" s="439"/>
      <c r="O31" s="439"/>
    </row>
    <row r="32" spans="1:15" s="441" customFormat="1" ht="18" customHeight="1">
      <c r="A32" s="452" t="s">
        <v>219</v>
      </c>
      <c r="B32" s="439"/>
      <c r="C32" s="442"/>
      <c r="D32" s="442"/>
      <c r="E32" s="442"/>
      <c r="F32" s="442"/>
      <c r="G32" s="442"/>
      <c r="H32" s="442"/>
      <c r="I32" s="442"/>
      <c r="J32" s="442"/>
      <c r="K32" s="442"/>
      <c r="L32" s="697"/>
      <c r="M32" s="439"/>
      <c r="N32" s="439"/>
      <c r="O32" s="439"/>
    </row>
    <row r="33" spans="1:15" s="441" customFormat="1" ht="15" customHeight="1">
      <c r="A33" s="452"/>
      <c r="B33" s="439"/>
      <c r="C33" s="442"/>
      <c r="D33" s="442"/>
      <c r="E33" s="442"/>
      <c r="F33" s="442"/>
      <c r="G33" s="442"/>
      <c r="H33" s="442"/>
      <c r="I33" s="442"/>
      <c r="J33" s="442"/>
      <c r="K33" s="442"/>
      <c r="L33" s="697"/>
      <c r="M33" s="439"/>
      <c r="N33" s="439"/>
      <c r="O33" s="439"/>
    </row>
    <row r="34" spans="1:15" s="441" customFormat="1" ht="16.399999999999999" customHeight="1">
      <c r="A34" s="439" t="s">
        <v>917</v>
      </c>
      <c r="B34" s="439"/>
      <c r="C34" s="1679">
        <v>-84.775000000000006</v>
      </c>
      <c r="D34" s="1676"/>
      <c r="E34" s="1679">
        <v>36.761000000000003</v>
      </c>
      <c r="F34" s="1676"/>
      <c r="G34" s="1679">
        <v>33.247</v>
      </c>
      <c r="H34" s="1676"/>
      <c r="I34" s="3592">
        <v>1.3410000000000002</v>
      </c>
      <c r="J34" s="3009"/>
      <c r="K34" s="1680">
        <f t="shared" ref="K34:K41" si="2">ROUND(SUM(C34)+SUM(E34)-SUM(G34)+SUM(I34),3)</f>
        <v>-79.92</v>
      </c>
      <c r="L34" s="697"/>
      <c r="M34" s="442"/>
      <c r="N34" s="439"/>
      <c r="O34" s="439"/>
    </row>
    <row r="35" spans="1:15" s="441" customFormat="1" ht="16.399999999999999" customHeight="1">
      <c r="A35" s="439" t="s">
        <v>359</v>
      </c>
      <c r="B35" s="439"/>
      <c r="C35" s="1679">
        <v>-164.07400000000001</v>
      </c>
      <c r="D35" s="1676"/>
      <c r="E35" s="1679">
        <v>9.7210000000000001</v>
      </c>
      <c r="F35" s="1676"/>
      <c r="G35" s="1679">
        <v>22.817</v>
      </c>
      <c r="H35" s="1676"/>
      <c r="I35" s="1679">
        <v>3.3079999999999998</v>
      </c>
      <c r="J35" s="3009"/>
      <c r="K35" s="1680">
        <f t="shared" si="2"/>
        <v>-173.86199999999999</v>
      </c>
      <c r="L35" s="697"/>
      <c r="M35" s="442"/>
      <c r="N35" s="439"/>
      <c r="O35" s="439"/>
    </row>
    <row r="36" spans="1:15" s="441" customFormat="1" ht="16.399999999999999" customHeight="1">
      <c r="A36" s="439" t="s">
        <v>360</v>
      </c>
      <c r="B36" s="439"/>
      <c r="C36" s="1679">
        <v>5.3999999999999999E-2</v>
      </c>
      <c r="D36" s="1676"/>
      <c r="E36" s="1679">
        <v>5.0000000000000001E-3</v>
      </c>
      <c r="F36" s="1676"/>
      <c r="G36" s="1679">
        <v>7.2999999999999995E-2</v>
      </c>
      <c r="H36" s="1676"/>
      <c r="I36" s="1679">
        <v>0</v>
      </c>
      <c r="J36" s="3009"/>
      <c r="K36" s="1680">
        <f t="shared" si="2"/>
        <v>-1.4E-2</v>
      </c>
      <c r="L36" s="697"/>
      <c r="M36" s="442"/>
      <c r="N36" s="439"/>
      <c r="O36" s="439"/>
    </row>
    <row r="37" spans="1:15" s="441" customFormat="1" ht="16.399999999999999" customHeight="1">
      <c r="A37" s="439" t="s">
        <v>361</v>
      </c>
      <c r="B37" s="439"/>
      <c r="C37" s="1679">
        <v>5.1999999999999998E-2</v>
      </c>
      <c r="D37" s="1676"/>
      <c r="E37" s="1679">
        <v>0</v>
      </c>
      <c r="F37" s="1676"/>
      <c r="G37" s="1679">
        <v>0</v>
      </c>
      <c r="H37" s="1676"/>
      <c r="I37" s="1679">
        <v>0</v>
      </c>
      <c r="J37" s="3009"/>
      <c r="K37" s="1680">
        <f t="shared" si="2"/>
        <v>5.1999999999999998E-2</v>
      </c>
      <c r="L37" s="697"/>
      <c r="M37" s="442"/>
      <c r="N37" s="439"/>
      <c r="O37" s="439"/>
    </row>
    <row r="38" spans="1:15" s="441" customFormat="1" ht="16.399999999999999" customHeight="1">
      <c r="A38" s="439" t="s">
        <v>918</v>
      </c>
      <c r="B38" s="439"/>
      <c r="C38" s="1679">
        <v>0.84899999999999998</v>
      </c>
      <c r="D38" s="1676"/>
      <c r="E38" s="1679">
        <v>0</v>
      </c>
      <c r="F38" s="1676"/>
      <c r="G38" s="1679">
        <v>0.08</v>
      </c>
      <c r="H38" s="1676"/>
      <c r="I38" s="1679">
        <v>0</v>
      </c>
      <c r="J38" s="3009"/>
      <c r="K38" s="1680">
        <f t="shared" si="2"/>
        <v>0.76900000000000002</v>
      </c>
      <c r="L38" s="697"/>
      <c r="M38" s="442"/>
      <c r="N38" s="439"/>
      <c r="O38" s="439"/>
    </row>
    <row r="39" spans="1:15" s="441" customFormat="1" ht="16.399999999999999" customHeight="1">
      <c r="A39" s="439" t="s">
        <v>362</v>
      </c>
      <c r="B39" s="439"/>
      <c r="C39" s="1679">
        <v>-55.817</v>
      </c>
      <c r="D39" s="1676"/>
      <c r="E39" s="1679">
        <v>0.34499999999999997</v>
      </c>
      <c r="F39" s="1676"/>
      <c r="G39" s="1679">
        <v>4.423</v>
      </c>
      <c r="H39" s="1676"/>
      <c r="I39" s="1679">
        <v>-1.6E-2</v>
      </c>
      <c r="J39" s="3009"/>
      <c r="K39" s="1680">
        <f t="shared" si="2"/>
        <v>-59.911000000000001</v>
      </c>
      <c r="L39" s="697"/>
      <c r="M39" s="442" t="s">
        <v>14</v>
      </c>
      <c r="N39" s="439"/>
      <c r="O39" s="439"/>
    </row>
    <row r="40" spans="1:15" s="441" customFormat="1" ht="16.399999999999999" customHeight="1">
      <c r="A40" s="439" t="s">
        <v>363</v>
      </c>
      <c r="B40" s="439"/>
      <c r="C40" s="1679">
        <v>-3.8330000000000002</v>
      </c>
      <c r="D40" s="1676"/>
      <c r="E40" s="1679">
        <v>0</v>
      </c>
      <c r="F40" s="1676"/>
      <c r="G40" s="1679">
        <v>1.304</v>
      </c>
      <c r="H40" s="1676"/>
      <c r="I40" s="1679">
        <v>0</v>
      </c>
      <c r="J40" s="3009"/>
      <c r="K40" s="1680">
        <f t="shared" si="2"/>
        <v>-5.1369999999999996</v>
      </c>
      <c r="L40" s="697"/>
      <c r="M40" s="442" t="s">
        <v>14</v>
      </c>
      <c r="N40" s="439"/>
      <c r="O40" s="439"/>
    </row>
    <row r="41" spans="1:15" s="441" customFormat="1" ht="16.399999999999999" customHeight="1">
      <c r="A41" s="439" t="s">
        <v>364</v>
      </c>
      <c r="B41" s="439"/>
      <c r="C41" s="1679">
        <v>-28.733999999999998</v>
      </c>
      <c r="D41" s="1676"/>
      <c r="E41" s="1679">
        <v>3.319</v>
      </c>
      <c r="F41" s="1676"/>
      <c r="G41" s="1679">
        <v>4.0150000000000006</v>
      </c>
      <c r="H41" s="1676"/>
      <c r="I41" s="1679">
        <v>0</v>
      </c>
      <c r="J41" s="3009"/>
      <c r="K41" s="1680">
        <f t="shared" si="2"/>
        <v>-29.43</v>
      </c>
      <c r="L41" s="697"/>
      <c r="M41" s="442"/>
      <c r="N41" s="439"/>
      <c r="O41" s="439"/>
    </row>
    <row r="42" spans="1:15" s="441" customFormat="1" ht="20.149999999999999" customHeight="1">
      <c r="A42" s="445" t="s">
        <v>365</v>
      </c>
      <c r="B42" s="439"/>
      <c r="C42" s="1537">
        <f>ROUND(SUM(C34:C41),3)</f>
        <v>-336.27800000000002</v>
      </c>
      <c r="D42" s="691"/>
      <c r="E42" s="1537">
        <f>ROUND(SUM(E34:E41),3)</f>
        <v>50.151000000000003</v>
      </c>
      <c r="F42" s="691"/>
      <c r="G42" s="1537">
        <f>ROUND(SUM(G34:G41),3)</f>
        <v>65.959000000000003</v>
      </c>
      <c r="H42" s="689"/>
      <c r="I42" s="1537">
        <f>ROUND(SUM(I34:I41),3)</f>
        <v>4.633</v>
      </c>
      <c r="J42" s="689"/>
      <c r="K42" s="1537">
        <f>ROUND(SUM(K34:K41),3)</f>
        <v>-347.45299999999997</v>
      </c>
      <c r="L42" s="697"/>
      <c r="M42" s="439"/>
      <c r="N42" s="439"/>
      <c r="O42" s="439"/>
    </row>
    <row r="43" spans="1:15" s="441" customFormat="1" ht="15" customHeight="1">
      <c r="A43" s="445"/>
      <c r="B43" s="439"/>
      <c r="C43" s="3405"/>
      <c r="D43" s="2204"/>
      <c r="E43" s="2203"/>
      <c r="F43" s="2204"/>
      <c r="G43" s="2203"/>
      <c r="H43" s="2204"/>
      <c r="I43" s="3010"/>
      <c r="J43" s="2204"/>
      <c r="K43" s="2203"/>
      <c r="L43" s="697"/>
      <c r="M43" s="439"/>
      <c r="N43" s="439"/>
      <c r="O43" s="439"/>
    </row>
    <row r="44" spans="1:15" s="441" customFormat="1" ht="15" customHeight="1">
      <c r="A44" s="445"/>
      <c r="B44" s="439"/>
      <c r="C44" s="3010"/>
      <c r="D44" s="2204"/>
      <c r="E44" s="2204"/>
      <c r="F44" s="2204"/>
      <c r="G44" s="2204" t="s">
        <v>14</v>
      </c>
      <c r="H44" s="2204"/>
      <c r="I44" s="3024"/>
      <c r="J44" s="2204"/>
      <c r="K44" s="2204"/>
      <c r="L44" s="697"/>
      <c r="M44" s="439"/>
      <c r="N44" s="439"/>
      <c r="O44" s="439"/>
    </row>
    <row r="45" spans="1:15" s="441" customFormat="1" ht="20.149999999999999" customHeight="1" thickBot="1">
      <c r="A45" s="445" t="s">
        <v>63</v>
      </c>
      <c r="B45" s="440"/>
      <c r="C45" s="2205">
        <f>ROUND(SUM(C42)+SUM(C28),3)</f>
        <v>-105.55800000000001</v>
      </c>
      <c r="D45" s="699"/>
      <c r="E45" s="2205">
        <f>ROUND(SUM(E42)+SUM(E28),3)</f>
        <v>1783.643</v>
      </c>
      <c r="F45" s="699"/>
      <c r="G45" s="2205">
        <f>ROUND(SUM(G42)+SUM(G28),3)</f>
        <v>1761.095</v>
      </c>
      <c r="H45" s="699"/>
      <c r="I45" s="2205">
        <f>ROUND(SUM(I42)+SUM(I28),3)</f>
        <v>4.633</v>
      </c>
      <c r="J45" s="699"/>
      <c r="K45" s="2205">
        <f>ROUND(SUM(K42)+SUM(K28),3)</f>
        <v>-78.376999999999995</v>
      </c>
      <c r="L45" s="697"/>
      <c r="M45" s="439"/>
      <c r="N45" s="439"/>
      <c r="O45" s="439"/>
    </row>
    <row r="46" spans="1:15" s="441" customFormat="1" ht="18" thickTop="1">
      <c r="A46" s="439"/>
      <c r="B46" s="439"/>
      <c r="C46" s="2206"/>
      <c r="D46" s="2204"/>
      <c r="E46" s="2206" t="s">
        <v>14</v>
      </c>
      <c r="F46" s="2204"/>
      <c r="G46" s="2206"/>
      <c r="H46" s="2204"/>
      <c r="I46" s="684"/>
      <c r="J46" s="2204"/>
      <c r="K46" s="2206"/>
      <c r="L46" s="439"/>
      <c r="M46" s="439"/>
      <c r="N46" s="439"/>
      <c r="O46" s="439"/>
    </row>
    <row r="47" spans="1:15" s="441" customFormat="1">
      <c r="A47" s="3025"/>
      <c r="B47" s="2200"/>
      <c r="C47" s="2209"/>
      <c r="D47" s="2209"/>
      <c r="E47" s="2207" t="s">
        <v>14</v>
      </c>
      <c r="F47" s="2207"/>
      <c r="G47" s="3026"/>
      <c r="H47" s="2207" t="s">
        <v>14</v>
      </c>
      <c r="I47" s="3027" t="s">
        <v>14</v>
      </c>
      <c r="J47" s="2209"/>
      <c r="K47" s="3028"/>
      <c r="L47" s="2200"/>
      <c r="M47" s="2200"/>
      <c r="N47" s="2200"/>
      <c r="O47" s="2200"/>
    </row>
    <row r="48" spans="1:15" s="441" customFormat="1">
      <c r="A48" s="2200"/>
      <c r="B48" s="2200"/>
      <c r="C48" s="2209"/>
      <c r="D48" s="2209"/>
      <c r="E48" s="2208" t="s">
        <v>14</v>
      </c>
      <c r="F48" s="2208"/>
      <c r="G48" s="2208"/>
      <c r="H48" s="2208"/>
      <c r="I48" s="2208" t="s">
        <v>14</v>
      </c>
      <c r="J48" s="2208"/>
      <c r="K48" s="2208"/>
      <c r="L48" s="2200"/>
      <c r="M48" s="2200"/>
      <c r="N48" s="2200"/>
      <c r="O48" s="2200"/>
    </row>
    <row r="49" spans="1:15" s="441" customFormat="1">
      <c r="A49" s="2200"/>
      <c r="B49" s="2200"/>
      <c r="C49" s="2209"/>
      <c r="D49" s="2209"/>
      <c r="E49" s="2209" t="s">
        <v>14</v>
      </c>
      <c r="F49" s="2209"/>
      <c r="G49" s="3029"/>
      <c r="H49" s="2200"/>
      <c r="I49" s="3030" t="s">
        <v>14</v>
      </c>
      <c r="J49" s="2209"/>
      <c r="K49" s="2209"/>
      <c r="L49" s="2200"/>
      <c r="M49" s="2200"/>
      <c r="N49" s="2200"/>
      <c r="O49" s="2200"/>
    </row>
    <row r="50" spans="1:15" s="441" customFormat="1">
      <c r="A50" s="2200"/>
      <c r="B50" s="2200"/>
      <c r="C50" s="2209"/>
      <c r="D50" s="2209"/>
      <c r="E50" s="2208" t="s">
        <v>14</v>
      </c>
      <c r="F50" s="2209"/>
      <c r="G50" s="2209"/>
      <c r="H50" s="2200"/>
      <c r="I50" s="3030" t="s">
        <v>14</v>
      </c>
      <c r="J50" s="2209"/>
      <c r="K50" s="2209"/>
      <c r="L50" s="2200"/>
      <c r="M50" s="2200"/>
      <c r="N50" s="2200"/>
      <c r="O50" s="2200"/>
    </row>
    <row r="51" spans="1:15" s="441" customFormat="1">
      <c r="A51" s="2200"/>
      <c r="B51" s="2200"/>
      <c r="C51" s="2209"/>
      <c r="D51" s="2209"/>
      <c r="E51" s="2208" t="s">
        <v>14</v>
      </c>
      <c r="F51" s="2209"/>
      <c r="G51" s="2209"/>
      <c r="H51" s="2200"/>
      <c r="I51" s="3030" t="s">
        <v>14</v>
      </c>
      <c r="J51" s="2209"/>
      <c r="K51" s="2209"/>
      <c r="L51" s="2200"/>
      <c r="M51" s="2200"/>
      <c r="N51" s="2200"/>
      <c r="O51" s="2200"/>
    </row>
    <row r="52" spans="1:15" s="441" customFormat="1">
      <c r="A52" s="2200"/>
      <c r="B52" s="2200"/>
      <c r="C52" s="2209"/>
      <c r="D52" s="2209"/>
      <c r="E52" s="2209"/>
      <c r="F52" s="2209"/>
      <c r="G52" s="2209"/>
      <c r="H52" s="2200"/>
      <c r="I52" s="3030" t="s">
        <v>14</v>
      </c>
      <c r="J52" s="2209"/>
      <c r="K52" s="2209"/>
      <c r="L52" s="2200"/>
      <c r="M52" s="2200"/>
      <c r="N52" s="2200"/>
      <c r="O52" s="2200"/>
    </row>
    <row r="53" spans="1:15" s="441" customFormat="1">
      <c r="A53" s="439"/>
      <c r="B53" s="2200"/>
      <c r="C53" s="2209"/>
      <c r="D53" s="2209"/>
      <c r="E53" s="2209"/>
      <c r="F53" s="2209"/>
      <c r="G53" s="2209"/>
      <c r="H53" s="2200"/>
      <c r="I53" s="3030" t="s">
        <v>14</v>
      </c>
      <c r="J53" s="2209"/>
      <c r="K53" s="2209"/>
      <c r="L53" s="2200"/>
      <c r="M53" s="2200"/>
      <c r="N53" s="2200"/>
      <c r="O53" s="2200"/>
    </row>
    <row r="54" spans="1:15" s="441" customFormat="1">
      <c r="A54" s="2200"/>
      <c r="B54" s="2200"/>
      <c r="C54" s="2209"/>
      <c r="D54" s="2209"/>
      <c r="E54" s="2209"/>
      <c r="F54" s="2209"/>
      <c r="G54" s="2209"/>
      <c r="H54" s="2200"/>
      <c r="I54" s="2200"/>
      <c r="J54" s="2209"/>
      <c r="K54" s="2209"/>
      <c r="L54" s="2200"/>
      <c r="M54" s="2200"/>
      <c r="N54" s="2200"/>
      <c r="O54" s="2200"/>
    </row>
    <row r="55" spans="1:15" s="441" customFormat="1">
      <c r="A55" s="2200"/>
      <c r="B55" s="2200"/>
      <c r="C55" s="2209"/>
      <c r="D55" s="2209"/>
      <c r="E55" s="2209"/>
      <c r="F55" s="2209"/>
      <c r="G55" s="2209"/>
      <c r="H55" s="2200"/>
      <c r="I55" s="2200"/>
      <c r="J55" s="2209"/>
      <c r="K55" s="2209"/>
      <c r="L55" s="2200"/>
      <c r="M55" s="2200"/>
      <c r="N55" s="2200"/>
      <c r="O55" s="2200"/>
    </row>
    <row r="56" spans="1:15" s="441" customFormat="1">
      <c r="A56" s="2200"/>
      <c r="B56" s="2200"/>
      <c r="C56" s="2209"/>
      <c r="D56" s="2209"/>
      <c r="E56" s="2209"/>
      <c r="F56" s="2209"/>
      <c r="G56" s="2209"/>
      <c r="H56" s="2200"/>
      <c r="I56" s="2200"/>
      <c r="J56" s="2209"/>
      <c r="K56" s="2209"/>
      <c r="L56" s="2200"/>
      <c r="M56" s="2200"/>
      <c r="N56" s="2200"/>
      <c r="O56" s="2200"/>
    </row>
    <row r="57" spans="1:15" s="441" customFormat="1">
      <c r="A57" s="2200"/>
      <c r="B57" s="2200"/>
      <c r="C57" s="2209"/>
      <c r="D57" s="2209"/>
      <c r="E57" s="2209"/>
      <c r="F57" s="2209"/>
      <c r="G57" s="2209"/>
      <c r="H57" s="2200"/>
      <c r="I57" s="2200"/>
      <c r="J57" s="2209"/>
      <c r="K57" s="2209"/>
      <c r="L57" s="2200"/>
      <c r="M57" s="2200"/>
      <c r="N57" s="2200"/>
      <c r="O57" s="2200"/>
    </row>
    <row r="58" spans="1:15" s="441" customFormat="1">
      <c r="A58" s="2200"/>
      <c r="B58" s="2200"/>
      <c r="C58" s="2209"/>
      <c r="D58" s="2209"/>
      <c r="E58" s="2209"/>
      <c r="F58" s="2209"/>
      <c r="G58" s="2209"/>
      <c r="H58" s="2200"/>
      <c r="I58" s="2200"/>
      <c r="J58" s="2209"/>
      <c r="K58" s="2209"/>
      <c r="L58" s="2200"/>
      <c r="M58" s="2200"/>
      <c r="N58" s="2200"/>
      <c r="O58" s="2200"/>
    </row>
    <row r="59" spans="1:15" s="441" customFormat="1">
      <c r="A59" s="2200"/>
      <c r="B59" s="2200"/>
      <c r="C59" s="2209"/>
      <c r="D59" s="2209"/>
      <c r="E59" s="2209"/>
      <c r="F59" s="2209"/>
      <c r="G59" s="2209"/>
      <c r="H59" s="2200"/>
      <c r="I59" s="2200"/>
      <c r="J59" s="2209"/>
      <c r="K59" s="2209"/>
      <c r="L59" s="2200"/>
      <c r="M59" s="2200"/>
      <c r="N59" s="2200"/>
      <c r="O59" s="2200"/>
    </row>
    <row r="60" spans="1:15" s="441" customFormat="1">
      <c r="A60" s="2200"/>
      <c r="B60" s="2200"/>
      <c r="C60" s="2209"/>
      <c r="D60" s="2209"/>
      <c r="E60" s="2209"/>
      <c r="F60" s="2209"/>
      <c r="G60" s="2209"/>
      <c r="H60" s="2200"/>
      <c r="I60" s="2200"/>
      <c r="J60" s="2209"/>
      <c r="K60" s="2209"/>
      <c r="L60" s="2200"/>
      <c r="M60" s="2200"/>
      <c r="N60" s="2200"/>
      <c r="O60" s="2200"/>
    </row>
    <row r="61" spans="1:15" s="441" customFormat="1">
      <c r="A61" s="2200"/>
      <c r="B61" s="2200"/>
      <c r="C61" s="2209"/>
      <c r="D61" s="2209"/>
      <c r="E61" s="2209"/>
      <c r="F61" s="2209"/>
      <c r="G61" s="2209"/>
      <c r="H61" s="2200"/>
      <c r="I61" s="2200"/>
      <c r="J61" s="2209"/>
      <c r="K61" s="2209"/>
      <c r="L61" s="2200"/>
      <c r="M61" s="2200"/>
      <c r="N61" s="2200"/>
      <c r="O61" s="2200"/>
    </row>
    <row r="62" spans="1:15" s="441" customFormat="1">
      <c r="A62" s="2200"/>
      <c r="B62" s="2200"/>
      <c r="C62" s="2209"/>
      <c r="D62" s="2209"/>
      <c r="E62" s="2209"/>
      <c r="F62" s="2209"/>
      <c r="G62" s="2209"/>
      <c r="H62" s="2200"/>
      <c r="I62" s="2200"/>
      <c r="J62" s="2209"/>
      <c r="K62" s="2209"/>
      <c r="L62" s="2200"/>
      <c r="M62" s="2200"/>
      <c r="N62" s="2200"/>
      <c r="O62" s="2200"/>
    </row>
    <row r="63" spans="1:15" s="441" customFormat="1">
      <c r="A63" s="2200"/>
      <c r="B63" s="2200"/>
      <c r="C63" s="2209"/>
      <c r="D63" s="2209"/>
      <c r="E63" s="2209"/>
      <c r="F63" s="2209"/>
      <c r="G63" s="2209"/>
      <c r="H63" s="2200"/>
      <c r="I63" s="2200"/>
      <c r="J63" s="2209"/>
      <c r="K63" s="2209"/>
      <c r="L63" s="2200"/>
      <c r="M63" s="2200"/>
      <c r="N63" s="2200"/>
      <c r="O63" s="2200"/>
    </row>
    <row r="64" spans="1:15" s="441" customFormat="1">
      <c r="A64" s="2200"/>
      <c r="B64" s="2200"/>
      <c r="C64" s="2209"/>
      <c r="D64" s="2209"/>
      <c r="E64" s="2209"/>
      <c r="F64" s="2209"/>
      <c r="G64" s="2209"/>
      <c r="H64" s="2200"/>
      <c r="I64" s="2200"/>
      <c r="J64" s="2209"/>
      <c r="K64" s="2209"/>
      <c r="L64" s="2200"/>
      <c r="M64" s="2200"/>
      <c r="N64" s="2200"/>
      <c r="O64" s="2200"/>
    </row>
    <row r="65" spans="1:15" s="441" customFormat="1">
      <c r="A65" s="2200"/>
      <c r="B65" s="2200"/>
      <c r="C65" s="2209"/>
      <c r="D65" s="2209"/>
      <c r="E65" s="2209"/>
      <c r="F65" s="2209"/>
      <c r="G65" s="2209"/>
      <c r="H65" s="2200"/>
      <c r="I65" s="2200"/>
      <c r="J65" s="2209"/>
      <c r="K65" s="2209"/>
      <c r="L65" s="2200"/>
      <c r="M65" s="2200"/>
      <c r="N65" s="2200"/>
      <c r="O65" s="2200"/>
    </row>
    <row r="66" spans="1:15" s="441" customFormat="1">
      <c r="A66" s="2200"/>
      <c r="B66" s="2200"/>
      <c r="C66" s="2209"/>
      <c r="D66" s="2209"/>
      <c r="E66" s="2209"/>
      <c r="F66" s="2209"/>
      <c r="G66" s="2209"/>
      <c r="H66" s="2200"/>
      <c r="I66" s="2200"/>
      <c r="J66" s="2209"/>
      <c r="K66" s="2209"/>
      <c r="L66" s="2200"/>
      <c r="M66" s="2200"/>
      <c r="N66" s="2200"/>
      <c r="O66" s="2200"/>
    </row>
    <row r="67" spans="1:15" s="441" customFormat="1">
      <c r="A67" s="2200"/>
      <c r="B67" s="2200"/>
      <c r="C67" s="2209"/>
      <c r="D67" s="2209"/>
      <c r="E67" s="2209"/>
      <c r="F67" s="2209"/>
      <c r="G67" s="2209"/>
      <c r="H67" s="2200"/>
      <c r="I67" s="2200"/>
      <c r="J67" s="2209"/>
      <c r="K67" s="2209"/>
      <c r="L67" s="2200"/>
      <c r="M67" s="2200"/>
      <c r="N67" s="2200"/>
      <c r="O67" s="2200"/>
    </row>
    <row r="68" spans="1:15" s="441" customFormat="1">
      <c r="A68" s="2200"/>
      <c r="B68" s="2200"/>
      <c r="C68" s="2209"/>
      <c r="D68" s="2209"/>
      <c r="E68" s="2209"/>
      <c r="F68" s="2209"/>
      <c r="G68" s="2209"/>
      <c r="H68" s="2200"/>
      <c r="I68" s="2200"/>
      <c r="J68" s="2209"/>
      <c r="K68" s="2209"/>
      <c r="L68" s="2200"/>
      <c r="M68" s="2200"/>
      <c r="N68" s="2200"/>
      <c r="O68" s="2200"/>
    </row>
    <row r="69" spans="1:15" s="441" customFormat="1">
      <c r="A69" s="2200"/>
      <c r="B69" s="2200"/>
      <c r="C69" s="2209"/>
      <c r="D69" s="2209"/>
      <c r="E69" s="2209"/>
      <c r="F69" s="2209"/>
      <c r="G69" s="2209"/>
      <c r="H69" s="2200"/>
      <c r="I69" s="2200"/>
      <c r="J69" s="2209"/>
      <c r="K69" s="2209"/>
      <c r="L69" s="2200"/>
      <c r="M69" s="2200"/>
      <c r="N69" s="2200"/>
      <c r="O69" s="2200"/>
    </row>
    <row r="70" spans="1:15" s="441" customFormat="1">
      <c r="A70" s="2200"/>
      <c r="B70" s="2200"/>
      <c r="C70" s="2209"/>
      <c r="D70" s="2209"/>
      <c r="E70" s="2209"/>
      <c r="F70" s="2209"/>
      <c r="G70" s="2209"/>
      <c r="H70" s="2200"/>
      <c r="I70" s="2200"/>
      <c r="J70" s="2209"/>
      <c r="K70" s="2209"/>
      <c r="L70" s="2200"/>
      <c r="M70" s="2200"/>
      <c r="N70" s="2200"/>
      <c r="O70" s="2200"/>
    </row>
    <row r="71" spans="1:15" s="441" customFormat="1">
      <c r="A71" s="2200"/>
      <c r="B71" s="2200"/>
      <c r="C71" s="2209"/>
      <c r="D71" s="2209"/>
      <c r="E71" s="2209"/>
      <c r="F71" s="2209"/>
      <c r="G71" s="2209"/>
      <c r="H71" s="2200"/>
      <c r="I71" s="2200"/>
      <c r="J71" s="2209"/>
      <c r="K71" s="2209"/>
      <c r="L71" s="2200"/>
      <c r="M71" s="2200"/>
      <c r="N71" s="2200"/>
      <c r="O71" s="2200"/>
    </row>
    <row r="72" spans="1:15" s="441" customFormat="1">
      <c r="A72" s="2200"/>
      <c r="B72" s="2200"/>
      <c r="C72" s="2209"/>
      <c r="D72" s="2209"/>
      <c r="E72" s="2209"/>
      <c r="F72" s="2209"/>
      <c r="G72" s="2209"/>
      <c r="H72" s="2200"/>
      <c r="I72" s="2200"/>
      <c r="J72" s="2209"/>
      <c r="K72" s="2209"/>
      <c r="L72" s="2200"/>
      <c r="M72" s="2200"/>
      <c r="N72" s="2200"/>
      <c r="O72" s="2200"/>
    </row>
    <row r="73" spans="1:15" s="441" customFormat="1">
      <c r="A73" s="2200"/>
      <c r="B73" s="2200"/>
      <c r="C73" s="2209"/>
      <c r="D73" s="2209"/>
      <c r="E73" s="2209"/>
      <c r="F73" s="2209"/>
      <c r="G73" s="2209"/>
      <c r="H73" s="2200"/>
      <c r="I73" s="2200"/>
      <c r="J73" s="2209"/>
      <c r="K73" s="2209"/>
      <c r="L73" s="2200"/>
      <c r="M73" s="2200"/>
      <c r="N73" s="2200"/>
      <c r="O73" s="2200"/>
    </row>
    <row r="74" spans="1:15" s="441" customFormat="1">
      <c r="A74" s="2200"/>
      <c r="B74" s="2200"/>
      <c r="C74" s="2209"/>
      <c r="D74" s="2209"/>
      <c r="E74" s="2209"/>
      <c r="F74" s="2209"/>
      <c r="G74" s="2209"/>
      <c r="H74" s="2200"/>
      <c r="I74" s="2200"/>
      <c r="J74" s="2209"/>
      <c r="K74" s="2209"/>
      <c r="L74" s="2200"/>
      <c r="M74" s="2200"/>
      <c r="N74" s="2200"/>
      <c r="O74" s="2200"/>
    </row>
    <row r="75" spans="1:15" s="441" customFormat="1">
      <c r="A75" s="2200"/>
      <c r="B75" s="2200"/>
      <c r="C75" s="2209"/>
      <c r="D75" s="2209"/>
      <c r="E75" s="2209"/>
      <c r="F75" s="2209"/>
      <c r="G75" s="2209"/>
      <c r="H75" s="2200"/>
      <c r="I75" s="2200"/>
      <c r="J75" s="2209"/>
      <c r="K75" s="2209"/>
      <c r="L75" s="2200"/>
      <c r="M75" s="2200"/>
      <c r="N75" s="2200"/>
      <c r="O75" s="2200"/>
    </row>
    <row r="76" spans="1:15" s="441" customFormat="1">
      <c r="A76" s="2200"/>
      <c r="B76" s="2200"/>
      <c r="C76" s="2209"/>
      <c r="D76" s="2209"/>
      <c r="E76" s="2209"/>
      <c r="F76" s="2209"/>
      <c r="G76" s="2209"/>
      <c r="H76" s="2200"/>
      <c r="I76" s="2200"/>
      <c r="J76" s="2209"/>
      <c r="K76" s="2209"/>
      <c r="L76" s="2200"/>
      <c r="M76" s="2200"/>
      <c r="N76" s="2200"/>
      <c r="O76" s="2200"/>
    </row>
    <row r="77" spans="1:15" s="441" customFormat="1">
      <c r="A77" s="2200"/>
      <c r="B77" s="2200"/>
      <c r="C77" s="2209"/>
      <c r="D77" s="2209"/>
      <c r="E77" s="2209"/>
      <c r="F77" s="2209"/>
      <c r="G77" s="2209"/>
      <c r="H77" s="2200"/>
      <c r="I77" s="2200"/>
      <c r="J77" s="2209"/>
      <c r="K77" s="2209"/>
      <c r="L77" s="2200"/>
      <c r="M77" s="2200"/>
      <c r="N77" s="2200"/>
      <c r="O77" s="2200"/>
    </row>
    <row r="78" spans="1:15" s="441" customFormat="1">
      <c r="A78" s="2200"/>
      <c r="B78" s="2200"/>
      <c r="C78" s="2209"/>
      <c r="D78" s="2209"/>
      <c r="E78" s="2209"/>
      <c r="F78" s="2209"/>
      <c r="G78" s="2209"/>
      <c r="H78" s="2200"/>
      <c r="I78" s="2200"/>
      <c r="J78" s="2209"/>
      <c r="K78" s="2209"/>
      <c r="L78" s="2200"/>
      <c r="M78" s="2200"/>
      <c r="N78" s="2200"/>
      <c r="O78" s="2200"/>
    </row>
    <row r="79" spans="1:15" s="441" customFormat="1">
      <c r="A79" s="2200"/>
      <c r="B79" s="2200"/>
      <c r="C79" s="2209"/>
      <c r="D79" s="2209"/>
      <c r="E79" s="2209"/>
      <c r="F79" s="2209"/>
      <c r="G79" s="2209"/>
      <c r="H79" s="2200"/>
      <c r="I79" s="2200"/>
      <c r="J79" s="2209"/>
      <c r="K79" s="2209"/>
      <c r="L79" s="2200"/>
      <c r="M79" s="2200"/>
      <c r="N79" s="2200"/>
      <c r="O79" s="2200"/>
    </row>
    <row r="80" spans="1:15" s="441" customFormat="1">
      <c r="A80" s="2200"/>
      <c r="B80" s="2200"/>
      <c r="C80" s="2209"/>
      <c r="D80" s="2209"/>
      <c r="E80" s="2209"/>
      <c r="F80" s="2209"/>
      <c r="G80" s="2209"/>
      <c r="H80" s="2200"/>
      <c r="I80" s="2200"/>
      <c r="J80" s="2209"/>
      <c r="K80" s="2209"/>
      <c r="L80" s="2200"/>
      <c r="M80" s="2200"/>
      <c r="N80" s="2200"/>
      <c r="O80" s="2200"/>
    </row>
    <row r="81" spans="1:15" s="441" customFormat="1">
      <c r="A81" s="2200"/>
      <c r="B81" s="2200"/>
      <c r="C81" s="2209"/>
      <c r="D81" s="2209"/>
      <c r="E81" s="2209"/>
      <c r="F81" s="2209"/>
      <c r="G81" s="2209"/>
      <c r="H81" s="2200"/>
      <c r="I81" s="2200"/>
      <c r="J81" s="2209"/>
      <c r="K81" s="2209"/>
      <c r="L81" s="2200"/>
      <c r="M81" s="2200"/>
      <c r="N81" s="2200"/>
      <c r="O81" s="2200"/>
    </row>
    <row r="82" spans="1:15" s="441" customFormat="1">
      <c r="A82" s="2200"/>
      <c r="B82" s="2200"/>
      <c r="C82" s="2209"/>
      <c r="D82" s="2209"/>
      <c r="E82" s="2209"/>
      <c r="F82" s="2209"/>
      <c r="G82" s="2209"/>
      <c r="H82" s="2200"/>
      <c r="I82" s="2200"/>
      <c r="J82" s="2209"/>
      <c r="K82" s="2209"/>
      <c r="L82" s="2200"/>
      <c r="M82" s="2200"/>
      <c r="N82" s="2200"/>
      <c r="O82" s="2200"/>
    </row>
    <row r="83" spans="1:15" s="441" customFormat="1">
      <c r="A83" s="2200"/>
      <c r="B83" s="2200"/>
      <c r="C83" s="2209"/>
      <c r="D83" s="2209"/>
      <c r="E83" s="2209"/>
      <c r="F83" s="2209"/>
      <c r="G83" s="2209"/>
      <c r="H83" s="2200"/>
      <c r="I83" s="2200"/>
      <c r="J83" s="2209"/>
      <c r="K83" s="2209"/>
      <c r="L83" s="2200"/>
      <c r="M83" s="2200"/>
      <c r="N83" s="2200"/>
      <c r="O83" s="2200"/>
    </row>
    <row r="84" spans="1:15" s="441" customFormat="1">
      <c r="A84" s="2200"/>
      <c r="B84" s="2200"/>
      <c r="C84" s="2209"/>
      <c r="D84" s="2209"/>
      <c r="E84" s="2209"/>
      <c r="F84" s="2209"/>
      <c r="G84" s="2209"/>
      <c r="H84" s="2200"/>
      <c r="I84" s="2200"/>
      <c r="J84" s="2209"/>
      <c r="K84" s="2209"/>
      <c r="L84" s="2200"/>
      <c r="M84" s="2200"/>
      <c r="N84" s="2200"/>
      <c r="O84" s="2200"/>
    </row>
    <row r="85" spans="1:15" s="441" customFormat="1">
      <c r="A85" s="2200"/>
      <c r="B85" s="2200"/>
      <c r="C85" s="2209"/>
      <c r="D85" s="2209"/>
      <c r="E85" s="2209"/>
      <c r="F85" s="2209"/>
      <c r="G85" s="2209"/>
      <c r="H85" s="2200"/>
      <c r="I85" s="2200"/>
      <c r="J85" s="2209"/>
      <c r="K85" s="2209"/>
      <c r="L85" s="2200"/>
      <c r="M85" s="2200"/>
      <c r="N85" s="2200"/>
      <c r="O85" s="2200"/>
    </row>
    <row r="86" spans="1:15" s="441" customFormat="1">
      <c r="A86" s="2200"/>
      <c r="B86" s="2200"/>
      <c r="C86" s="2209"/>
      <c r="D86" s="2209"/>
      <c r="E86" s="2209"/>
      <c r="F86" s="2209"/>
      <c r="G86" s="2209"/>
      <c r="H86" s="2200"/>
      <c r="I86" s="2200"/>
      <c r="J86" s="2209"/>
      <c r="K86" s="2209"/>
      <c r="L86" s="2200"/>
      <c r="M86" s="2200"/>
      <c r="N86" s="2200"/>
      <c r="O86" s="2200"/>
    </row>
    <row r="87" spans="1:15" s="441" customFormat="1">
      <c r="A87" s="2200"/>
      <c r="B87" s="2200"/>
      <c r="C87" s="2209"/>
      <c r="D87" s="2209"/>
      <c r="E87" s="2209"/>
      <c r="F87" s="2209"/>
      <c r="G87" s="2209"/>
      <c r="H87" s="2200"/>
      <c r="I87" s="2200"/>
      <c r="J87" s="2209"/>
      <c r="K87" s="2209"/>
      <c r="L87" s="2200"/>
      <c r="M87" s="2200"/>
      <c r="N87" s="2200"/>
      <c r="O87" s="2200"/>
    </row>
    <row r="88" spans="1:15" s="441" customFormat="1">
      <c r="A88" s="2200"/>
      <c r="B88" s="2200"/>
      <c r="C88" s="2209"/>
      <c r="D88" s="2209"/>
      <c r="E88" s="2209"/>
      <c r="F88" s="2209"/>
      <c r="G88" s="2209"/>
      <c r="H88" s="2200"/>
      <c r="I88" s="2200"/>
      <c r="J88" s="2209"/>
      <c r="K88" s="2209"/>
      <c r="L88" s="2200"/>
      <c r="M88" s="2200"/>
      <c r="N88" s="2200"/>
      <c r="O88" s="2200"/>
    </row>
    <row r="89" spans="1:15" s="441" customFormat="1">
      <c r="A89" s="2200"/>
      <c r="B89" s="2200"/>
      <c r="C89" s="2209"/>
      <c r="D89" s="2209"/>
      <c r="E89" s="2209"/>
      <c r="F89" s="2209"/>
      <c r="G89" s="2209"/>
      <c r="H89" s="2200"/>
      <c r="I89" s="2200"/>
      <c r="J89" s="2209"/>
      <c r="K89" s="2209"/>
      <c r="L89" s="2200"/>
      <c r="M89" s="2200"/>
      <c r="N89" s="2200"/>
      <c r="O89" s="2200"/>
    </row>
    <row r="90" spans="1:15" s="441" customFormat="1">
      <c r="A90" s="2200"/>
      <c r="B90" s="2200"/>
      <c r="C90" s="2209"/>
      <c r="D90" s="2209"/>
      <c r="E90" s="2209"/>
      <c r="F90" s="2209"/>
      <c r="G90" s="2209"/>
      <c r="H90" s="2200"/>
      <c r="I90" s="2200"/>
      <c r="J90" s="2209"/>
      <c r="K90" s="2209"/>
      <c r="L90" s="2200"/>
      <c r="M90" s="2200"/>
      <c r="N90" s="2200"/>
      <c r="O90" s="2200"/>
    </row>
    <row r="91" spans="1:15" s="441" customFormat="1">
      <c r="A91" s="2200"/>
      <c r="B91" s="2200"/>
      <c r="C91" s="2209"/>
      <c r="D91" s="2209"/>
      <c r="E91" s="2209"/>
      <c r="F91" s="2209"/>
      <c r="G91" s="2209"/>
      <c r="H91" s="2200"/>
      <c r="I91" s="2200"/>
      <c r="J91" s="2209"/>
      <c r="K91" s="2209"/>
      <c r="L91" s="2200"/>
      <c r="M91" s="2200"/>
      <c r="N91" s="2200"/>
      <c r="O91" s="2200"/>
    </row>
    <row r="92" spans="1:15" s="441" customFormat="1">
      <c r="A92" s="2200"/>
      <c r="B92" s="2200"/>
      <c r="C92" s="2209"/>
      <c r="D92" s="2209"/>
      <c r="E92" s="2209"/>
      <c r="F92" s="2209"/>
      <c r="G92" s="2209"/>
      <c r="H92" s="2200"/>
      <c r="I92" s="2200"/>
      <c r="J92" s="2209"/>
      <c r="K92" s="2209"/>
      <c r="L92" s="2200"/>
      <c r="M92" s="2200"/>
      <c r="N92" s="2200"/>
      <c r="O92" s="2200"/>
    </row>
    <row r="93" spans="1:15" s="441" customFormat="1">
      <c r="A93" s="2200"/>
      <c r="B93" s="2200"/>
      <c r="C93" s="2209"/>
      <c r="D93" s="2209"/>
      <c r="E93" s="2209"/>
      <c r="F93" s="2209"/>
      <c r="G93" s="2209"/>
      <c r="H93" s="2200"/>
      <c r="I93" s="2200"/>
      <c r="J93" s="2209"/>
      <c r="K93" s="2209"/>
      <c r="L93" s="2200"/>
      <c r="M93" s="2200"/>
      <c r="N93" s="2200"/>
      <c r="O93" s="2200"/>
    </row>
    <row r="94" spans="1:15" s="441" customFormat="1">
      <c r="A94" s="2200"/>
      <c r="B94" s="2200"/>
      <c r="C94" s="2209"/>
      <c r="D94" s="2209"/>
      <c r="E94" s="2209"/>
      <c r="F94" s="2209"/>
      <c r="G94" s="2209"/>
      <c r="H94" s="2200"/>
      <c r="I94" s="2200"/>
      <c r="J94" s="2209"/>
      <c r="K94" s="2209"/>
      <c r="L94" s="2200"/>
      <c r="M94" s="2200"/>
      <c r="N94" s="2200"/>
      <c r="O94" s="2200"/>
    </row>
    <row r="95" spans="1:15" s="441" customFormat="1">
      <c r="A95" s="2200"/>
      <c r="B95" s="2200"/>
      <c r="C95" s="2209"/>
      <c r="D95" s="2209"/>
      <c r="E95" s="2209"/>
      <c r="F95" s="2209"/>
      <c r="G95" s="2209"/>
      <c r="H95" s="2200"/>
      <c r="I95" s="2200"/>
      <c r="J95" s="2209"/>
      <c r="K95" s="2209"/>
      <c r="L95" s="2200"/>
      <c r="M95" s="2200"/>
      <c r="N95" s="2200"/>
      <c r="O95" s="2200"/>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pageSetUpPr fitToPage="1"/>
  </sheetPr>
  <dimension ref="A1:IV136"/>
  <sheetViews>
    <sheetView showGridLines="0" zoomScale="80" zoomScaleNormal="80" workbookViewId="0"/>
  </sheetViews>
  <sheetFormatPr defaultColWidth="8.84375" defaultRowHeight="12.5"/>
  <cols>
    <col min="1" max="1" width="56.07421875" style="444" customWidth="1"/>
    <col min="2" max="2" width="5.84375" style="444" customWidth="1"/>
    <col min="3" max="3" width="9.84375" style="444" customWidth="1"/>
    <col min="4" max="4" width="20.69140625" style="444" customWidth="1"/>
    <col min="5" max="5" width="1.84375" style="444" customWidth="1"/>
    <col min="6" max="6" width="20.69140625" style="444" customWidth="1"/>
    <col min="7" max="7" width="2.07421875" style="444" customWidth="1"/>
    <col min="8" max="8" width="20.69140625" style="444" customWidth="1"/>
    <col min="9" max="9" width="1.84375" style="444" customWidth="1"/>
    <col min="10" max="10" width="20.69140625" style="444" customWidth="1"/>
    <col min="11" max="11" width="2.07421875" style="444" customWidth="1"/>
    <col min="12" max="12" width="22.69140625" style="444" customWidth="1"/>
    <col min="13" max="13" width="2.4609375" style="444" customWidth="1"/>
    <col min="14" max="14" width="10.84375" style="444" bestFit="1" customWidth="1"/>
    <col min="15" max="15" width="12.53515625" style="444" bestFit="1" customWidth="1"/>
    <col min="16" max="16384" width="8.84375" style="444"/>
  </cols>
  <sheetData>
    <row r="1" spans="1:256" ht="15.5">
      <c r="A1" s="635" t="s">
        <v>882</v>
      </c>
    </row>
    <row r="2" spans="1:256" ht="18" customHeight="1"/>
    <row r="3" spans="1:256" ht="18">
      <c r="A3" s="445" t="s">
        <v>0</v>
      </c>
      <c r="B3" s="446"/>
      <c r="C3" s="446"/>
      <c r="D3" s="447"/>
      <c r="E3" s="447"/>
      <c r="F3" s="446"/>
      <c r="G3" s="446" t="s">
        <v>14</v>
      </c>
      <c r="H3" s="446"/>
      <c r="I3" s="446"/>
      <c r="J3" s="446"/>
      <c r="K3" s="446"/>
      <c r="L3" s="448" t="s">
        <v>366</v>
      </c>
      <c r="M3" s="447"/>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c r="BP3" s="449"/>
      <c r="BQ3" s="449"/>
      <c r="BR3" s="449"/>
      <c r="BS3" s="449"/>
      <c r="BT3" s="449"/>
      <c r="BU3" s="449"/>
      <c r="BV3" s="449"/>
      <c r="BW3" s="449"/>
      <c r="BX3" s="449"/>
      <c r="BY3" s="449"/>
      <c r="BZ3" s="449"/>
      <c r="CA3" s="449"/>
      <c r="CB3" s="449"/>
      <c r="CC3" s="449"/>
      <c r="CD3" s="449"/>
      <c r="CE3" s="449"/>
      <c r="CF3" s="449"/>
      <c r="CG3" s="449"/>
      <c r="CH3" s="449"/>
      <c r="CI3" s="449"/>
      <c r="CJ3" s="449"/>
      <c r="CK3" s="449"/>
      <c r="CL3" s="449"/>
      <c r="CM3" s="449"/>
      <c r="CN3" s="449"/>
      <c r="CO3" s="449"/>
      <c r="CP3" s="449"/>
      <c r="CQ3" s="449"/>
      <c r="CR3" s="449"/>
      <c r="CS3" s="449"/>
      <c r="CT3" s="449"/>
      <c r="CU3" s="449"/>
      <c r="CV3" s="449"/>
      <c r="CW3" s="449"/>
      <c r="CX3" s="449"/>
      <c r="CY3" s="449"/>
      <c r="CZ3" s="449"/>
      <c r="DA3" s="449"/>
      <c r="DB3" s="449"/>
      <c r="DC3" s="449"/>
      <c r="DD3" s="449"/>
      <c r="DE3" s="449"/>
      <c r="DF3" s="449"/>
      <c r="DG3" s="449"/>
      <c r="DH3" s="449"/>
      <c r="DI3" s="449"/>
      <c r="DJ3" s="449"/>
      <c r="DK3" s="449"/>
      <c r="DL3" s="449"/>
      <c r="DM3" s="449"/>
      <c r="DN3" s="449"/>
      <c r="DO3" s="449"/>
      <c r="DP3" s="449"/>
      <c r="DQ3" s="449"/>
      <c r="DR3" s="449"/>
      <c r="DS3" s="449"/>
      <c r="DT3" s="449"/>
      <c r="DU3" s="449"/>
      <c r="DV3" s="449"/>
      <c r="DW3" s="449"/>
      <c r="DX3" s="449"/>
      <c r="DY3" s="449"/>
      <c r="DZ3" s="449"/>
      <c r="EA3" s="449"/>
      <c r="EB3" s="449"/>
      <c r="EC3" s="449"/>
      <c r="ED3" s="449"/>
      <c r="EE3" s="449"/>
      <c r="EF3" s="449"/>
      <c r="EG3" s="449"/>
      <c r="EH3" s="449"/>
      <c r="EI3" s="449"/>
      <c r="EJ3" s="449"/>
      <c r="EK3" s="449"/>
      <c r="EL3" s="449"/>
      <c r="EM3" s="449"/>
      <c r="EN3" s="449"/>
      <c r="EO3" s="449"/>
      <c r="EP3" s="449"/>
      <c r="EQ3" s="449"/>
      <c r="ER3" s="449"/>
      <c r="ES3" s="449"/>
      <c r="ET3" s="449"/>
      <c r="EU3" s="449"/>
      <c r="EV3" s="449"/>
      <c r="EW3" s="449"/>
      <c r="EX3" s="449"/>
      <c r="EY3" s="449"/>
      <c r="EZ3" s="449"/>
      <c r="FA3" s="449"/>
      <c r="FB3" s="449"/>
      <c r="FC3" s="449"/>
      <c r="FD3" s="449"/>
      <c r="FE3" s="449"/>
      <c r="FF3" s="449"/>
      <c r="FG3" s="449"/>
      <c r="FH3" s="449"/>
      <c r="FI3" s="449"/>
      <c r="FJ3" s="449"/>
      <c r="FK3" s="449"/>
      <c r="FL3" s="449"/>
      <c r="FM3" s="449"/>
      <c r="FN3" s="449"/>
      <c r="FO3" s="449"/>
      <c r="FP3" s="449"/>
      <c r="FQ3" s="449"/>
      <c r="FR3" s="449"/>
      <c r="FS3" s="449"/>
      <c r="FT3" s="449"/>
      <c r="FU3" s="449"/>
      <c r="FV3" s="449"/>
      <c r="FW3" s="449"/>
      <c r="FX3" s="449"/>
      <c r="FY3" s="449"/>
      <c r="FZ3" s="449"/>
      <c r="GA3" s="449"/>
      <c r="GB3" s="449"/>
      <c r="GC3" s="449"/>
      <c r="GD3" s="449"/>
      <c r="GE3" s="449"/>
      <c r="GF3" s="449"/>
      <c r="GG3" s="449"/>
      <c r="GH3" s="449"/>
      <c r="GI3" s="449"/>
      <c r="GJ3" s="449"/>
      <c r="GK3" s="449"/>
      <c r="GL3" s="449"/>
      <c r="GM3" s="449"/>
      <c r="GN3" s="449"/>
      <c r="GO3" s="449"/>
      <c r="GP3" s="449"/>
      <c r="GQ3" s="449"/>
      <c r="GR3" s="449"/>
      <c r="GS3" s="449"/>
      <c r="GT3" s="449"/>
      <c r="GU3" s="449"/>
      <c r="GV3" s="449"/>
      <c r="GW3" s="449"/>
      <c r="GX3" s="449"/>
      <c r="GY3" s="449"/>
      <c r="GZ3" s="449"/>
      <c r="HA3" s="449"/>
      <c r="HB3" s="449"/>
      <c r="HC3" s="449"/>
      <c r="HD3" s="449"/>
      <c r="HE3" s="449"/>
      <c r="HF3" s="449"/>
      <c r="HG3" s="449"/>
      <c r="HH3" s="449"/>
      <c r="HI3" s="449"/>
      <c r="HJ3" s="449"/>
      <c r="HK3" s="449"/>
      <c r="HL3" s="449"/>
      <c r="HM3" s="449"/>
      <c r="HN3" s="449"/>
      <c r="HO3" s="449"/>
      <c r="HP3" s="449"/>
      <c r="HQ3" s="449"/>
      <c r="HR3" s="449"/>
      <c r="HS3" s="449"/>
      <c r="HT3" s="449"/>
      <c r="HU3" s="449"/>
      <c r="HV3" s="449"/>
      <c r="HW3" s="449"/>
      <c r="HX3" s="449"/>
      <c r="HY3" s="449"/>
      <c r="HZ3" s="449"/>
      <c r="IA3" s="449"/>
      <c r="IB3" s="449"/>
      <c r="IC3" s="449"/>
      <c r="ID3" s="449"/>
      <c r="IE3" s="449"/>
      <c r="IF3" s="449"/>
      <c r="IG3" s="449"/>
      <c r="IH3" s="449"/>
      <c r="II3" s="449"/>
      <c r="IJ3" s="449"/>
      <c r="IK3" s="449"/>
      <c r="IL3" s="449"/>
      <c r="IM3" s="449"/>
      <c r="IN3" s="449"/>
      <c r="IO3" s="449"/>
      <c r="IP3" s="449"/>
      <c r="IQ3" s="449"/>
      <c r="IR3" s="449"/>
      <c r="IS3" s="449"/>
      <c r="IT3" s="449"/>
      <c r="IU3" s="449"/>
      <c r="IV3" s="449"/>
    </row>
    <row r="4" spans="1:256" ht="18">
      <c r="A4" s="445" t="s">
        <v>367</v>
      </c>
      <c r="B4" s="446"/>
      <c r="C4" s="446"/>
      <c r="D4" s="447"/>
      <c r="E4" s="447"/>
      <c r="F4" s="446"/>
      <c r="G4" s="446"/>
      <c r="H4" s="446"/>
      <c r="I4" s="446"/>
      <c r="J4" s="446"/>
      <c r="K4" s="446"/>
      <c r="L4" s="450"/>
      <c r="M4" s="447"/>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449"/>
      <c r="BY4" s="449"/>
      <c r="BZ4" s="449"/>
      <c r="CA4" s="449"/>
      <c r="CB4" s="449"/>
      <c r="CC4" s="449"/>
      <c r="CD4" s="449"/>
      <c r="CE4" s="449"/>
      <c r="CF4" s="449"/>
      <c r="CG4" s="449"/>
      <c r="CH4" s="449"/>
      <c r="CI4" s="449"/>
      <c r="CJ4" s="449"/>
      <c r="CK4" s="449"/>
      <c r="CL4" s="449"/>
      <c r="CM4" s="449"/>
      <c r="CN4" s="449"/>
      <c r="CO4" s="449"/>
      <c r="CP4" s="449"/>
      <c r="CQ4" s="449"/>
      <c r="CR4" s="449"/>
      <c r="CS4" s="449"/>
      <c r="CT4" s="449"/>
      <c r="CU4" s="449"/>
      <c r="CV4" s="449"/>
      <c r="CW4" s="449"/>
      <c r="CX4" s="449"/>
      <c r="CY4" s="449"/>
      <c r="CZ4" s="449"/>
      <c r="DA4" s="449"/>
      <c r="DB4" s="449"/>
      <c r="DC4" s="449"/>
      <c r="DD4" s="449"/>
      <c r="DE4" s="449"/>
      <c r="DF4" s="449"/>
      <c r="DG4" s="449"/>
      <c r="DH4" s="449"/>
      <c r="DI4" s="449"/>
      <c r="DJ4" s="449"/>
      <c r="DK4" s="449"/>
      <c r="DL4" s="449"/>
      <c r="DM4" s="449"/>
      <c r="DN4" s="449"/>
      <c r="DO4" s="449"/>
      <c r="DP4" s="449"/>
      <c r="DQ4" s="449"/>
      <c r="DR4" s="449"/>
      <c r="DS4" s="449"/>
      <c r="DT4" s="449"/>
      <c r="DU4" s="449"/>
      <c r="DV4" s="449"/>
      <c r="DW4" s="449"/>
      <c r="DX4" s="449"/>
      <c r="DY4" s="449"/>
      <c r="DZ4" s="449"/>
      <c r="EA4" s="449"/>
      <c r="EB4" s="449"/>
      <c r="EC4" s="449"/>
      <c r="ED4" s="449"/>
      <c r="EE4" s="449"/>
      <c r="EF4" s="449"/>
      <c r="EG4" s="449"/>
      <c r="EH4" s="449"/>
      <c r="EI4" s="449"/>
      <c r="EJ4" s="449"/>
      <c r="EK4" s="449"/>
      <c r="EL4" s="449"/>
      <c r="EM4" s="449"/>
      <c r="EN4" s="449"/>
      <c r="EO4" s="449"/>
      <c r="EP4" s="449"/>
      <c r="EQ4" s="449"/>
      <c r="ER4" s="449"/>
      <c r="ES4" s="449"/>
      <c r="ET4" s="449"/>
      <c r="EU4" s="449"/>
      <c r="EV4" s="449"/>
      <c r="EW4" s="449"/>
      <c r="EX4" s="449"/>
      <c r="EY4" s="449"/>
      <c r="EZ4" s="449"/>
      <c r="FA4" s="449"/>
      <c r="FB4" s="449"/>
      <c r="FC4" s="449"/>
      <c r="FD4" s="449"/>
      <c r="FE4" s="449"/>
      <c r="FF4" s="449"/>
      <c r="FG4" s="449"/>
      <c r="FH4" s="449"/>
      <c r="FI4" s="449"/>
      <c r="FJ4" s="449"/>
      <c r="FK4" s="449"/>
      <c r="FL4" s="449"/>
      <c r="FM4" s="449"/>
      <c r="FN4" s="449"/>
      <c r="FO4" s="449"/>
      <c r="FP4" s="449"/>
      <c r="FQ4" s="449"/>
      <c r="FR4" s="449"/>
      <c r="FS4" s="449"/>
      <c r="FT4" s="449"/>
      <c r="FU4" s="449"/>
      <c r="FV4" s="449"/>
      <c r="FW4" s="449"/>
      <c r="FX4" s="449"/>
      <c r="FY4" s="449"/>
      <c r="FZ4" s="449"/>
      <c r="GA4" s="449"/>
      <c r="GB4" s="449"/>
      <c r="GC4" s="449"/>
      <c r="GD4" s="449"/>
      <c r="GE4" s="449"/>
      <c r="GF4" s="449"/>
      <c r="GG4" s="449"/>
      <c r="GH4" s="449"/>
      <c r="GI4" s="449"/>
      <c r="GJ4" s="449"/>
      <c r="GK4" s="449"/>
      <c r="GL4" s="449"/>
      <c r="GM4" s="449"/>
      <c r="GN4" s="449"/>
      <c r="GO4" s="449"/>
      <c r="GP4" s="449"/>
      <c r="GQ4" s="449"/>
      <c r="GR4" s="449"/>
      <c r="GS4" s="449"/>
      <c r="GT4" s="449"/>
      <c r="GU4" s="449"/>
      <c r="GV4" s="449"/>
      <c r="GW4" s="449"/>
      <c r="GX4" s="449"/>
      <c r="GY4" s="449"/>
      <c r="GZ4" s="449"/>
      <c r="HA4" s="449"/>
      <c r="HB4" s="449"/>
      <c r="HC4" s="449"/>
      <c r="HD4" s="449"/>
      <c r="HE4" s="449"/>
      <c r="HF4" s="449"/>
      <c r="HG4" s="449"/>
      <c r="HH4" s="449"/>
      <c r="HI4" s="449"/>
      <c r="HJ4" s="449"/>
      <c r="HK4" s="449"/>
      <c r="HL4" s="449"/>
      <c r="HM4" s="449"/>
      <c r="HN4" s="449"/>
      <c r="HO4" s="449"/>
      <c r="HP4" s="449"/>
      <c r="HQ4" s="449"/>
      <c r="HR4" s="449"/>
      <c r="HS4" s="449"/>
      <c r="HT4" s="449"/>
      <c r="HU4" s="449"/>
      <c r="HV4" s="449"/>
      <c r="HW4" s="449"/>
      <c r="HX4" s="449"/>
      <c r="HY4" s="449"/>
      <c r="HZ4" s="449"/>
      <c r="IA4" s="449"/>
      <c r="IB4" s="449"/>
      <c r="IC4" s="449"/>
      <c r="ID4" s="449"/>
      <c r="IE4" s="449"/>
      <c r="IF4" s="449"/>
      <c r="IG4" s="449"/>
      <c r="IH4" s="449"/>
      <c r="II4" s="449"/>
      <c r="IJ4" s="449"/>
      <c r="IK4" s="449"/>
      <c r="IL4" s="449"/>
      <c r="IM4" s="449"/>
      <c r="IN4" s="449"/>
      <c r="IO4" s="449"/>
      <c r="IP4" s="449"/>
      <c r="IQ4" s="449"/>
      <c r="IR4" s="449"/>
      <c r="IS4" s="449"/>
      <c r="IT4" s="449"/>
      <c r="IU4" s="449"/>
      <c r="IV4" s="449"/>
    </row>
    <row r="5" spans="1:256" ht="18">
      <c r="A5" s="451" t="s">
        <v>1191</v>
      </c>
      <c r="B5" s="446"/>
      <c r="C5" s="446"/>
      <c r="D5" s="447"/>
      <c r="E5" s="447"/>
      <c r="F5" s="446"/>
      <c r="G5" s="446"/>
      <c r="H5" s="446"/>
      <c r="I5" s="446"/>
      <c r="J5" s="446"/>
      <c r="K5" s="446"/>
      <c r="L5" s="446"/>
      <c r="M5" s="447"/>
      <c r="N5" s="449"/>
      <c r="O5" s="449"/>
      <c r="P5" s="449"/>
      <c r="Q5" s="449"/>
      <c r="R5" s="449"/>
      <c r="S5" s="449"/>
      <c r="T5" s="449"/>
      <c r="U5" s="449"/>
      <c r="V5" s="449"/>
      <c r="W5" s="449"/>
      <c r="X5" s="449"/>
      <c r="Y5" s="449"/>
      <c r="Z5" s="449"/>
      <c r="AA5" s="449"/>
      <c r="AB5" s="449"/>
      <c r="AC5" s="449"/>
      <c r="AD5" s="449"/>
      <c r="AE5" s="449"/>
      <c r="AF5" s="449"/>
      <c r="AG5" s="449"/>
      <c r="AH5" s="449"/>
      <c r="AI5" s="449"/>
      <c r="AJ5" s="449"/>
      <c r="AK5" s="449"/>
      <c r="AL5" s="449"/>
      <c r="AM5" s="449"/>
      <c r="AN5" s="449"/>
      <c r="AO5" s="449"/>
      <c r="AP5" s="449"/>
      <c r="AQ5" s="449"/>
      <c r="AR5" s="449"/>
      <c r="AS5" s="449"/>
      <c r="AT5" s="449"/>
      <c r="AU5" s="449"/>
      <c r="AV5" s="449"/>
      <c r="AW5" s="449"/>
      <c r="AX5" s="449"/>
      <c r="AY5" s="449"/>
      <c r="AZ5" s="449"/>
      <c r="BA5" s="449"/>
      <c r="BB5" s="449"/>
      <c r="BC5" s="449"/>
      <c r="BD5" s="449"/>
      <c r="BE5" s="449"/>
      <c r="BF5" s="449"/>
      <c r="BG5" s="449"/>
      <c r="BH5" s="449"/>
      <c r="BI5" s="449"/>
      <c r="BJ5" s="449"/>
      <c r="BK5" s="449"/>
      <c r="BL5" s="449"/>
      <c r="BM5" s="449"/>
      <c r="BN5" s="449"/>
      <c r="BO5" s="449"/>
      <c r="BP5" s="449"/>
      <c r="BQ5" s="449"/>
      <c r="BR5" s="449"/>
      <c r="BS5" s="449"/>
      <c r="BT5" s="449"/>
      <c r="BU5" s="449"/>
      <c r="BV5" s="449"/>
      <c r="BW5" s="449"/>
      <c r="BX5" s="449"/>
      <c r="BY5" s="449"/>
      <c r="BZ5" s="449"/>
      <c r="CA5" s="449"/>
      <c r="CB5" s="449"/>
      <c r="CC5" s="449"/>
      <c r="CD5" s="449"/>
      <c r="CE5" s="449"/>
      <c r="CF5" s="449"/>
      <c r="CG5" s="449"/>
      <c r="CH5" s="449"/>
      <c r="CI5" s="449"/>
      <c r="CJ5" s="449"/>
      <c r="CK5" s="449"/>
      <c r="CL5" s="449"/>
      <c r="CM5" s="449"/>
      <c r="CN5" s="449"/>
      <c r="CO5" s="449"/>
      <c r="CP5" s="449"/>
      <c r="CQ5" s="449"/>
      <c r="CR5" s="449"/>
      <c r="CS5" s="449"/>
      <c r="CT5" s="449"/>
      <c r="CU5" s="449"/>
      <c r="CV5" s="449"/>
      <c r="CW5" s="449"/>
      <c r="CX5" s="449"/>
      <c r="CY5" s="449"/>
      <c r="CZ5" s="449"/>
      <c r="DA5" s="449"/>
      <c r="DB5" s="449"/>
      <c r="DC5" s="449"/>
      <c r="DD5" s="449"/>
      <c r="DE5" s="449"/>
      <c r="DF5" s="449"/>
      <c r="DG5" s="449"/>
      <c r="DH5" s="449"/>
      <c r="DI5" s="449"/>
      <c r="DJ5" s="449"/>
      <c r="DK5" s="449"/>
      <c r="DL5" s="449"/>
      <c r="DM5" s="449"/>
      <c r="DN5" s="449"/>
      <c r="DO5" s="449"/>
      <c r="DP5" s="449"/>
      <c r="DQ5" s="449"/>
      <c r="DR5" s="449"/>
      <c r="DS5" s="449"/>
      <c r="DT5" s="449"/>
      <c r="DU5" s="449"/>
      <c r="DV5" s="449"/>
      <c r="DW5" s="449"/>
      <c r="DX5" s="449"/>
      <c r="DY5" s="449"/>
      <c r="DZ5" s="449"/>
      <c r="EA5" s="449"/>
      <c r="EB5" s="449"/>
      <c r="EC5" s="449"/>
      <c r="ED5" s="449"/>
      <c r="EE5" s="449"/>
      <c r="EF5" s="449"/>
      <c r="EG5" s="449"/>
      <c r="EH5" s="449"/>
      <c r="EI5" s="449"/>
      <c r="EJ5" s="449"/>
      <c r="EK5" s="449"/>
      <c r="EL5" s="449"/>
      <c r="EM5" s="449"/>
      <c r="EN5" s="449"/>
      <c r="EO5" s="449"/>
      <c r="EP5" s="449"/>
      <c r="EQ5" s="449"/>
      <c r="ER5" s="449"/>
      <c r="ES5" s="449"/>
      <c r="ET5" s="449"/>
      <c r="EU5" s="449"/>
      <c r="EV5" s="449"/>
      <c r="EW5" s="449"/>
      <c r="EX5" s="449"/>
      <c r="EY5" s="449"/>
      <c r="EZ5" s="449"/>
      <c r="FA5" s="449"/>
      <c r="FB5" s="449"/>
      <c r="FC5" s="449"/>
      <c r="FD5" s="449"/>
      <c r="FE5" s="449"/>
      <c r="FF5" s="449"/>
      <c r="FG5" s="449"/>
      <c r="FH5" s="449"/>
      <c r="FI5" s="449"/>
      <c r="FJ5" s="449"/>
      <c r="FK5" s="449"/>
      <c r="FL5" s="449"/>
      <c r="FM5" s="449"/>
      <c r="FN5" s="449"/>
      <c r="FO5" s="449"/>
      <c r="FP5" s="449"/>
      <c r="FQ5" s="449"/>
      <c r="FR5" s="449"/>
      <c r="FS5" s="449"/>
      <c r="FT5" s="449"/>
      <c r="FU5" s="449"/>
      <c r="FV5" s="449"/>
      <c r="FW5" s="449"/>
      <c r="FX5" s="449"/>
      <c r="FY5" s="449"/>
      <c r="FZ5" s="449"/>
      <c r="GA5" s="449"/>
      <c r="GB5" s="449"/>
      <c r="GC5" s="449"/>
      <c r="GD5" s="449"/>
      <c r="GE5" s="449"/>
      <c r="GF5" s="449"/>
      <c r="GG5" s="449"/>
      <c r="GH5" s="449"/>
      <c r="GI5" s="449"/>
      <c r="GJ5" s="449"/>
      <c r="GK5" s="449"/>
      <c r="GL5" s="449"/>
      <c r="GM5" s="449"/>
      <c r="GN5" s="449"/>
      <c r="GO5" s="449"/>
      <c r="GP5" s="449"/>
      <c r="GQ5" s="449"/>
      <c r="GR5" s="449"/>
      <c r="GS5" s="449"/>
      <c r="GT5" s="449"/>
      <c r="GU5" s="449"/>
      <c r="GV5" s="449"/>
      <c r="GW5" s="449"/>
      <c r="GX5" s="449"/>
      <c r="GY5" s="449"/>
      <c r="GZ5" s="449"/>
      <c r="HA5" s="449"/>
      <c r="HB5" s="449"/>
      <c r="HC5" s="449"/>
      <c r="HD5" s="449"/>
      <c r="HE5" s="449"/>
      <c r="HF5" s="449"/>
      <c r="HG5" s="449"/>
      <c r="HH5" s="449"/>
      <c r="HI5" s="449"/>
      <c r="HJ5" s="449"/>
      <c r="HK5" s="449"/>
      <c r="HL5" s="449"/>
      <c r="HM5" s="449"/>
      <c r="HN5" s="449"/>
      <c r="HO5" s="449"/>
      <c r="HP5" s="449"/>
      <c r="HQ5" s="449"/>
      <c r="HR5" s="449"/>
      <c r="HS5" s="449"/>
      <c r="HT5" s="449"/>
      <c r="HU5" s="449"/>
      <c r="HV5" s="449"/>
      <c r="HW5" s="449"/>
      <c r="HX5" s="449"/>
      <c r="HY5" s="449"/>
      <c r="HZ5" s="449"/>
      <c r="IA5" s="449"/>
      <c r="IB5" s="449"/>
      <c r="IC5" s="449"/>
      <c r="ID5" s="449"/>
      <c r="IE5" s="449"/>
      <c r="IF5" s="449"/>
      <c r="IG5" s="449"/>
      <c r="IH5" s="449"/>
      <c r="II5" s="449"/>
      <c r="IJ5" s="449"/>
      <c r="IK5" s="449"/>
      <c r="IL5" s="449"/>
      <c r="IM5" s="449"/>
      <c r="IN5" s="449"/>
      <c r="IO5" s="449"/>
      <c r="IP5" s="449"/>
      <c r="IQ5" s="449"/>
      <c r="IR5" s="449"/>
      <c r="IS5" s="449"/>
      <c r="IT5" s="449"/>
      <c r="IU5" s="449"/>
      <c r="IV5" s="449"/>
    </row>
    <row r="6" spans="1:256" ht="18">
      <c r="A6" s="451" t="str">
        <f>'Sch 2 '!A7</f>
        <v>FISCAL YEAR 2021-2022</v>
      </c>
      <c r="B6" s="446"/>
      <c r="C6" s="446"/>
      <c r="D6" s="447"/>
      <c r="E6" s="447"/>
      <c r="F6" s="446"/>
      <c r="G6" s="446"/>
      <c r="H6" s="446"/>
      <c r="I6" s="446"/>
      <c r="J6" s="446"/>
      <c r="K6" s="446"/>
      <c r="L6" s="446"/>
      <c r="M6" s="447"/>
      <c r="N6" s="449"/>
      <c r="O6" s="449"/>
      <c r="P6" s="449"/>
      <c r="Q6" s="449"/>
      <c r="R6" s="449"/>
      <c r="S6" s="449"/>
      <c r="T6" s="449"/>
      <c r="U6" s="449"/>
      <c r="V6" s="449"/>
      <c r="W6" s="449"/>
      <c r="X6" s="449"/>
      <c r="Y6" s="449"/>
      <c r="Z6" s="449"/>
      <c r="AA6" s="449"/>
      <c r="AB6" s="449"/>
      <c r="AC6" s="449"/>
      <c r="AD6" s="449"/>
      <c r="AE6" s="449"/>
      <c r="AF6" s="449"/>
      <c r="AG6" s="449"/>
      <c r="AH6" s="449"/>
      <c r="AI6" s="449"/>
      <c r="AJ6" s="449"/>
      <c r="AK6" s="449"/>
      <c r="AL6" s="449"/>
      <c r="AM6" s="449"/>
      <c r="AN6" s="449"/>
      <c r="AO6" s="449"/>
      <c r="AP6" s="449"/>
      <c r="AQ6" s="449"/>
      <c r="AR6" s="449"/>
      <c r="AS6" s="449"/>
      <c r="AT6" s="449"/>
      <c r="AU6" s="449"/>
      <c r="AV6" s="449"/>
      <c r="AW6" s="449"/>
      <c r="AX6" s="449"/>
      <c r="AY6" s="449"/>
      <c r="AZ6" s="449"/>
      <c r="BA6" s="449"/>
      <c r="BB6" s="449"/>
      <c r="BC6" s="449"/>
      <c r="BD6" s="449"/>
      <c r="BE6" s="449"/>
      <c r="BF6" s="449"/>
      <c r="BG6" s="449"/>
      <c r="BH6" s="449"/>
      <c r="BI6" s="449"/>
      <c r="BJ6" s="449"/>
      <c r="BK6" s="449"/>
      <c r="BL6" s="449"/>
      <c r="BM6" s="449"/>
      <c r="BN6" s="449"/>
      <c r="BO6" s="449"/>
      <c r="BP6" s="449"/>
      <c r="BQ6" s="449"/>
      <c r="BR6" s="449"/>
      <c r="BS6" s="449"/>
      <c r="BT6" s="449"/>
      <c r="BU6" s="449"/>
      <c r="BV6" s="449"/>
      <c r="BW6" s="449"/>
      <c r="BX6" s="449"/>
      <c r="BY6" s="449"/>
      <c r="BZ6" s="449"/>
      <c r="CA6" s="449"/>
      <c r="CB6" s="449"/>
      <c r="CC6" s="449"/>
      <c r="CD6" s="449"/>
      <c r="CE6" s="449"/>
      <c r="CF6" s="449"/>
      <c r="CG6" s="449"/>
      <c r="CH6" s="449"/>
      <c r="CI6" s="449"/>
      <c r="CJ6" s="449"/>
      <c r="CK6" s="449"/>
      <c r="CL6" s="449"/>
      <c r="CM6" s="449"/>
      <c r="CN6" s="449"/>
      <c r="CO6" s="449"/>
      <c r="CP6" s="449"/>
      <c r="CQ6" s="449"/>
      <c r="CR6" s="449"/>
      <c r="CS6" s="449"/>
      <c r="CT6" s="449"/>
      <c r="CU6" s="449"/>
      <c r="CV6" s="449"/>
      <c r="CW6" s="449"/>
      <c r="CX6" s="449"/>
      <c r="CY6" s="449"/>
      <c r="CZ6" s="449"/>
      <c r="DA6" s="449"/>
      <c r="DB6" s="449"/>
      <c r="DC6" s="449"/>
      <c r="DD6" s="449"/>
      <c r="DE6" s="449"/>
      <c r="DF6" s="449"/>
      <c r="DG6" s="449"/>
      <c r="DH6" s="449"/>
      <c r="DI6" s="449"/>
      <c r="DJ6" s="449"/>
      <c r="DK6" s="449"/>
      <c r="DL6" s="449"/>
      <c r="DM6" s="449"/>
      <c r="DN6" s="449"/>
      <c r="DO6" s="449"/>
      <c r="DP6" s="449"/>
      <c r="DQ6" s="449"/>
      <c r="DR6" s="449"/>
      <c r="DS6" s="449"/>
      <c r="DT6" s="449"/>
      <c r="DU6" s="449"/>
      <c r="DV6" s="449"/>
      <c r="DW6" s="449"/>
      <c r="DX6" s="449"/>
      <c r="DY6" s="449"/>
      <c r="DZ6" s="449"/>
      <c r="EA6" s="449"/>
      <c r="EB6" s="449"/>
      <c r="EC6" s="449"/>
      <c r="ED6" s="449"/>
      <c r="EE6" s="449"/>
      <c r="EF6" s="449"/>
      <c r="EG6" s="449"/>
      <c r="EH6" s="449"/>
      <c r="EI6" s="449"/>
      <c r="EJ6" s="449"/>
      <c r="EK6" s="449"/>
      <c r="EL6" s="449"/>
      <c r="EM6" s="449"/>
      <c r="EN6" s="449"/>
      <c r="EO6" s="449"/>
      <c r="EP6" s="449"/>
      <c r="EQ6" s="449"/>
      <c r="ER6" s="449"/>
      <c r="ES6" s="449"/>
      <c r="ET6" s="449"/>
      <c r="EU6" s="449"/>
      <c r="EV6" s="449"/>
      <c r="EW6" s="449"/>
      <c r="EX6" s="449"/>
      <c r="EY6" s="449"/>
      <c r="EZ6" s="449"/>
      <c r="FA6" s="449"/>
      <c r="FB6" s="449"/>
      <c r="FC6" s="449"/>
      <c r="FD6" s="449"/>
      <c r="FE6" s="449"/>
      <c r="FF6" s="449"/>
      <c r="FG6" s="449"/>
      <c r="FH6" s="449"/>
      <c r="FI6" s="449"/>
      <c r="FJ6" s="449"/>
      <c r="FK6" s="449"/>
      <c r="FL6" s="449"/>
      <c r="FM6" s="449"/>
      <c r="FN6" s="449"/>
      <c r="FO6" s="449"/>
      <c r="FP6" s="449"/>
      <c r="FQ6" s="449"/>
      <c r="FR6" s="449"/>
      <c r="FS6" s="449"/>
      <c r="FT6" s="449"/>
      <c r="FU6" s="449"/>
      <c r="FV6" s="449"/>
      <c r="FW6" s="449"/>
      <c r="FX6" s="449"/>
      <c r="FY6" s="449"/>
      <c r="FZ6" s="449"/>
      <c r="GA6" s="449"/>
      <c r="GB6" s="449"/>
      <c r="GC6" s="449"/>
      <c r="GD6" s="449"/>
      <c r="GE6" s="449"/>
      <c r="GF6" s="449"/>
      <c r="GG6" s="449"/>
      <c r="GH6" s="449"/>
      <c r="GI6" s="449"/>
      <c r="GJ6" s="449"/>
      <c r="GK6" s="449"/>
      <c r="GL6" s="449"/>
      <c r="GM6" s="449"/>
      <c r="GN6" s="449"/>
      <c r="GO6" s="449"/>
      <c r="GP6" s="449"/>
      <c r="GQ6" s="449"/>
      <c r="GR6" s="449"/>
      <c r="GS6" s="449"/>
      <c r="GT6" s="449"/>
      <c r="GU6" s="449"/>
      <c r="GV6" s="449"/>
      <c r="GW6" s="449"/>
      <c r="GX6" s="449"/>
      <c r="GY6" s="449"/>
      <c r="GZ6" s="449"/>
      <c r="HA6" s="449"/>
      <c r="HB6" s="449"/>
      <c r="HC6" s="449"/>
      <c r="HD6" s="449"/>
      <c r="HE6" s="449"/>
      <c r="HF6" s="449"/>
      <c r="HG6" s="449"/>
      <c r="HH6" s="449"/>
      <c r="HI6" s="449"/>
      <c r="HJ6" s="449"/>
      <c r="HK6" s="449"/>
      <c r="HL6" s="449"/>
      <c r="HM6" s="449"/>
      <c r="HN6" s="449"/>
      <c r="HO6" s="449"/>
      <c r="HP6" s="449"/>
      <c r="HQ6" s="449"/>
      <c r="HR6" s="449"/>
      <c r="HS6" s="449"/>
      <c r="HT6" s="449"/>
      <c r="HU6" s="449"/>
      <c r="HV6" s="449"/>
      <c r="HW6" s="449"/>
      <c r="HX6" s="449"/>
      <c r="HY6" s="449"/>
      <c r="HZ6" s="449"/>
      <c r="IA6" s="449"/>
      <c r="IB6" s="449"/>
      <c r="IC6" s="449"/>
      <c r="ID6" s="449"/>
      <c r="IE6" s="449"/>
      <c r="IF6" s="449"/>
      <c r="IG6" s="449"/>
      <c r="IH6" s="449"/>
      <c r="II6" s="449"/>
      <c r="IJ6" s="449"/>
      <c r="IK6" s="449"/>
      <c r="IL6" s="449"/>
      <c r="IM6" s="449"/>
      <c r="IN6" s="449"/>
      <c r="IO6" s="449"/>
      <c r="IP6" s="449"/>
      <c r="IQ6" s="449"/>
      <c r="IR6" s="449"/>
      <c r="IS6" s="449"/>
      <c r="IT6" s="449"/>
      <c r="IU6" s="449"/>
      <c r="IV6" s="449"/>
    </row>
    <row r="7" spans="1:256" ht="18">
      <c r="A7" s="451" t="str">
        <f>'Sch 2 '!A8</f>
        <v>FOR THE MONTH OF SEPTEMBER 2021</v>
      </c>
      <c r="B7" s="446"/>
      <c r="C7" s="446"/>
      <c r="D7" s="447"/>
      <c r="E7" s="447"/>
      <c r="F7" s="446"/>
      <c r="G7" s="446"/>
      <c r="H7" s="446"/>
      <c r="I7" s="446"/>
      <c r="J7" s="446"/>
      <c r="K7" s="446"/>
      <c r="L7" s="446"/>
      <c r="M7" s="447"/>
      <c r="N7" s="449"/>
      <c r="O7" s="449"/>
      <c r="P7" s="449"/>
      <c r="Q7" s="449"/>
      <c r="R7" s="449"/>
      <c r="S7" s="449"/>
      <c r="T7" s="449"/>
      <c r="U7" s="449"/>
      <c r="V7" s="449"/>
      <c r="W7" s="449"/>
      <c r="X7" s="449"/>
      <c r="Y7" s="449"/>
      <c r="Z7" s="449"/>
      <c r="AA7" s="449"/>
      <c r="AB7" s="449"/>
      <c r="AC7" s="449"/>
      <c r="AD7" s="449"/>
      <c r="AE7" s="449"/>
      <c r="AF7" s="449"/>
      <c r="AG7" s="449"/>
      <c r="AH7" s="449"/>
      <c r="AI7" s="449"/>
      <c r="AJ7" s="449"/>
      <c r="AK7" s="449"/>
      <c r="AL7" s="449"/>
      <c r="AM7" s="449"/>
      <c r="AN7" s="449"/>
      <c r="AO7" s="449"/>
      <c r="AP7" s="449"/>
      <c r="AQ7" s="449"/>
      <c r="AR7" s="449"/>
      <c r="AS7" s="449"/>
      <c r="AT7" s="449"/>
      <c r="AU7" s="449"/>
      <c r="AV7" s="449"/>
      <c r="AW7" s="449"/>
      <c r="AX7" s="449"/>
      <c r="AY7" s="449"/>
      <c r="AZ7" s="449"/>
      <c r="BA7" s="449"/>
      <c r="BB7" s="449"/>
      <c r="BC7" s="449"/>
      <c r="BD7" s="449"/>
      <c r="BE7" s="449"/>
      <c r="BF7" s="449"/>
      <c r="BG7" s="449"/>
      <c r="BH7" s="449"/>
      <c r="BI7" s="449"/>
      <c r="BJ7" s="449"/>
      <c r="BK7" s="449"/>
      <c r="BL7" s="449"/>
      <c r="BM7" s="449"/>
      <c r="BN7" s="449"/>
      <c r="BO7" s="449"/>
      <c r="BP7" s="449"/>
      <c r="BQ7" s="449"/>
      <c r="BR7" s="449"/>
      <c r="BS7" s="449"/>
      <c r="BT7" s="449"/>
      <c r="BU7" s="449"/>
      <c r="BV7" s="449"/>
      <c r="BW7" s="449"/>
      <c r="BX7" s="449"/>
      <c r="BY7" s="449"/>
      <c r="BZ7" s="449"/>
      <c r="CA7" s="449"/>
      <c r="CB7" s="449"/>
      <c r="CC7" s="449"/>
      <c r="CD7" s="449"/>
      <c r="CE7" s="449"/>
      <c r="CF7" s="449"/>
      <c r="CG7" s="449"/>
      <c r="CH7" s="449"/>
      <c r="CI7" s="449"/>
      <c r="CJ7" s="449"/>
      <c r="CK7" s="449"/>
      <c r="CL7" s="449"/>
      <c r="CM7" s="449"/>
      <c r="CN7" s="449"/>
      <c r="CO7" s="449"/>
      <c r="CP7" s="449"/>
      <c r="CQ7" s="449"/>
      <c r="CR7" s="449"/>
      <c r="CS7" s="449"/>
      <c r="CT7" s="449"/>
      <c r="CU7" s="449"/>
      <c r="CV7" s="449"/>
      <c r="CW7" s="449"/>
      <c r="CX7" s="449"/>
      <c r="CY7" s="449"/>
      <c r="CZ7" s="449"/>
      <c r="DA7" s="449"/>
      <c r="DB7" s="449"/>
      <c r="DC7" s="449"/>
      <c r="DD7" s="449"/>
      <c r="DE7" s="449"/>
      <c r="DF7" s="449"/>
      <c r="DG7" s="449"/>
      <c r="DH7" s="449"/>
      <c r="DI7" s="449"/>
      <c r="DJ7" s="449"/>
      <c r="DK7" s="449"/>
      <c r="DL7" s="449"/>
      <c r="DM7" s="449"/>
      <c r="DN7" s="449"/>
      <c r="DO7" s="449"/>
      <c r="DP7" s="449"/>
      <c r="DQ7" s="449"/>
      <c r="DR7" s="449"/>
      <c r="DS7" s="449"/>
      <c r="DT7" s="449"/>
      <c r="DU7" s="449"/>
      <c r="DV7" s="449"/>
      <c r="DW7" s="449"/>
      <c r="DX7" s="449"/>
      <c r="DY7" s="449"/>
      <c r="DZ7" s="449"/>
      <c r="EA7" s="449"/>
      <c r="EB7" s="449"/>
      <c r="EC7" s="449"/>
      <c r="ED7" s="449"/>
      <c r="EE7" s="449"/>
      <c r="EF7" s="449"/>
      <c r="EG7" s="449"/>
      <c r="EH7" s="449"/>
      <c r="EI7" s="449"/>
      <c r="EJ7" s="449"/>
      <c r="EK7" s="449"/>
      <c r="EL7" s="449"/>
      <c r="EM7" s="449"/>
      <c r="EN7" s="449"/>
      <c r="EO7" s="449"/>
      <c r="EP7" s="449"/>
      <c r="EQ7" s="449"/>
      <c r="ER7" s="449"/>
      <c r="ES7" s="449"/>
      <c r="ET7" s="449"/>
      <c r="EU7" s="449"/>
      <c r="EV7" s="449"/>
      <c r="EW7" s="449"/>
      <c r="EX7" s="449"/>
      <c r="EY7" s="449"/>
      <c r="EZ7" s="449"/>
      <c r="FA7" s="449"/>
      <c r="FB7" s="449"/>
      <c r="FC7" s="449"/>
      <c r="FD7" s="449"/>
      <c r="FE7" s="449"/>
      <c r="FF7" s="449"/>
      <c r="FG7" s="449"/>
      <c r="FH7" s="449"/>
      <c r="FI7" s="449"/>
      <c r="FJ7" s="449"/>
      <c r="FK7" s="449"/>
      <c r="FL7" s="449"/>
      <c r="FM7" s="449"/>
      <c r="FN7" s="449"/>
      <c r="FO7" s="449"/>
      <c r="FP7" s="449"/>
      <c r="FQ7" s="449"/>
      <c r="FR7" s="449"/>
      <c r="FS7" s="449"/>
      <c r="FT7" s="449"/>
      <c r="FU7" s="449"/>
      <c r="FV7" s="449"/>
      <c r="FW7" s="449"/>
      <c r="FX7" s="449"/>
      <c r="FY7" s="449"/>
      <c r="FZ7" s="449"/>
      <c r="GA7" s="449"/>
      <c r="GB7" s="449"/>
      <c r="GC7" s="449"/>
      <c r="GD7" s="449"/>
      <c r="GE7" s="449"/>
      <c r="GF7" s="449"/>
      <c r="GG7" s="449"/>
      <c r="GH7" s="449"/>
      <c r="GI7" s="449"/>
      <c r="GJ7" s="449"/>
      <c r="GK7" s="449"/>
      <c r="GL7" s="449"/>
      <c r="GM7" s="449"/>
      <c r="GN7" s="449"/>
      <c r="GO7" s="449"/>
      <c r="GP7" s="449"/>
      <c r="GQ7" s="449"/>
      <c r="GR7" s="449"/>
      <c r="GS7" s="449"/>
      <c r="GT7" s="449"/>
      <c r="GU7" s="449"/>
      <c r="GV7" s="449"/>
      <c r="GW7" s="449"/>
      <c r="GX7" s="449"/>
      <c r="GY7" s="449"/>
      <c r="GZ7" s="449"/>
      <c r="HA7" s="449"/>
      <c r="HB7" s="449"/>
      <c r="HC7" s="449"/>
      <c r="HD7" s="449"/>
      <c r="HE7" s="449"/>
      <c r="HF7" s="449"/>
      <c r="HG7" s="449"/>
      <c r="HH7" s="449"/>
      <c r="HI7" s="449"/>
      <c r="HJ7" s="449"/>
      <c r="HK7" s="449"/>
      <c r="HL7" s="449"/>
      <c r="HM7" s="449"/>
      <c r="HN7" s="449"/>
      <c r="HO7" s="449"/>
      <c r="HP7" s="449"/>
      <c r="HQ7" s="449"/>
      <c r="HR7" s="449"/>
      <c r="HS7" s="449"/>
      <c r="HT7" s="449"/>
      <c r="HU7" s="449"/>
      <c r="HV7" s="449"/>
      <c r="HW7" s="449"/>
      <c r="HX7" s="449"/>
      <c r="HY7" s="449"/>
      <c r="HZ7" s="449"/>
      <c r="IA7" s="449"/>
      <c r="IB7" s="449"/>
      <c r="IC7" s="449"/>
      <c r="ID7" s="449"/>
      <c r="IE7" s="449"/>
      <c r="IF7" s="449"/>
      <c r="IG7" s="449"/>
      <c r="IH7" s="449"/>
      <c r="II7" s="449"/>
      <c r="IJ7" s="449"/>
      <c r="IK7" s="449"/>
      <c r="IL7" s="449"/>
      <c r="IM7" s="449"/>
      <c r="IN7" s="449"/>
      <c r="IO7" s="449"/>
      <c r="IP7" s="449"/>
      <c r="IQ7" s="449"/>
      <c r="IR7" s="449"/>
      <c r="IS7" s="449"/>
      <c r="IT7" s="449"/>
      <c r="IU7" s="449"/>
      <c r="IV7" s="449"/>
    </row>
    <row r="8" spans="1:256" ht="18">
      <c r="A8" s="792" t="s">
        <v>1277</v>
      </c>
      <c r="B8" s="446"/>
      <c r="C8" s="446"/>
      <c r="D8" s="447"/>
      <c r="E8" s="447"/>
      <c r="F8" s="446"/>
      <c r="G8" s="446"/>
      <c r="H8" s="446"/>
      <c r="I8" s="446"/>
      <c r="J8" s="446"/>
      <c r="K8" s="446"/>
      <c r="L8" s="446"/>
      <c r="M8" s="447"/>
      <c r="N8" s="449"/>
      <c r="O8" s="449"/>
      <c r="P8" s="449"/>
      <c r="Q8" s="449"/>
      <c r="R8" s="449"/>
      <c r="S8" s="449"/>
      <c r="T8" s="449"/>
      <c r="U8" s="449"/>
      <c r="V8" s="449"/>
      <c r="W8" s="449"/>
      <c r="X8" s="449"/>
      <c r="Y8" s="449"/>
      <c r="Z8" s="449"/>
      <c r="AA8" s="449"/>
      <c r="AB8" s="449"/>
      <c r="AC8" s="449"/>
      <c r="AD8" s="449"/>
      <c r="AE8" s="449"/>
      <c r="AF8" s="449"/>
      <c r="AG8" s="449"/>
      <c r="AH8" s="449"/>
      <c r="AI8" s="449"/>
      <c r="AJ8" s="449"/>
      <c r="AK8" s="449"/>
      <c r="AL8" s="449"/>
      <c r="AM8" s="449"/>
      <c r="AN8" s="449"/>
      <c r="AO8" s="449"/>
      <c r="AP8" s="449"/>
      <c r="AQ8" s="449"/>
      <c r="AR8" s="449"/>
      <c r="AS8" s="449"/>
      <c r="AT8" s="449"/>
      <c r="AU8" s="449"/>
      <c r="AV8" s="449"/>
      <c r="AW8" s="449"/>
      <c r="AX8" s="449"/>
      <c r="AY8" s="449"/>
      <c r="AZ8" s="449"/>
      <c r="BA8" s="449"/>
      <c r="BB8" s="449"/>
      <c r="BC8" s="449"/>
      <c r="BD8" s="449"/>
      <c r="BE8" s="449"/>
      <c r="BF8" s="449"/>
      <c r="BG8" s="449"/>
      <c r="BH8" s="449"/>
      <c r="BI8" s="449"/>
      <c r="BJ8" s="449"/>
      <c r="BK8" s="449"/>
      <c r="BL8" s="449"/>
      <c r="BM8" s="449"/>
      <c r="BN8" s="449"/>
      <c r="BO8" s="449"/>
      <c r="BP8" s="449"/>
      <c r="BQ8" s="449"/>
      <c r="BR8" s="449"/>
      <c r="BS8" s="449"/>
      <c r="BT8" s="449"/>
      <c r="BU8" s="449"/>
      <c r="BV8" s="449"/>
      <c r="BW8" s="449"/>
      <c r="BX8" s="449"/>
      <c r="BY8" s="449"/>
      <c r="BZ8" s="449"/>
      <c r="CA8" s="449"/>
      <c r="CB8" s="449"/>
      <c r="CC8" s="449"/>
      <c r="CD8" s="449"/>
      <c r="CE8" s="449"/>
      <c r="CF8" s="449"/>
      <c r="CG8" s="449"/>
      <c r="CH8" s="449"/>
      <c r="CI8" s="449"/>
      <c r="CJ8" s="449"/>
      <c r="CK8" s="449"/>
      <c r="CL8" s="449"/>
      <c r="CM8" s="449"/>
      <c r="CN8" s="449"/>
      <c r="CO8" s="449"/>
      <c r="CP8" s="449"/>
      <c r="CQ8" s="449"/>
      <c r="CR8" s="449"/>
      <c r="CS8" s="449"/>
      <c r="CT8" s="449"/>
      <c r="CU8" s="449"/>
      <c r="CV8" s="449"/>
      <c r="CW8" s="449"/>
      <c r="CX8" s="449"/>
      <c r="CY8" s="449"/>
      <c r="CZ8" s="449"/>
      <c r="DA8" s="449"/>
      <c r="DB8" s="449"/>
      <c r="DC8" s="449"/>
      <c r="DD8" s="449"/>
      <c r="DE8" s="449"/>
      <c r="DF8" s="449"/>
      <c r="DG8" s="449"/>
      <c r="DH8" s="449"/>
      <c r="DI8" s="449"/>
      <c r="DJ8" s="449"/>
      <c r="DK8" s="449"/>
      <c r="DL8" s="449"/>
      <c r="DM8" s="449"/>
      <c r="DN8" s="449"/>
      <c r="DO8" s="449"/>
      <c r="DP8" s="449"/>
      <c r="DQ8" s="449"/>
      <c r="DR8" s="449"/>
      <c r="DS8" s="449"/>
      <c r="DT8" s="449"/>
      <c r="DU8" s="449"/>
      <c r="DV8" s="449"/>
      <c r="DW8" s="449"/>
      <c r="DX8" s="449"/>
      <c r="DY8" s="449"/>
      <c r="DZ8" s="449"/>
      <c r="EA8" s="449"/>
      <c r="EB8" s="449"/>
      <c r="EC8" s="449"/>
      <c r="ED8" s="449"/>
      <c r="EE8" s="449"/>
      <c r="EF8" s="449"/>
      <c r="EG8" s="449"/>
      <c r="EH8" s="449"/>
      <c r="EI8" s="449"/>
      <c r="EJ8" s="449"/>
      <c r="EK8" s="449"/>
      <c r="EL8" s="449"/>
      <c r="EM8" s="449"/>
      <c r="EN8" s="449"/>
      <c r="EO8" s="449"/>
      <c r="EP8" s="449"/>
      <c r="EQ8" s="449"/>
      <c r="ER8" s="449"/>
      <c r="ES8" s="449"/>
      <c r="ET8" s="449"/>
      <c r="EU8" s="449"/>
      <c r="EV8" s="449"/>
      <c r="EW8" s="449"/>
      <c r="EX8" s="449"/>
      <c r="EY8" s="449"/>
      <c r="EZ8" s="449"/>
      <c r="FA8" s="449"/>
      <c r="FB8" s="449"/>
      <c r="FC8" s="449"/>
      <c r="FD8" s="449"/>
      <c r="FE8" s="449"/>
      <c r="FF8" s="449"/>
      <c r="FG8" s="449"/>
      <c r="FH8" s="449"/>
      <c r="FI8" s="449"/>
      <c r="FJ8" s="449"/>
      <c r="FK8" s="449"/>
      <c r="FL8" s="449"/>
      <c r="FM8" s="449"/>
      <c r="FN8" s="449"/>
      <c r="FO8" s="449"/>
      <c r="FP8" s="449"/>
      <c r="FQ8" s="449"/>
      <c r="FR8" s="449"/>
      <c r="FS8" s="449"/>
      <c r="FT8" s="449"/>
      <c r="FU8" s="449"/>
      <c r="FV8" s="449"/>
      <c r="FW8" s="449"/>
      <c r="FX8" s="449"/>
      <c r="FY8" s="449"/>
      <c r="FZ8" s="449"/>
      <c r="GA8" s="449"/>
      <c r="GB8" s="449"/>
      <c r="GC8" s="449"/>
      <c r="GD8" s="449"/>
      <c r="GE8" s="449"/>
      <c r="GF8" s="449"/>
      <c r="GG8" s="449"/>
      <c r="GH8" s="449"/>
      <c r="GI8" s="449"/>
      <c r="GJ8" s="449"/>
      <c r="GK8" s="449"/>
      <c r="GL8" s="449"/>
      <c r="GM8" s="449"/>
      <c r="GN8" s="449"/>
      <c r="GO8" s="449"/>
      <c r="GP8" s="449"/>
      <c r="GQ8" s="449"/>
      <c r="GR8" s="449"/>
      <c r="GS8" s="449"/>
      <c r="GT8" s="449"/>
      <c r="GU8" s="449"/>
      <c r="GV8" s="449"/>
      <c r="GW8" s="449"/>
      <c r="GX8" s="449"/>
      <c r="GY8" s="449"/>
      <c r="GZ8" s="449"/>
      <c r="HA8" s="449"/>
      <c r="HB8" s="449"/>
      <c r="HC8" s="449"/>
      <c r="HD8" s="449"/>
      <c r="HE8" s="449"/>
      <c r="HF8" s="449"/>
      <c r="HG8" s="449"/>
      <c r="HH8" s="449"/>
      <c r="HI8" s="449"/>
      <c r="HJ8" s="449"/>
      <c r="HK8" s="449"/>
      <c r="HL8" s="449"/>
      <c r="HM8" s="449"/>
      <c r="HN8" s="449"/>
      <c r="HO8" s="449"/>
      <c r="HP8" s="449"/>
      <c r="HQ8" s="449"/>
      <c r="HR8" s="449"/>
      <c r="HS8" s="449"/>
      <c r="HT8" s="449"/>
      <c r="HU8" s="449"/>
      <c r="HV8" s="449"/>
      <c r="HW8" s="449"/>
      <c r="HX8" s="449"/>
      <c r="HY8" s="449"/>
      <c r="HZ8" s="449"/>
      <c r="IA8" s="449"/>
      <c r="IB8" s="449"/>
      <c r="IC8" s="449"/>
      <c r="ID8" s="449"/>
      <c r="IE8" s="449"/>
      <c r="IF8" s="449"/>
      <c r="IG8" s="449"/>
      <c r="IH8" s="449"/>
      <c r="II8" s="449"/>
      <c r="IJ8" s="449"/>
      <c r="IK8" s="449"/>
      <c r="IL8" s="449"/>
      <c r="IM8" s="449"/>
      <c r="IN8" s="449"/>
      <c r="IO8" s="449"/>
      <c r="IP8" s="449"/>
      <c r="IQ8" s="449"/>
      <c r="IR8" s="449"/>
      <c r="IS8" s="449"/>
      <c r="IT8" s="449"/>
      <c r="IU8" s="449"/>
      <c r="IV8" s="449"/>
    </row>
    <row r="9" spans="1:256" ht="18">
      <c r="A9" s="445"/>
      <c r="B9" s="445"/>
      <c r="C9" s="445"/>
      <c r="D9" s="681"/>
      <c r="E9" s="445"/>
      <c r="F9" s="445"/>
      <c r="G9" s="445"/>
      <c r="H9" s="445"/>
      <c r="I9" s="445"/>
      <c r="J9" s="681" t="s">
        <v>351</v>
      </c>
      <c r="K9" s="445"/>
      <c r="L9" s="681"/>
      <c r="M9" s="447"/>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c r="AV9" s="449"/>
      <c r="AW9" s="449"/>
      <c r="AX9" s="449"/>
      <c r="AY9" s="449"/>
      <c r="AZ9" s="449"/>
      <c r="BA9" s="449"/>
      <c r="BB9" s="449"/>
      <c r="BC9" s="449"/>
      <c r="BD9" s="449"/>
      <c r="BE9" s="449"/>
      <c r="BF9" s="449"/>
      <c r="BG9" s="449"/>
      <c r="BH9" s="449"/>
      <c r="BI9" s="449"/>
      <c r="BJ9" s="449"/>
      <c r="BK9" s="449"/>
      <c r="BL9" s="449"/>
      <c r="BM9" s="449"/>
      <c r="BN9" s="449"/>
      <c r="BO9" s="449"/>
      <c r="BP9" s="449"/>
      <c r="BQ9" s="449"/>
      <c r="BR9" s="449"/>
      <c r="BS9" s="449"/>
      <c r="BT9" s="449"/>
      <c r="BU9" s="449"/>
      <c r="BV9" s="449"/>
      <c r="BW9" s="449"/>
      <c r="BX9" s="449"/>
      <c r="BY9" s="449"/>
      <c r="BZ9" s="449"/>
      <c r="CA9" s="449"/>
      <c r="CB9" s="449"/>
      <c r="CC9" s="449"/>
      <c r="CD9" s="449"/>
      <c r="CE9" s="449"/>
      <c r="CF9" s="449"/>
      <c r="CG9" s="449"/>
      <c r="CH9" s="449"/>
      <c r="CI9" s="449"/>
      <c r="CJ9" s="449"/>
      <c r="CK9" s="449"/>
      <c r="CL9" s="449"/>
      <c r="CM9" s="449"/>
      <c r="CN9" s="449"/>
      <c r="CO9" s="449"/>
      <c r="CP9" s="449"/>
      <c r="CQ9" s="449"/>
      <c r="CR9" s="449"/>
      <c r="CS9" s="449"/>
      <c r="CT9" s="449"/>
      <c r="CU9" s="449"/>
      <c r="CV9" s="449"/>
      <c r="CW9" s="449"/>
      <c r="CX9" s="449"/>
      <c r="CY9" s="449"/>
      <c r="CZ9" s="449"/>
      <c r="DA9" s="449"/>
      <c r="DB9" s="449"/>
      <c r="DC9" s="449"/>
      <c r="DD9" s="449"/>
      <c r="DE9" s="449"/>
      <c r="DF9" s="449"/>
      <c r="DG9" s="449"/>
      <c r="DH9" s="449"/>
      <c r="DI9" s="449"/>
      <c r="DJ9" s="449"/>
      <c r="DK9" s="449"/>
      <c r="DL9" s="449"/>
      <c r="DM9" s="449"/>
      <c r="DN9" s="449"/>
      <c r="DO9" s="449"/>
      <c r="DP9" s="449"/>
      <c r="DQ9" s="449"/>
      <c r="DR9" s="449"/>
      <c r="DS9" s="449"/>
      <c r="DT9" s="449"/>
      <c r="DU9" s="449"/>
      <c r="DV9" s="449"/>
      <c r="DW9" s="449"/>
      <c r="DX9" s="449"/>
      <c r="DY9" s="449"/>
      <c r="DZ9" s="449"/>
      <c r="EA9" s="449"/>
      <c r="EB9" s="449"/>
      <c r="EC9" s="449"/>
      <c r="ED9" s="449"/>
      <c r="EE9" s="449"/>
      <c r="EF9" s="449"/>
      <c r="EG9" s="449"/>
      <c r="EH9" s="449"/>
      <c r="EI9" s="449"/>
      <c r="EJ9" s="449"/>
      <c r="EK9" s="449"/>
      <c r="EL9" s="449"/>
      <c r="EM9" s="449"/>
      <c r="EN9" s="449"/>
      <c r="EO9" s="449"/>
      <c r="EP9" s="449"/>
      <c r="EQ9" s="449"/>
      <c r="ER9" s="449"/>
      <c r="ES9" s="449"/>
      <c r="ET9" s="449"/>
      <c r="EU9" s="449"/>
      <c r="EV9" s="449"/>
      <c r="EW9" s="449"/>
      <c r="EX9" s="449"/>
      <c r="EY9" s="449"/>
      <c r="EZ9" s="449"/>
      <c r="FA9" s="449"/>
      <c r="FB9" s="449"/>
      <c r="FC9" s="449"/>
      <c r="FD9" s="449"/>
      <c r="FE9" s="449"/>
      <c r="FF9" s="449"/>
      <c r="FG9" s="449"/>
      <c r="FH9" s="449"/>
      <c r="FI9" s="449"/>
      <c r="FJ9" s="449"/>
      <c r="FK9" s="449"/>
      <c r="FL9" s="449"/>
      <c r="FM9" s="449"/>
      <c r="FN9" s="449"/>
      <c r="FO9" s="449"/>
      <c r="FP9" s="449"/>
      <c r="FQ9" s="449"/>
      <c r="FR9" s="449"/>
      <c r="FS9" s="449"/>
      <c r="FT9" s="449"/>
      <c r="FU9" s="449"/>
      <c r="FV9" s="449"/>
      <c r="FW9" s="449"/>
      <c r="FX9" s="449"/>
      <c r="FY9" s="449"/>
      <c r="FZ9" s="449"/>
      <c r="GA9" s="449"/>
      <c r="GB9" s="449"/>
      <c r="GC9" s="449"/>
      <c r="GD9" s="449"/>
      <c r="GE9" s="449"/>
      <c r="GF9" s="449"/>
      <c r="GG9" s="449"/>
      <c r="GH9" s="449"/>
      <c r="GI9" s="449"/>
      <c r="GJ9" s="449"/>
      <c r="GK9" s="449"/>
      <c r="GL9" s="449"/>
      <c r="GM9" s="449"/>
      <c r="GN9" s="449"/>
      <c r="GO9" s="449"/>
      <c r="GP9" s="449"/>
      <c r="GQ9" s="449"/>
      <c r="GR9" s="449"/>
      <c r="GS9" s="449"/>
      <c r="GT9" s="449"/>
      <c r="GU9" s="449"/>
      <c r="GV9" s="449"/>
      <c r="GW9" s="449"/>
      <c r="GX9" s="449"/>
      <c r="GY9" s="449"/>
      <c r="GZ9" s="449"/>
      <c r="HA9" s="449"/>
      <c r="HB9" s="449"/>
      <c r="HC9" s="449"/>
      <c r="HD9" s="449"/>
      <c r="HE9" s="449"/>
      <c r="HF9" s="449"/>
      <c r="HG9" s="449"/>
      <c r="HH9" s="449"/>
      <c r="HI9" s="449"/>
      <c r="HJ9" s="449"/>
      <c r="HK9" s="449"/>
      <c r="HL9" s="449"/>
      <c r="HM9" s="449"/>
      <c r="HN9" s="449"/>
      <c r="HO9" s="449"/>
      <c r="HP9" s="449"/>
      <c r="HQ9" s="449"/>
      <c r="HR9" s="449"/>
      <c r="HS9" s="449"/>
      <c r="HT9" s="449"/>
      <c r="HU9" s="449"/>
      <c r="HV9" s="449"/>
      <c r="HW9" s="449"/>
      <c r="HX9" s="449"/>
      <c r="HY9" s="449"/>
      <c r="HZ9" s="449"/>
      <c r="IA9" s="449"/>
      <c r="IB9" s="449"/>
      <c r="IC9" s="449"/>
      <c r="ID9" s="449"/>
      <c r="IE9" s="449"/>
      <c r="IF9" s="449"/>
      <c r="IG9" s="449"/>
      <c r="IH9" s="449"/>
      <c r="II9" s="449"/>
      <c r="IJ9" s="449"/>
      <c r="IK9" s="449"/>
      <c r="IL9" s="449"/>
      <c r="IM9" s="449"/>
      <c r="IN9" s="449"/>
      <c r="IO9" s="449"/>
      <c r="IP9" s="449"/>
      <c r="IQ9" s="449"/>
      <c r="IR9" s="449"/>
      <c r="IS9" s="449"/>
      <c r="IT9" s="449"/>
      <c r="IU9" s="449"/>
      <c r="IV9" s="449"/>
    </row>
    <row r="10" spans="1:256" ht="18">
      <c r="A10" s="445"/>
      <c r="B10" s="445"/>
      <c r="C10" s="445"/>
      <c r="D10" s="681" t="s">
        <v>232</v>
      </c>
      <c r="E10" s="445"/>
      <c r="F10" s="445"/>
      <c r="G10" s="445"/>
      <c r="H10" s="445"/>
      <c r="I10" s="445"/>
      <c r="J10" s="681" t="s">
        <v>352</v>
      </c>
      <c r="K10" s="445"/>
      <c r="L10" s="681" t="s">
        <v>232</v>
      </c>
      <c r="M10" s="447"/>
      <c r="N10" s="449"/>
      <c r="O10" s="449"/>
      <c r="P10" s="449"/>
      <c r="Q10" s="449"/>
      <c r="R10" s="449"/>
      <c r="S10" s="449"/>
      <c r="T10" s="449"/>
      <c r="U10" s="449"/>
      <c r="V10" s="449"/>
      <c r="W10" s="449"/>
      <c r="X10" s="449"/>
      <c r="Y10" s="449"/>
      <c r="Z10" s="449"/>
      <c r="AA10" s="449"/>
      <c r="AB10" s="449"/>
      <c r="AC10" s="449"/>
      <c r="AD10" s="449"/>
      <c r="AE10" s="449"/>
      <c r="AF10" s="449"/>
      <c r="AG10" s="449"/>
      <c r="AH10" s="449"/>
      <c r="AI10" s="449"/>
      <c r="AJ10" s="449"/>
      <c r="AK10" s="449"/>
      <c r="AL10" s="449"/>
      <c r="AM10" s="449"/>
      <c r="AN10" s="449"/>
      <c r="AO10" s="449"/>
      <c r="AP10" s="449"/>
      <c r="AQ10" s="449"/>
      <c r="AR10" s="449"/>
      <c r="AS10" s="449"/>
      <c r="AT10" s="449"/>
      <c r="AU10" s="449"/>
      <c r="AV10" s="449"/>
      <c r="AW10" s="449"/>
      <c r="AX10" s="449"/>
      <c r="AY10" s="449"/>
      <c r="AZ10" s="449"/>
      <c r="BA10" s="449"/>
      <c r="BB10" s="449"/>
      <c r="BC10" s="449"/>
      <c r="BD10" s="449"/>
      <c r="BE10" s="449"/>
      <c r="BF10" s="449"/>
      <c r="BG10" s="449"/>
      <c r="BH10" s="449"/>
      <c r="BI10" s="449"/>
      <c r="BJ10" s="449"/>
      <c r="BK10" s="449"/>
      <c r="BL10" s="449"/>
      <c r="BM10" s="449"/>
      <c r="BN10" s="449"/>
      <c r="BO10" s="449"/>
      <c r="BP10" s="449"/>
      <c r="BQ10" s="449"/>
      <c r="BR10" s="449"/>
      <c r="BS10" s="449"/>
      <c r="BT10" s="449"/>
      <c r="BU10" s="449"/>
      <c r="BV10" s="449"/>
      <c r="BW10" s="449"/>
      <c r="BX10" s="449"/>
      <c r="BY10" s="449"/>
      <c r="BZ10" s="449"/>
      <c r="CA10" s="449"/>
      <c r="CB10" s="449"/>
      <c r="CC10" s="449"/>
      <c r="CD10" s="449"/>
      <c r="CE10" s="449"/>
      <c r="CF10" s="449"/>
      <c r="CG10" s="449"/>
      <c r="CH10" s="449"/>
      <c r="CI10" s="449"/>
      <c r="CJ10" s="449"/>
      <c r="CK10" s="449"/>
      <c r="CL10" s="449"/>
      <c r="CM10" s="449"/>
      <c r="CN10" s="449"/>
      <c r="CO10" s="449"/>
      <c r="CP10" s="449"/>
      <c r="CQ10" s="449"/>
      <c r="CR10" s="449"/>
      <c r="CS10" s="449"/>
      <c r="CT10" s="449"/>
      <c r="CU10" s="449"/>
      <c r="CV10" s="449"/>
      <c r="CW10" s="449"/>
      <c r="CX10" s="449"/>
      <c r="CY10" s="449"/>
      <c r="CZ10" s="449"/>
      <c r="DA10" s="449"/>
      <c r="DB10" s="449"/>
      <c r="DC10" s="449"/>
      <c r="DD10" s="449"/>
      <c r="DE10" s="449"/>
      <c r="DF10" s="449"/>
      <c r="DG10" s="449"/>
      <c r="DH10" s="449"/>
      <c r="DI10" s="449"/>
      <c r="DJ10" s="449"/>
      <c r="DK10" s="449"/>
      <c r="DL10" s="449"/>
      <c r="DM10" s="449"/>
      <c r="DN10" s="449"/>
      <c r="DO10" s="449"/>
      <c r="DP10" s="449"/>
      <c r="DQ10" s="449"/>
      <c r="DR10" s="449"/>
      <c r="DS10" s="449"/>
      <c r="DT10" s="449"/>
      <c r="DU10" s="449"/>
      <c r="DV10" s="449"/>
      <c r="DW10" s="449"/>
      <c r="DX10" s="449"/>
      <c r="DY10" s="449"/>
      <c r="DZ10" s="449"/>
      <c r="EA10" s="449"/>
      <c r="EB10" s="449"/>
      <c r="EC10" s="449"/>
      <c r="ED10" s="449"/>
      <c r="EE10" s="449"/>
      <c r="EF10" s="449"/>
      <c r="EG10" s="449"/>
      <c r="EH10" s="449"/>
      <c r="EI10" s="449"/>
      <c r="EJ10" s="449"/>
      <c r="EK10" s="449"/>
      <c r="EL10" s="449"/>
      <c r="EM10" s="449"/>
      <c r="EN10" s="449"/>
      <c r="EO10" s="449"/>
      <c r="EP10" s="449"/>
      <c r="EQ10" s="449"/>
      <c r="ER10" s="449"/>
      <c r="ES10" s="449"/>
      <c r="ET10" s="449"/>
      <c r="EU10" s="449"/>
      <c r="EV10" s="449"/>
      <c r="EW10" s="449"/>
      <c r="EX10" s="449"/>
      <c r="EY10" s="449"/>
      <c r="EZ10" s="449"/>
      <c r="FA10" s="449"/>
      <c r="FB10" s="449"/>
      <c r="FC10" s="449"/>
      <c r="FD10" s="449"/>
      <c r="FE10" s="449"/>
      <c r="FF10" s="449"/>
      <c r="FG10" s="449"/>
      <c r="FH10" s="449"/>
      <c r="FI10" s="449"/>
      <c r="FJ10" s="449"/>
      <c r="FK10" s="449"/>
      <c r="FL10" s="449"/>
      <c r="FM10" s="449"/>
      <c r="FN10" s="449"/>
      <c r="FO10" s="449"/>
      <c r="FP10" s="449"/>
      <c r="FQ10" s="449"/>
      <c r="FR10" s="449"/>
      <c r="FS10" s="449"/>
      <c r="FT10" s="449"/>
      <c r="FU10" s="449"/>
      <c r="FV10" s="449"/>
      <c r="FW10" s="449"/>
      <c r="FX10" s="449"/>
      <c r="FY10" s="449"/>
      <c r="FZ10" s="449"/>
      <c r="GA10" s="449"/>
      <c r="GB10" s="449"/>
      <c r="GC10" s="449"/>
      <c r="GD10" s="449"/>
      <c r="GE10" s="449"/>
      <c r="GF10" s="449"/>
      <c r="GG10" s="449"/>
      <c r="GH10" s="449"/>
      <c r="GI10" s="449"/>
      <c r="GJ10" s="449"/>
      <c r="GK10" s="449"/>
      <c r="GL10" s="449"/>
      <c r="GM10" s="449"/>
      <c r="GN10" s="449"/>
      <c r="GO10" s="449"/>
      <c r="GP10" s="449"/>
      <c r="GQ10" s="449"/>
      <c r="GR10" s="449"/>
      <c r="GS10" s="449"/>
      <c r="GT10" s="449"/>
      <c r="GU10" s="449"/>
      <c r="GV10" s="449"/>
      <c r="GW10" s="449"/>
      <c r="GX10" s="449"/>
      <c r="GY10" s="449"/>
      <c r="GZ10" s="449"/>
      <c r="HA10" s="449"/>
      <c r="HB10" s="449"/>
      <c r="HC10" s="449"/>
      <c r="HD10" s="449"/>
      <c r="HE10" s="449"/>
      <c r="HF10" s="449"/>
      <c r="HG10" s="449"/>
      <c r="HH10" s="449"/>
      <c r="HI10" s="449"/>
      <c r="HJ10" s="449"/>
      <c r="HK10" s="449"/>
      <c r="HL10" s="449"/>
      <c r="HM10" s="449"/>
      <c r="HN10" s="449"/>
      <c r="HO10" s="449"/>
      <c r="HP10" s="449"/>
      <c r="HQ10" s="449"/>
      <c r="HR10" s="449"/>
      <c r="HS10" s="449"/>
      <c r="HT10" s="449"/>
      <c r="HU10" s="449"/>
      <c r="HV10" s="449"/>
      <c r="HW10" s="449"/>
      <c r="HX10" s="449"/>
      <c r="HY10" s="449"/>
      <c r="HZ10" s="449"/>
      <c r="IA10" s="449"/>
      <c r="IB10" s="449"/>
      <c r="IC10" s="449"/>
      <c r="ID10" s="449"/>
      <c r="IE10" s="449"/>
      <c r="IF10" s="449"/>
      <c r="IG10" s="449"/>
      <c r="IH10" s="449"/>
      <c r="II10" s="449"/>
      <c r="IJ10" s="449"/>
      <c r="IK10" s="449"/>
      <c r="IL10" s="449"/>
      <c r="IM10" s="449"/>
      <c r="IN10" s="449"/>
      <c r="IO10" s="449"/>
      <c r="IP10" s="449"/>
      <c r="IQ10" s="449"/>
      <c r="IR10" s="449"/>
      <c r="IS10" s="449"/>
      <c r="IT10" s="449"/>
      <c r="IU10" s="449"/>
      <c r="IV10" s="449"/>
    </row>
    <row r="11" spans="1:256" ht="18">
      <c r="A11" s="465" t="s">
        <v>353</v>
      </c>
      <c r="B11" s="445"/>
      <c r="C11" s="445"/>
      <c r="D11" s="895" t="str">
        <f>'Sch 1 '!C11</f>
        <v>SEPTEMBER 1, 2021</v>
      </c>
      <c r="E11" s="445"/>
      <c r="F11" s="681" t="s">
        <v>234</v>
      </c>
      <c r="G11" s="445"/>
      <c r="H11" s="681" t="s">
        <v>235</v>
      </c>
      <c r="I11" s="445"/>
      <c r="J11" s="681" t="s">
        <v>236</v>
      </c>
      <c r="K11" s="445"/>
      <c r="L11" s="895" t="str">
        <f>'Sch 1 '!K11</f>
        <v>SEPTEMBER 30, 2021</v>
      </c>
      <c r="M11" s="447"/>
      <c r="N11" s="449"/>
      <c r="O11" s="449"/>
      <c r="P11" s="449"/>
      <c r="Q11" s="449"/>
      <c r="R11" s="449"/>
      <c r="S11" s="449"/>
      <c r="T11" s="449"/>
      <c r="U11" s="449"/>
      <c r="V11" s="449"/>
      <c r="W11" s="449"/>
      <c r="X11" s="449"/>
      <c r="Y11" s="449"/>
      <c r="Z11" s="449"/>
      <c r="AA11" s="449"/>
      <c r="AB11" s="449"/>
      <c r="AC11" s="449"/>
      <c r="AD11" s="449"/>
      <c r="AE11" s="449"/>
      <c r="AF11" s="449"/>
      <c r="AG11" s="449"/>
      <c r="AH11" s="449"/>
      <c r="AI11" s="449"/>
      <c r="AJ11" s="449"/>
      <c r="AK11" s="449"/>
      <c r="AL11" s="449"/>
      <c r="AM11" s="449"/>
      <c r="AN11" s="449"/>
      <c r="AO11" s="449"/>
      <c r="AP11" s="449"/>
      <c r="AQ11" s="449"/>
      <c r="AR11" s="449"/>
      <c r="AS11" s="449"/>
      <c r="AT11" s="449"/>
      <c r="AU11" s="449"/>
      <c r="AV11" s="449"/>
      <c r="AW11" s="449"/>
      <c r="AX11" s="449"/>
      <c r="AY11" s="449"/>
      <c r="AZ11" s="449"/>
      <c r="BA11" s="449"/>
      <c r="BB11" s="449"/>
      <c r="BC11" s="449"/>
      <c r="BD11" s="449"/>
      <c r="BE11" s="449"/>
      <c r="BF11" s="449"/>
      <c r="BG11" s="449"/>
      <c r="BH11" s="449"/>
      <c r="BI11" s="449"/>
      <c r="BJ11" s="449"/>
      <c r="BK11" s="449"/>
      <c r="BL11" s="449"/>
      <c r="BM11" s="449"/>
      <c r="BN11" s="449"/>
      <c r="BO11" s="449"/>
      <c r="BP11" s="449"/>
      <c r="BQ11" s="449"/>
      <c r="BR11" s="449"/>
      <c r="BS11" s="449"/>
      <c r="BT11" s="449"/>
      <c r="BU11" s="449"/>
      <c r="BV11" s="449"/>
      <c r="BW11" s="449"/>
      <c r="BX11" s="449"/>
      <c r="BY11" s="449"/>
      <c r="BZ11" s="449"/>
      <c r="CA11" s="449"/>
      <c r="CB11" s="449"/>
      <c r="CC11" s="449"/>
      <c r="CD11" s="449"/>
      <c r="CE11" s="449"/>
      <c r="CF11" s="449"/>
      <c r="CG11" s="449"/>
      <c r="CH11" s="449"/>
      <c r="CI11" s="449"/>
      <c r="CJ11" s="449"/>
      <c r="CK11" s="449"/>
      <c r="CL11" s="449"/>
      <c r="CM11" s="449"/>
      <c r="CN11" s="449"/>
      <c r="CO11" s="449"/>
      <c r="CP11" s="449"/>
      <c r="CQ11" s="449"/>
      <c r="CR11" s="449"/>
      <c r="CS11" s="449"/>
      <c r="CT11" s="449"/>
      <c r="CU11" s="449"/>
      <c r="CV11" s="449"/>
      <c r="CW11" s="449"/>
      <c r="CX11" s="449"/>
      <c r="CY11" s="449"/>
      <c r="CZ11" s="449"/>
      <c r="DA11" s="449"/>
      <c r="DB11" s="449"/>
      <c r="DC11" s="449"/>
      <c r="DD11" s="449"/>
      <c r="DE11" s="449"/>
      <c r="DF11" s="449"/>
      <c r="DG11" s="449"/>
      <c r="DH11" s="449"/>
      <c r="DI11" s="449"/>
      <c r="DJ11" s="449"/>
      <c r="DK11" s="449"/>
      <c r="DL11" s="449"/>
      <c r="DM11" s="449"/>
      <c r="DN11" s="449"/>
      <c r="DO11" s="449"/>
      <c r="DP11" s="449"/>
      <c r="DQ11" s="449"/>
      <c r="DR11" s="449"/>
      <c r="DS11" s="449"/>
      <c r="DT11" s="449"/>
      <c r="DU11" s="449"/>
      <c r="DV11" s="449"/>
      <c r="DW11" s="449"/>
      <c r="DX11" s="449"/>
      <c r="DY11" s="449"/>
      <c r="DZ11" s="449"/>
      <c r="EA11" s="449"/>
      <c r="EB11" s="449"/>
      <c r="EC11" s="449"/>
      <c r="ED11" s="449"/>
      <c r="EE11" s="449"/>
      <c r="EF11" s="449"/>
      <c r="EG11" s="449"/>
      <c r="EH11" s="449"/>
      <c r="EI11" s="449"/>
      <c r="EJ11" s="449"/>
      <c r="EK11" s="449"/>
      <c r="EL11" s="449"/>
      <c r="EM11" s="449"/>
      <c r="EN11" s="449"/>
      <c r="EO11" s="449"/>
      <c r="EP11" s="449"/>
      <c r="EQ11" s="449"/>
      <c r="ER11" s="449"/>
      <c r="ES11" s="449"/>
      <c r="ET11" s="449"/>
      <c r="EU11" s="449"/>
      <c r="EV11" s="449"/>
      <c r="EW11" s="449"/>
      <c r="EX11" s="449"/>
      <c r="EY11" s="449"/>
      <c r="EZ11" s="449"/>
      <c r="FA11" s="449"/>
      <c r="FB11" s="449"/>
      <c r="FC11" s="449"/>
      <c r="FD11" s="449"/>
      <c r="FE11" s="449"/>
      <c r="FF11" s="449"/>
      <c r="FG11" s="449"/>
      <c r="FH11" s="449"/>
      <c r="FI11" s="449"/>
      <c r="FJ11" s="449"/>
      <c r="FK11" s="449"/>
      <c r="FL11" s="449"/>
      <c r="FM11" s="449"/>
      <c r="FN11" s="449"/>
      <c r="FO11" s="449"/>
      <c r="FP11" s="449"/>
      <c r="FQ11" s="449"/>
      <c r="FR11" s="449"/>
      <c r="FS11" s="449"/>
      <c r="FT11" s="449"/>
      <c r="FU11" s="449"/>
      <c r="FV11" s="449"/>
      <c r="FW11" s="449"/>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c r="HK11" s="449"/>
      <c r="HL11" s="449"/>
      <c r="HM11" s="449"/>
      <c r="HN11" s="449"/>
      <c r="HO11" s="449"/>
      <c r="HP11" s="449"/>
      <c r="HQ11" s="449"/>
      <c r="HR11" s="449"/>
      <c r="HS11" s="449"/>
      <c r="HT11" s="449"/>
      <c r="HU11" s="449"/>
      <c r="HV11" s="449"/>
      <c r="HW11" s="449"/>
      <c r="HX11" s="449"/>
      <c r="HY11" s="449"/>
      <c r="HZ11" s="449"/>
      <c r="IA11" s="449"/>
      <c r="IB11" s="449"/>
      <c r="IC11" s="449"/>
      <c r="ID11" s="449"/>
      <c r="IE11" s="449"/>
      <c r="IF11" s="449"/>
      <c r="IG11" s="449"/>
      <c r="IH11" s="449"/>
      <c r="II11" s="449"/>
      <c r="IJ11" s="449"/>
      <c r="IK11" s="449"/>
      <c r="IL11" s="449"/>
      <c r="IM11" s="449"/>
      <c r="IN11" s="449"/>
      <c r="IO11" s="449"/>
      <c r="IP11" s="449"/>
      <c r="IQ11" s="449"/>
      <c r="IR11" s="449"/>
      <c r="IS11" s="449"/>
      <c r="IT11" s="449"/>
      <c r="IU11" s="449"/>
      <c r="IV11" s="449"/>
    </row>
    <row r="12" spans="1:256" ht="9.75" customHeight="1">
      <c r="A12" s="445" t="s">
        <v>14</v>
      </c>
      <c r="B12" s="445"/>
      <c r="C12" s="445"/>
      <c r="D12" s="682" t="s">
        <v>14</v>
      </c>
      <c r="E12" s="445"/>
      <c r="F12" s="682" t="s">
        <v>14</v>
      </c>
      <c r="G12" s="445"/>
      <c r="H12" s="682" t="s">
        <v>14</v>
      </c>
      <c r="I12" s="445"/>
      <c r="J12" s="682" t="s">
        <v>14</v>
      </c>
      <c r="K12" s="445" t="s">
        <v>14</v>
      </c>
      <c r="L12" s="682" t="s">
        <v>14</v>
      </c>
      <c r="M12" s="447"/>
      <c r="N12" s="449"/>
      <c r="O12" s="449"/>
      <c r="P12" s="449"/>
      <c r="Q12" s="449"/>
      <c r="R12" s="449"/>
      <c r="S12" s="449"/>
      <c r="T12" s="449"/>
      <c r="U12" s="449"/>
      <c r="V12" s="449"/>
      <c r="W12" s="449"/>
      <c r="X12" s="449"/>
      <c r="Y12" s="449"/>
      <c r="Z12" s="449"/>
      <c r="AA12" s="449"/>
      <c r="AB12" s="449"/>
      <c r="AC12" s="449"/>
      <c r="AD12" s="449"/>
      <c r="AE12" s="449"/>
      <c r="AF12" s="449"/>
      <c r="AG12" s="449"/>
      <c r="AH12" s="449"/>
      <c r="AI12" s="449"/>
      <c r="AJ12" s="449"/>
      <c r="AK12" s="449"/>
      <c r="AL12" s="449"/>
      <c r="AM12" s="449"/>
      <c r="AN12" s="449"/>
      <c r="AO12" s="449"/>
      <c r="AP12" s="449"/>
      <c r="AQ12" s="449"/>
      <c r="AR12" s="449"/>
      <c r="AS12" s="449"/>
      <c r="AT12" s="449"/>
      <c r="AU12" s="449"/>
      <c r="AV12" s="449"/>
      <c r="AW12" s="449"/>
      <c r="AX12" s="449"/>
      <c r="AY12" s="449"/>
      <c r="AZ12" s="449"/>
      <c r="BA12" s="449"/>
      <c r="BB12" s="449"/>
      <c r="BC12" s="449"/>
      <c r="BD12" s="449"/>
      <c r="BE12" s="449"/>
      <c r="BF12" s="449"/>
      <c r="BG12" s="449"/>
      <c r="BH12" s="449"/>
      <c r="BI12" s="449"/>
      <c r="BJ12" s="449"/>
      <c r="BK12" s="449"/>
      <c r="BL12" s="449"/>
      <c r="BM12" s="449"/>
      <c r="BN12" s="449"/>
      <c r="BO12" s="449"/>
      <c r="BP12" s="449"/>
      <c r="BQ12" s="449"/>
      <c r="BR12" s="449"/>
      <c r="BS12" s="449"/>
      <c r="BT12" s="449"/>
      <c r="BU12" s="449"/>
      <c r="BV12" s="449"/>
      <c r="BW12" s="449"/>
      <c r="BX12" s="449"/>
      <c r="BY12" s="449"/>
      <c r="BZ12" s="449"/>
      <c r="CA12" s="449"/>
      <c r="CB12" s="449"/>
      <c r="CC12" s="449"/>
      <c r="CD12" s="449"/>
      <c r="CE12" s="449"/>
      <c r="CF12" s="449"/>
      <c r="CG12" s="449"/>
      <c r="CH12" s="449"/>
      <c r="CI12" s="449"/>
      <c r="CJ12" s="449"/>
      <c r="CK12" s="449"/>
      <c r="CL12" s="449"/>
      <c r="CM12" s="449"/>
      <c r="CN12" s="449"/>
      <c r="CO12" s="449"/>
      <c r="CP12" s="449"/>
      <c r="CQ12" s="449"/>
      <c r="CR12" s="449"/>
      <c r="CS12" s="449"/>
      <c r="CT12" s="449"/>
      <c r="CU12" s="449"/>
      <c r="CV12" s="449"/>
      <c r="CW12" s="449"/>
      <c r="CX12" s="449"/>
      <c r="CY12" s="449"/>
      <c r="CZ12" s="449"/>
      <c r="DA12" s="449"/>
      <c r="DB12" s="449"/>
      <c r="DC12" s="449"/>
      <c r="DD12" s="449"/>
      <c r="DE12" s="449"/>
      <c r="DF12" s="449"/>
      <c r="DG12" s="449"/>
      <c r="DH12" s="449"/>
      <c r="DI12" s="449"/>
      <c r="DJ12" s="449"/>
      <c r="DK12" s="449"/>
      <c r="DL12" s="449"/>
      <c r="DM12" s="449"/>
      <c r="DN12" s="449"/>
      <c r="DO12" s="449"/>
      <c r="DP12" s="449"/>
      <c r="DQ12" s="449"/>
      <c r="DR12" s="449"/>
      <c r="DS12" s="449"/>
      <c r="DT12" s="449"/>
      <c r="DU12" s="449"/>
      <c r="DV12" s="449"/>
      <c r="DW12" s="449"/>
      <c r="DX12" s="449"/>
      <c r="DY12" s="449"/>
      <c r="DZ12" s="449"/>
      <c r="EA12" s="449"/>
      <c r="EB12" s="449"/>
      <c r="EC12" s="449"/>
      <c r="ED12" s="449"/>
      <c r="EE12" s="449"/>
      <c r="EF12" s="449"/>
      <c r="EG12" s="449"/>
      <c r="EH12" s="449"/>
      <c r="EI12" s="449"/>
      <c r="EJ12" s="449"/>
      <c r="EK12" s="449"/>
      <c r="EL12" s="449"/>
      <c r="EM12" s="449"/>
      <c r="EN12" s="449"/>
      <c r="EO12" s="449"/>
      <c r="EP12" s="449"/>
      <c r="EQ12" s="449"/>
      <c r="ER12" s="449"/>
      <c r="ES12" s="449"/>
      <c r="ET12" s="449"/>
      <c r="EU12" s="449"/>
      <c r="EV12" s="449"/>
      <c r="EW12" s="449"/>
      <c r="EX12" s="449"/>
      <c r="EY12" s="449"/>
      <c r="EZ12" s="449"/>
      <c r="FA12" s="449"/>
      <c r="FB12" s="449"/>
      <c r="FC12" s="449"/>
      <c r="FD12" s="449"/>
      <c r="FE12" s="449"/>
      <c r="FF12" s="449"/>
      <c r="FG12" s="449"/>
      <c r="FH12" s="449"/>
      <c r="FI12" s="449"/>
      <c r="FJ12" s="449"/>
      <c r="FK12" s="449"/>
      <c r="FL12" s="449"/>
      <c r="FM12" s="449"/>
      <c r="FN12" s="449"/>
      <c r="FO12" s="449"/>
      <c r="FP12" s="449"/>
      <c r="FQ12" s="449"/>
      <c r="FR12" s="449"/>
      <c r="FS12" s="449"/>
      <c r="FT12" s="449"/>
      <c r="FU12" s="449"/>
      <c r="FV12" s="449"/>
      <c r="FW12" s="449"/>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c r="HD12" s="449"/>
      <c r="HE12" s="449"/>
      <c r="HF12" s="449"/>
      <c r="HG12" s="449"/>
      <c r="HH12" s="449"/>
      <c r="HI12" s="449"/>
      <c r="HJ12" s="449"/>
      <c r="HK12" s="449"/>
      <c r="HL12" s="449"/>
      <c r="HM12" s="449"/>
      <c r="HN12" s="449"/>
      <c r="HO12" s="449"/>
      <c r="HP12" s="449"/>
      <c r="HQ12" s="449"/>
      <c r="HR12" s="449"/>
      <c r="HS12" s="449"/>
      <c r="HT12" s="449"/>
      <c r="HU12" s="449"/>
      <c r="HV12" s="449"/>
      <c r="HW12" s="449"/>
      <c r="HX12" s="449"/>
      <c r="HY12" s="449"/>
      <c r="HZ12" s="449"/>
      <c r="IA12" s="449"/>
      <c r="IB12" s="449"/>
      <c r="IC12" s="449"/>
      <c r="ID12" s="449"/>
      <c r="IE12" s="449"/>
      <c r="IF12" s="449"/>
      <c r="IG12" s="449"/>
      <c r="IH12" s="449"/>
      <c r="II12" s="449"/>
      <c r="IJ12" s="449"/>
      <c r="IK12" s="449"/>
      <c r="IL12" s="449"/>
      <c r="IM12" s="449"/>
      <c r="IN12" s="449"/>
      <c r="IO12" s="449"/>
      <c r="IP12" s="449"/>
      <c r="IQ12" s="449"/>
      <c r="IR12" s="449"/>
      <c r="IS12" s="449"/>
      <c r="IT12" s="449"/>
      <c r="IU12" s="449"/>
      <c r="IV12" s="449"/>
    </row>
    <row r="13" spans="1:256" ht="18" customHeight="1">
      <c r="A13" s="452" t="s">
        <v>222</v>
      </c>
      <c r="B13" s="449"/>
      <c r="C13" s="449"/>
      <c r="D13" s="683"/>
      <c r="E13" s="683"/>
      <c r="F13" s="468"/>
      <c r="G13" s="439"/>
      <c r="H13" s="468"/>
      <c r="I13" s="683"/>
      <c r="J13" s="683"/>
      <c r="K13" s="683"/>
      <c r="L13" s="683"/>
      <c r="M13" s="453"/>
      <c r="N13" s="454"/>
      <c r="O13" s="455"/>
      <c r="P13" s="455"/>
      <c r="Q13" s="449"/>
      <c r="R13" s="449"/>
      <c r="S13" s="449"/>
      <c r="T13" s="449"/>
      <c r="U13" s="449"/>
      <c r="V13" s="449"/>
      <c r="W13" s="449"/>
      <c r="X13" s="449"/>
      <c r="Y13" s="449"/>
      <c r="Z13" s="449"/>
      <c r="AA13" s="449"/>
      <c r="AB13" s="449"/>
      <c r="AC13" s="449"/>
      <c r="AD13" s="449"/>
      <c r="AE13" s="449"/>
      <c r="AF13" s="449"/>
      <c r="AG13" s="449"/>
      <c r="AH13" s="449"/>
      <c r="AI13" s="449"/>
      <c r="AJ13" s="449"/>
      <c r="AK13" s="449"/>
      <c r="AL13" s="449"/>
      <c r="AM13" s="449"/>
      <c r="AN13" s="449"/>
      <c r="AO13" s="449"/>
      <c r="AP13" s="44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49"/>
      <c r="CE13" s="449"/>
      <c r="CF13" s="449"/>
      <c r="CG13" s="449"/>
      <c r="CH13" s="449"/>
      <c r="CI13" s="449"/>
      <c r="CJ13" s="449"/>
      <c r="CK13" s="449"/>
      <c r="CL13" s="449"/>
      <c r="CM13" s="449"/>
      <c r="CN13" s="449"/>
      <c r="CO13" s="449"/>
      <c r="CP13" s="449"/>
      <c r="CQ13" s="449"/>
      <c r="CR13" s="449"/>
      <c r="CS13" s="449"/>
      <c r="CT13" s="449"/>
      <c r="CU13" s="449"/>
      <c r="CV13" s="449"/>
      <c r="CW13" s="449"/>
      <c r="CX13" s="449"/>
      <c r="CY13" s="449"/>
      <c r="CZ13" s="449"/>
      <c r="DA13" s="449"/>
      <c r="DB13" s="449"/>
      <c r="DC13" s="449"/>
      <c r="DD13" s="449"/>
      <c r="DE13" s="449"/>
      <c r="DF13" s="449"/>
      <c r="DG13" s="449"/>
      <c r="DH13" s="449"/>
      <c r="DI13" s="449"/>
      <c r="DJ13" s="449"/>
      <c r="DK13" s="449"/>
      <c r="DL13" s="449"/>
      <c r="DM13" s="449"/>
      <c r="DN13" s="449"/>
      <c r="DO13" s="449"/>
      <c r="DP13" s="449"/>
      <c r="DQ13" s="449"/>
      <c r="DR13" s="449"/>
      <c r="DS13" s="449"/>
      <c r="DT13" s="449"/>
      <c r="DU13" s="449"/>
      <c r="DV13" s="449"/>
      <c r="DW13" s="449"/>
      <c r="DX13" s="449"/>
      <c r="DY13" s="449"/>
      <c r="DZ13" s="449"/>
      <c r="EA13" s="449"/>
      <c r="EB13" s="449"/>
      <c r="EC13" s="449"/>
      <c r="ED13" s="449"/>
      <c r="EE13" s="449"/>
      <c r="EF13" s="449"/>
      <c r="EG13" s="449"/>
      <c r="EH13" s="449"/>
      <c r="EI13" s="449"/>
      <c r="EJ13" s="449"/>
      <c r="EK13" s="449"/>
      <c r="EL13" s="449"/>
      <c r="EM13" s="449"/>
      <c r="EN13" s="449"/>
      <c r="EO13" s="449"/>
      <c r="EP13" s="449"/>
      <c r="EQ13" s="449"/>
      <c r="ER13" s="449"/>
      <c r="ES13" s="449"/>
      <c r="ET13" s="449"/>
      <c r="EU13" s="449"/>
      <c r="EV13" s="449"/>
      <c r="EW13" s="449"/>
      <c r="EX13" s="449"/>
      <c r="EY13" s="449"/>
      <c r="EZ13" s="449"/>
      <c r="FA13" s="449"/>
      <c r="FB13" s="449"/>
      <c r="FC13" s="449"/>
      <c r="FD13" s="449"/>
      <c r="FE13" s="449"/>
      <c r="FF13" s="449"/>
      <c r="FG13" s="449"/>
      <c r="FH13" s="449"/>
      <c r="FI13" s="449"/>
      <c r="FJ13" s="449"/>
      <c r="FK13" s="449"/>
      <c r="FL13" s="449"/>
      <c r="FM13" s="449"/>
      <c r="FN13" s="449"/>
      <c r="FO13" s="449"/>
      <c r="FP13" s="449"/>
      <c r="FQ13" s="449"/>
      <c r="FR13" s="449"/>
      <c r="FS13" s="449"/>
      <c r="FT13" s="449"/>
      <c r="FU13" s="449"/>
      <c r="FV13" s="449"/>
      <c r="FW13" s="449"/>
      <c r="FX13" s="449"/>
      <c r="FY13" s="449"/>
      <c r="FZ13" s="449"/>
      <c r="GA13" s="449"/>
      <c r="GB13" s="449"/>
      <c r="GC13" s="449"/>
      <c r="GD13" s="449"/>
      <c r="GE13" s="449"/>
      <c r="GF13" s="449"/>
      <c r="GG13" s="449"/>
      <c r="GH13" s="449"/>
      <c r="GI13" s="449"/>
      <c r="GJ13" s="449"/>
      <c r="GK13" s="449"/>
      <c r="GL13" s="449"/>
      <c r="GM13" s="449"/>
      <c r="GN13" s="449"/>
      <c r="GO13" s="449"/>
      <c r="GP13" s="449"/>
      <c r="GQ13" s="449"/>
      <c r="GR13" s="449"/>
      <c r="GS13" s="449"/>
      <c r="GT13" s="449"/>
      <c r="GU13" s="449"/>
      <c r="GV13" s="449"/>
      <c r="GW13" s="449"/>
      <c r="GX13" s="449"/>
      <c r="GY13" s="449"/>
      <c r="GZ13" s="449"/>
      <c r="HA13" s="449"/>
      <c r="HB13" s="449"/>
      <c r="HC13" s="449"/>
      <c r="HD13" s="449"/>
      <c r="HE13" s="449"/>
      <c r="HF13" s="449"/>
      <c r="HG13" s="449"/>
      <c r="HH13" s="449"/>
      <c r="HI13" s="449"/>
      <c r="HJ13" s="449"/>
      <c r="HK13" s="449"/>
      <c r="HL13" s="449"/>
      <c r="HM13" s="449"/>
      <c r="HN13" s="449"/>
      <c r="HO13" s="449"/>
      <c r="HP13" s="449"/>
      <c r="HQ13" s="449"/>
      <c r="HR13" s="449"/>
      <c r="HS13" s="449"/>
      <c r="HT13" s="449"/>
      <c r="HU13" s="449"/>
      <c r="HV13" s="449"/>
      <c r="HW13" s="449"/>
      <c r="HX13" s="449"/>
      <c r="HY13" s="449"/>
      <c r="HZ13" s="449"/>
      <c r="IA13" s="449"/>
      <c r="IB13" s="449"/>
      <c r="IC13" s="449"/>
      <c r="ID13" s="449"/>
      <c r="IE13" s="449"/>
      <c r="IF13" s="449"/>
      <c r="IG13" s="449"/>
      <c r="IH13" s="449"/>
      <c r="II13" s="449"/>
      <c r="IJ13" s="449"/>
      <c r="IK13" s="449"/>
      <c r="IL13" s="449"/>
      <c r="IM13" s="449"/>
      <c r="IN13" s="449"/>
      <c r="IO13" s="449"/>
      <c r="IP13" s="449"/>
      <c r="IQ13" s="449"/>
      <c r="IR13" s="449"/>
      <c r="IS13" s="449"/>
      <c r="IT13" s="449"/>
      <c r="IU13" s="449"/>
      <c r="IV13" s="449"/>
    </row>
    <row r="14" spans="1:256" ht="7.5" customHeight="1">
      <c r="A14" s="445"/>
      <c r="B14" s="449"/>
      <c r="C14" s="449"/>
      <c r="D14" s="683"/>
      <c r="E14" s="683"/>
      <c r="F14" s="683"/>
      <c r="G14" s="683"/>
      <c r="H14" s="683"/>
      <c r="I14" s="683"/>
      <c r="J14" s="683"/>
      <c r="K14" s="683"/>
      <c r="L14" s="683"/>
      <c r="M14" s="453"/>
      <c r="N14" s="454"/>
      <c r="O14" s="455"/>
      <c r="P14" s="455"/>
      <c r="Q14" s="449"/>
      <c r="R14" s="449"/>
      <c r="S14" s="449"/>
      <c r="T14" s="449"/>
      <c r="U14" s="449"/>
      <c r="V14" s="449"/>
      <c r="W14" s="449"/>
      <c r="X14" s="449"/>
      <c r="Y14" s="449"/>
      <c r="Z14" s="449"/>
      <c r="AA14" s="449"/>
      <c r="AB14" s="449"/>
      <c r="AC14" s="449"/>
      <c r="AD14" s="449"/>
      <c r="AE14" s="449"/>
      <c r="AF14" s="449"/>
      <c r="AG14" s="449"/>
      <c r="AH14" s="449"/>
      <c r="AI14" s="449"/>
      <c r="AJ14" s="449"/>
      <c r="AK14" s="449"/>
      <c r="AL14" s="449"/>
      <c r="AM14" s="449"/>
      <c r="AN14" s="449"/>
      <c r="AO14" s="449"/>
      <c r="AP14" s="449"/>
      <c r="AQ14" s="449"/>
      <c r="AR14" s="449"/>
      <c r="AS14" s="449"/>
      <c r="AT14" s="449"/>
      <c r="AU14" s="449"/>
      <c r="AV14" s="449"/>
      <c r="AW14" s="449"/>
      <c r="AX14" s="449"/>
      <c r="AY14" s="449"/>
      <c r="AZ14" s="449"/>
      <c r="BA14" s="449"/>
      <c r="BB14" s="449"/>
      <c r="BC14" s="449"/>
      <c r="BD14" s="449"/>
      <c r="BE14" s="449"/>
      <c r="BF14" s="449"/>
      <c r="BG14" s="449"/>
      <c r="BH14" s="449"/>
      <c r="BI14" s="449"/>
      <c r="BJ14" s="449"/>
      <c r="BK14" s="449"/>
      <c r="BL14" s="449"/>
      <c r="BM14" s="449"/>
      <c r="BN14" s="449"/>
      <c r="BO14" s="449"/>
      <c r="BP14" s="449"/>
      <c r="BQ14" s="449"/>
      <c r="BR14" s="449"/>
      <c r="BS14" s="449"/>
      <c r="BT14" s="449"/>
      <c r="BU14" s="449"/>
      <c r="BV14" s="449"/>
      <c r="BW14" s="449"/>
      <c r="BX14" s="449"/>
      <c r="BY14" s="449"/>
      <c r="BZ14" s="449"/>
      <c r="CA14" s="449"/>
      <c r="CB14" s="449"/>
      <c r="CC14" s="449"/>
      <c r="CD14" s="449"/>
      <c r="CE14" s="449"/>
      <c r="CF14" s="449"/>
      <c r="CG14" s="449"/>
      <c r="CH14" s="449"/>
      <c r="CI14" s="449"/>
      <c r="CJ14" s="449"/>
      <c r="CK14" s="449"/>
      <c r="CL14" s="449"/>
      <c r="CM14" s="449"/>
      <c r="CN14" s="449"/>
      <c r="CO14" s="449"/>
      <c r="CP14" s="449"/>
      <c r="CQ14" s="449"/>
      <c r="CR14" s="449"/>
      <c r="CS14" s="449"/>
      <c r="CT14" s="449"/>
      <c r="CU14" s="449"/>
      <c r="CV14" s="449"/>
      <c r="CW14" s="449"/>
      <c r="CX14" s="449"/>
      <c r="CY14" s="449"/>
      <c r="CZ14" s="449"/>
      <c r="DA14" s="449"/>
      <c r="DB14" s="449"/>
      <c r="DC14" s="449"/>
      <c r="DD14" s="449"/>
      <c r="DE14" s="449"/>
      <c r="DF14" s="449"/>
      <c r="DG14" s="449"/>
      <c r="DH14" s="449"/>
      <c r="DI14" s="449"/>
      <c r="DJ14" s="449"/>
      <c r="DK14" s="449"/>
      <c r="DL14" s="449"/>
      <c r="DM14" s="449"/>
      <c r="DN14" s="449"/>
      <c r="DO14" s="449"/>
      <c r="DP14" s="449"/>
      <c r="DQ14" s="449"/>
      <c r="DR14" s="449"/>
      <c r="DS14" s="449"/>
      <c r="DT14" s="449"/>
      <c r="DU14" s="449"/>
      <c r="DV14" s="449"/>
      <c r="DW14" s="449"/>
      <c r="DX14" s="449"/>
      <c r="DY14" s="449"/>
      <c r="DZ14" s="449"/>
      <c r="EA14" s="449"/>
      <c r="EB14" s="449"/>
      <c r="EC14" s="449"/>
      <c r="ED14" s="449"/>
      <c r="EE14" s="449"/>
      <c r="EF14" s="449"/>
      <c r="EG14" s="449"/>
      <c r="EH14" s="449"/>
      <c r="EI14" s="449"/>
      <c r="EJ14" s="449"/>
      <c r="EK14" s="449"/>
      <c r="EL14" s="449"/>
      <c r="EM14" s="449"/>
      <c r="EN14" s="449"/>
      <c r="EO14" s="449"/>
      <c r="EP14" s="449"/>
      <c r="EQ14" s="449"/>
      <c r="ER14" s="449"/>
      <c r="ES14" s="449"/>
      <c r="ET14" s="449"/>
      <c r="EU14" s="449"/>
      <c r="EV14" s="449"/>
      <c r="EW14" s="449"/>
      <c r="EX14" s="449"/>
      <c r="EY14" s="449"/>
      <c r="EZ14" s="449"/>
      <c r="FA14" s="449"/>
      <c r="FB14" s="449"/>
      <c r="FC14" s="449"/>
      <c r="FD14" s="449"/>
      <c r="FE14" s="449"/>
      <c r="FF14" s="449"/>
      <c r="FG14" s="449"/>
      <c r="FH14" s="449"/>
      <c r="FI14" s="449"/>
      <c r="FJ14" s="449"/>
      <c r="FK14" s="449"/>
      <c r="FL14" s="449"/>
      <c r="FM14" s="449"/>
      <c r="FN14" s="449"/>
      <c r="FO14" s="449"/>
      <c r="FP14" s="449"/>
      <c r="FQ14" s="449"/>
      <c r="FR14" s="449"/>
      <c r="FS14" s="449"/>
      <c r="FT14" s="449"/>
      <c r="FU14" s="449"/>
      <c r="FV14" s="449"/>
      <c r="FW14" s="449"/>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c r="HK14" s="449"/>
      <c r="HL14" s="449"/>
      <c r="HM14" s="449"/>
      <c r="HN14" s="449"/>
      <c r="HO14" s="449"/>
      <c r="HP14" s="449"/>
      <c r="HQ14" s="449"/>
      <c r="HR14" s="449"/>
      <c r="HS14" s="449"/>
      <c r="HT14" s="449"/>
      <c r="HU14" s="449"/>
      <c r="HV14" s="449"/>
      <c r="HW14" s="449"/>
      <c r="HX14" s="449"/>
      <c r="HY14" s="449"/>
      <c r="HZ14" s="449"/>
      <c r="IA14" s="449"/>
      <c r="IB14" s="449"/>
      <c r="IC14" s="449"/>
      <c r="ID14" s="449"/>
      <c r="IE14" s="449"/>
      <c r="IF14" s="449"/>
      <c r="IG14" s="449"/>
      <c r="IH14" s="449"/>
      <c r="II14" s="449"/>
      <c r="IJ14" s="449"/>
      <c r="IK14" s="449"/>
      <c r="IL14" s="449"/>
      <c r="IM14" s="449"/>
      <c r="IN14" s="449"/>
      <c r="IO14" s="449"/>
      <c r="IP14" s="449"/>
      <c r="IQ14" s="449"/>
      <c r="IR14" s="449"/>
      <c r="IS14" s="449"/>
      <c r="IT14" s="449"/>
      <c r="IU14" s="449"/>
      <c r="IV14" s="449"/>
    </row>
    <row r="15" spans="1:256" ht="15.75" customHeight="1">
      <c r="A15" s="449" t="s">
        <v>919</v>
      </c>
      <c r="B15" s="449"/>
      <c r="C15" s="449"/>
      <c r="D15" s="3401">
        <v>-1.706</v>
      </c>
      <c r="E15" s="1676"/>
      <c r="F15" s="1675">
        <v>14.333</v>
      </c>
      <c r="G15" s="1676"/>
      <c r="H15" s="1675">
        <v>12.634</v>
      </c>
      <c r="I15" s="1676"/>
      <c r="J15" s="1675">
        <v>0</v>
      </c>
      <c r="K15" s="3009"/>
      <c r="L15" s="1678">
        <f>ROUND(SUM(D15)+SUM(F15)-SUM(H15)+SUM(J15),3)</f>
        <v>-7.0000000000000001E-3</v>
      </c>
      <c r="M15" s="453"/>
      <c r="N15" s="454"/>
      <c r="O15" s="455"/>
      <c r="P15" s="455"/>
      <c r="Q15" s="449"/>
      <c r="R15" s="449"/>
      <c r="S15" s="449"/>
      <c r="T15" s="449"/>
      <c r="U15" s="449"/>
      <c r="V15" s="449"/>
      <c r="W15" s="449"/>
      <c r="X15" s="449"/>
      <c r="Y15" s="449"/>
      <c r="Z15" s="449"/>
      <c r="AA15" s="449"/>
      <c r="AB15" s="449"/>
      <c r="AC15" s="449"/>
      <c r="AD15" s="449"/>
      <c r="AE15" s="449"/>
      <c r="AF15" s="449"/>
      <c r="AG15" s="449"/>
      <c r="AH15" s="449"/>
      <c r="AI15" s="449"/>
      <c r="AJ15" s="449"/>
      <c r="AK15" s="449"/>
      <c r="AL15" s="449"/>
      <c r="AM15" s="449"/>
      <c r="AN15" s="449"/>
      <c r="AO15" s="449"/>
      <c r="AP15" s="449"/>
      <c r="AQ15" s="449"/>
      <c r="AR15" s="449"/>
      <c r="AS15" s="449"/>
      <c r="AT15" s="449"/>
      <c r="AU15" s="449"/>
      <c r="AV15" s="449"/>
      <c r="AW15" s="449"/>
      <c r="AX15" s="449"/>
      <c r="AY15" s="449"/>
      <c r="AZ15" s="449"/>
      <c r="BA15" s="449"/>
      <c r="BB15" s="449"/>
      <c r="BC15" s="449"/>
      <c r="BD15" s="449"/>
      <c r="BE15" s="449"/>
      <c r="BF15" s="449"/>
      <c r="BG15" s="449"/>
      <c r="BH15" s="449"/>
      <c r="BI15" s="449"/>
      <c r="BJ15" s="449"/>
      <c r="BK15" s="449"/>
      <c r="BL15" s="449"/>
      <c r="BM15" s="449"/>
      <c r="BN15" s="449"/>
      <c r="BO15" s="449"/>
      <c r="BP15" s="449"/>
      <c r="BQ15" s="449"/>
      <c r="BR15" s="449"/>
      <c r="BS15" s="449"/>
      <c r="BT15" s="449"/>
      <c r="BU15" s="449"/>
      <c r="BV15" s="449"/>
      <c r="BW15" s="449"/>
      <c r="BX15" s="449"/>
      <c r="BY15" s="449"/>
      <c r="BZ15" s="449"/>
      <c r="CA15" s="449"/>
      <c r="CB15" s="449"/>
      <c r="CC15" s="449"/>
      <c r="CD15" s="449"/>
      <c r="CE15" s="449"/>
      <c r="CF15" s="449"/>
      <c r="CG15" s="449"/>
      <c r="CH15" s="449"/>
      <c r="CI15" s="449"/>
      <c r="CJ15" s="449"/>
      <c r="CK15" s="449"/>
      <c r="CL15" s="449"/>
      <c r="CM15" s="449"/>
      <c r="CN15" s="449"/>
      <c r="CO15" s="449"/>
      <c r="CP15" s="449"/>
      <c r="CQ15" s="449"/>
      <c r="CR15" s="449"/>
      <c r="CS15" s="449"/>
      <c r="CT15" s="449"/>
      <c r="CU15" s="449"/>
      <c r="CV15" s="449"/>
      <c r="CW15" s="449"/>
      <c r="CX15" s="449"/>
      <c r="CY15" s="449"/>
      <c r="CZ15" s="449"/>
      <c r="DA15" s="449"/>
      <c r="DB15" s="449"/>
      <c r="DC15" s="449"/>
      <c r="DD15" s="449"/>
      <c r="DE15" s="449"/>
      <c r="DF15" s="449"/>
      <c r="DG15" s="449"/>
      <c r="DH15" s="449"/>
      <c r="DI15" s="449"/>
      <c r="DJ15" s="449"/>
      <c r="DK15" s="449"/>
      <c r="DL15" s="449"/>
      <c r="DM15" s="449"/>
      <c r="DN15" s="449"/>
      <c r="DO15" s="449"/>
      <c r="DP15" s="449"/>
      <c r="DQ15" s="449"/>
      <c r="DR15" s="449"/>
      <c r="DS15" s="449"/>
      <c r="DT15" s="449"/>
      <c r="DU15" s="449"/>
      <c r="DV15" s="449"/>
      <c r="DW15" s="449"/>
      <c r="DX15" s="449"/>
      <c r="DY15" s="449"/>
      <c r="DZ15" s="449"/>
      <c r="EA15" s="449"/>
      <c r="EB15" s="449"/>
      <c r="EC15" s="449"/>
      <c r="ED15" s="449"/>
      <c r="EE15" s="449"/>
      <c r="EF15" s="449"/>
      <c r="EG15" s="449"/>
      <c r="EH15" s="449"/>
      <c r="EI15" s="449"/>
      <c r="EJ15" s="449"/>
      <c r="EK15" s="449"/>
      <c r="EL15" s="449"/>
      <c r="EM15" s="449"/>
      <c r="EN15" s="449"/>
      <c r="EO15" s="449"/>
      <c r="EP15" s="449"/>
      <c r="EQ15" s="449"/>
      <c r="ER15" s="449"/>
      <c r="ES15" s="449"/>
      <c r="ET15" s="449"/>
      <c r="EU15" s="449"/>
      <c r="EV15" s="449"/>
      <c r="EW15" s="449"/>
      <c r="EX15" s="449"/>
      <c r="EY15" s="449"/>
      <c r="EZ15" s="449"/>
      <c r="FA15" s="449"/>
      <c r="FB15" s="449"/>
      <c r="FC15" s="449"/>
      <c r="FD15" s="449"/>
      <c r="FE15" s="449"/>
      <c r="FF15" s="449"/>
      <c r="FG15" s="449"/>
      <c r="FH15" s="449"/>
      <c r="FI15" s="449"/>
      <c r="FJ15" s="449"/>
      <c r="FK15" s="449"/>
      <c r="FL15" s="449"/>
      <c r="FM15" s="449"/>
      <c r="FN15" s="449"/>
      <c r="FO15" s="449"/>
      <c r="FP15" s="449"/>
      <c r="FQ15" s="449"/>
      <c r="FR15" s="449"/>
      <c r="FS15" s="449"/>
      <c r="FT15" s="449"/>
      <c r="FU15" s="449"/>
      <c r="FV15" s="449"/>
      <c r="FW15" s="449"/>
      <c r="FX15" s="449"/>
      <c r="FY15" s="449"/>
      <c r="FZ15" s="449"/>
      <c r="GA15" s="449"/>
      <c r="GB15" s="449"/>
      <c r="GC15" s="449"/>
      <c r="GD15" s="449"/>
      <c r="GE15" s="449"/>
      <c r="GF15" s="449"/>
      <c r="GG15" s="449"/>
      <c r="GH15" s="449"/>
      <c r="GI15" s="449"/>
      <c r="GJ15" s="449"/>
      <c r="GK15" s="449"/>
      <c r="GL15" s="449"/>
      <c r="GM15" s="449"/>
      <c r="GN15" s="449"/>
      <c r="GO15" s="449"/>
      <c r="GP15" s="449"/>
      <c r="GQ15" s="449"/>
      <c r="GR15" s="449"/>
      <c r="GS15" s="449"/>
      <c r="GT15" s="449"/>
      <c r="GU15" s="449"/>
      <c r="GV15" s="449"/>
      <c r="GW15" s="449"/>
      <c r="GX15" s="449"/>
      <c r="GY15" s="449"/>
      <c r="GZ15" s="449"/>
      <c r="HA15" s="449"/>
      <c r="HB15" s="449"/>
      <c r="HC15" s="449"/>
      <c r="HD15" s="449"/>
      <c r="HE15" s="449"/>
      <c r="HF15" s="449"/>
      <c r="HG15" s="449"/>
      <c r="HH15" s="449"/>
      <c r="HI15" s="449"/>
      <c r="HJ15" s="449"/>
      <c r="HK15" s="449"/>
      <c r="HL15" s="449"/>
      <c r="HM15" s="449"/>
      <c r="HN15" s="449"/>
      <c r="HO15" s="449"/>
      <c r="HP15" s="449"/>
      <c r="HQ15" s="449"/>
      <c r="HR15" s="449"/>
      <c r="HS15" s="449"/>
      <c r="HT15" s="449"/>
      <c r="HU15" s="449"/>
      <c r="HV15" s="449"/>
      <c r="HW15" s="449"/>
      <c r="HX15" s="449"/>
      <c r="HY15" s="449"/>
      <c r="HZ15" s="449"/>
      <c r="IA15" s="449"/>
      <c r="IB15" s="449"/>
      <c r="IC15" s="449"/>
      <c r="ID15" s="449"/>
      <c r="IE15" s="449"/>
      <c r="IF15" s="449"/>
      <c r="IG15" s="449"/>
      <c r="IH15" s="449"/>
      <c r="II15" s="449"/>
      <c r="IJ15" s="449"/>
      <c r="IK15" s="449"/>
      <c r="IL15" s="449"/>
      <c r="IM15" s="449"/>
      <c r="IN15" s="449"/>
      <c r="IO15" s="449"/>
      <c r="IP15" s="449"/>
      <c r="IQ15" s="449"/>
      <c r="IR15" s="449"/>
      <c r="IS15" s="449"/>
      <c r="IT15" s="449"/>
      <c r="IU15" s="449"/>
      <c r="IV15" s="449"/>
    </row>
    <row r="16" spans="1:256" ht="6.75" customHeight="1">
      <c r="A16" s="445"/>
      <c r="B16" s="449"/>
      <c r="C16" s="449"/>
      <c r="D16" s="3402" t="s">
        <v>14</v>
      </c>
      <c r="E16" s="684"/>
      <c r="F16" s="685" t="s">
        <v>14</v>
      </c>
      <c r="G16" s="684"/>
      <c r="H16" s="685" t="s">
        <v>14</v>
      </c>
      <c r="I16" s="684"/>
      <c r="J16" s="686" t="s">
        <v>14</v>
      </c>
      <c r="K16" s="684"/>
      <c r="L16" s="687" t="s">
        <v>14</v>
      </c>
      <c r="M16" s="456"/>
      <c r="N16" s="449"/>
      <c r="O16" s="455"/>
      <c r="P16" s="455"/>
      <c r="Q16" s="449"/>
      <c r="R16" s="449"/>
      <c r="S16" s="449"/>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49"/>
      <c r="BB16" s="449"/>
      <c r="BC16" s="449"/>
      <c r="BD16" s="449"/>
      <c r="BE16" s="449"/>
      <c r="BF16" s="449"/>
      <c r="BG16" s="449"/>
      <c r="BH16" s="449"/>
      <c r="BI16" s="449"/>
      <c r="BJ16" s="449"/>
      <c r="BK16" s="449"/>
      <c r="BL16" s="449"/>
      <c r="BM16" s="449"/>
      <c r="BN16" s="449"/>
      <c r="BO16" s="449"/>
      <c r="BP16" s="449"/>
      <c r="BQ16" s="449"/>
      <c r="BR16" s="449"/>
      <c r="BS16" s="449"/>
      <c r="BT16" s="449"/>
      <c r="BU16" s="449"/>
      <c r="BV16" s="449"/>
      <c r="BW16" s="449"/>
      <c r="BX16" s="449"/>
      <c r="BY16" s="449"/>
      <c r="BZ16" s="449"/>
      <c r="CA16" s="449"/>
      <c r="CB16" s="449"/>
      <c r="CC16" s="449"/>
      <c r="CD16" s="449"/>
      <c r="CE16" s="449"/>
      <c r="CF16" s="449"/>
      <c r="CG16" s="449"/>
      <c r="CH16" s="449"/>
      <c r="CI16" s="449"/>
      <c r="CJ16" s="449"/>
      <c r="CK16" s="449"/>
      <c r="CL16" s="449"/>
      <c r="CM16" s="449"/>
      <c r="CN16" s="449"/>
      <c r="CO16" s="449"/>
      <c r="CP16" s="449"/>
      <c r="CQ16" s="449"/>
      <c r="CR16" s="449"/>
      <c r="CS16" s="449"/>
      <c r="CT16" s="449"/>
      <c r="CU16" s="449"/>
      <c r="CV16" s="449"/>
      <c r="CW16" s="449"/>
      <c r="CX16" s="449"/>
      <c r="CY16" s="449"/>
      <c r="CZ16" s="449"/>
      <c r="DA16" s="449"/>
      <c r="DB16" s="449"/>
      <c r="DC16" s="449"/>
      <c r="DD16" s="449"/>
      <c r="DE16" s="449"/>
      <c r="DF16" s="449"/>
      <c r="DG16" s="449"/>
      <c r="DH16" s="449"/>
      <c r="DI16" s="449"/>
      <c r="DJ16" s="449"/>
      <c r="DK16" s="449"/>
      <c r="DL16" s="449"/>
      <c r="DM16" s="449"/>
      <c r="DN16" s="449"/>
      <c r="DO16" s="449"/>
      <c r="DP16" s="449"/>
      <c r="DQ16" s="449"/>
      <c r="DR16" s="449"/>
      <c r="DS16" s="449"/>
      <c r="DT16" s="449"/>
      <c r="DU16" s="449"/>
      <c r="DV16" s="449"/>
      <c r="DW16" s="449"/>
      <c r="DX16" s="449"/>
      <c r="DY16" s="449"/>
      <c r="DZ16" s="449"/>
      <c r="EA16" s="449"/>
      <c r="EB16" s="449"/>
      <c r="EC16" s="449"/>
      <c r="ED16" s="449"/>
      <c r="EE16" s="449"/>
      <c r="EF16" s="449"/>
      <c r="EG16" s="449"/>
      <c r="EH16" s="449"/>
      <c r="EI16" s="449"/>
      <c r="EJ16" s="449"/>
      <c r="EK16" s="449"/>
      <c r="EL16" s="449"/>
      <c r="EM16" s="449"/>
      <c r="EN16" s="449"/>
      <c r="EO16" s="449"/>
      <c r="EP16" s="449"/>
      <c r="EQ16" s="449"/>
      <c r="ER16" s="449"/>
      <c r="ES16" s="449"/>
      <c r="ET16" s="449"/>
      <c r="EU16" s="449"/>
      <c r="EV16" s="449"/>
      <c r="EW16" s="449"/>
      <c r="EX16" s="449"/>
      <c r="EY16" s="449"/>
      <c r="EZ16" s="449"/>
      <c r="FA16" s="449"/>
      <c r="FB16" s="449"/>
      <c r="FC16" s="449"/>
      <c r="FD16" s="449"/>
      <c r="FE16" s="449"/>
      <c r="FF16" s="449"/>
      <c r="FG16" s="449"/>
      <c r="FH16" s="449"/>
      <c r="FI16" s="449"/>
      <c r="FJ16" s="449"/>
      <c r="FK16" s="449"/>
      <c r="FL16" s="449"/>
      <c r="FM16" s="449"/>
      <c r="FN16" s="449"/>
      <c r="FO16" s="449"/>
      <c r="FP16" s="449"/>
      <c r="FQ16" s="449"/>
      <c r="FR16" s="449"/>
      <c r="FS16" s="449"/>
      <c r="FT16" s="449"/>
      <c r="FU16" s="449"/>
      <c r="FV16" s="449"/>
      <c r="FW16" s="449"/>
      <c r="FX16" s="449"/>
      <c r="FY16" s="449"/>
      <c r="FZ16" s="449"/>
      <c r="GA16" s="449"/>
      <c r="GB16" s="449"/>
      <c r="GC16" s="449"/>
      <c r="GD16" s="449"/>
      <c r="GE16" s="449"/>
      <c r="GF16" s="449"/>
      <c r="GG16" s="449"/>
      <c r="GH16" s="449"/>
      <c r="GI16" s="449"/>
      <c r="GJ16" s="449"/>
      <c r="GK16" s="449"/>
      <c r="GL16" s="449"/>
      <c r="GM16" s="449"/>
      <c r="GN16" s="449"/>
      <c r="GO16" s="449"/>
      <c r="GP16" s="449"/>
      <c r="GQ16" s="449"/>
      <c r="GR16" s="449"/>
      <c r="GS16" s="449"/>
      <c r="GT16" s="449"/>
      <c r="GU16" s="449"/>
      <c r="GV16" s="449"/>
      <c r="GW16" s="449"/>
      <c r="GX16" s="449"/>
      <c r="GY16" s="449"/>
      <c r="GZ16" s="449"/>
      <c r="HA16" s="449"/>
      <c r="HB16" s="449"/>
      <c r="HC16" s="449"/>
      <c r="HD16" s="449"/>
      <c r="HE16" s="449"/>
      <c r="HF16" s="449"/>
      <c r="HG16" s="449"/>
      <c r="HH16" s="449"/>
      <c r="HI16" s="449"/>
      <c r="HJ16" s="449"/>
      <c r="HK16" s="449"/>
      <c r="HL16" s="449"/>
      <c r="HM16" s="449"/>
      <c r="HN16" s="449"/>
      <c r="HO16" s="449"/>
      <c r="HP16" s="449"/>
      <c r="HQ16" s="449"/>
      <c r="HR16" s="449"/>
      <c r="HS16" s="449"/>
      <c r="HT16" s="449"/>
      <c r="HU16" s="449"/>
      <c r="HV16" s="449"/>
      <c r="HW16" s="449"/>
      <c r="HX16" s="449"/>
      <c r="HY16" s="449"/>
      <c r="HZ16" s="449"/>
      <c r="IA16" s="449"/>
      <c r="IB16" s="449"/>
      <c r="IC16" s="449"/>
      <c r="ID16" s="449"/>
      <c r="IE16" s="449"/>
      <c r="IF16" s="449"/>
      <c r="IG16" s="449"/>
      <c r="IH16" s="449"/>
      <c r="II16" s="449"/>
      <c r="IJ16" s="449"/>
      <c r="IK16" s="449"/>
      <c r="IL16" s="449"/>
      <c r="IM16" s="449"/>
      <c r="IN16" s="449"/>
      <c r="IO16" s="449"/>
      <c r="IP16" s="449"/>
      <c r="IQ16" s="449"/>
      <c r="IR16" s="449"/>
      <c r="IS16" s="449"/>
      <c r="IT16" s="449"/>
      <c r="IU16" s="449"/>
      <c r="IV16" s="449"/>
    </row>
    <row r="17" spans="1:256" ht="17.25" customHeight="1">
      <c r="A17" s="445" t="s">
        <v>368</v>
      </c>
      <c r="B17" s="449"/>
      <c r="C17" s="449"/>
      <c r="D17" s="688">
        <f>ROUND(SUM(D15),3)</f>
        <v>-1.706</v>
      </c>
      <c r="E17" s="689"/>
      <c r="F17" s="688">
        <f>ROUND(SUM(F15),3)</f>
        <v>14.333</v>
      </c>
      <c r="G17" s="689"/>
      <c r="H17" s="688">
        <f>ROUND(SUM(H15),3)</f>
        <v>12.634</v>
      </c>
      <c r="I17" s="689"/>
      <c r="J17" s="887">
        <f>ROUND(SUM(J15),3)</f>
        <v>0</v>
      </c>
      <c r="K17" s="689"/>
      <c r="L17" s="688">
        <f>ROUND(SUM(L15),3)</f>
        <v>-7.0000000000000001E-3</v>
      </c>
      <c r="M17" s="457"/>
      <c r="N17" s="449"/>
      <c r="O17" s="455"/>
      <c r="P17" s="455"/>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449"/>
      <c r="BW17" s="449"/>
      <c r="BX17" s="449"/>
      <c r="BY17" s="449"/>
      <c r="BZ17" s="449"/>
      <c r="CA17" s="449"/>
      <c r="CB17" s="449"/>
      <c r="CC17" s="449"/>
      <c r="CD17" s="449"/>
      <c r="CE17" s="449"/>
      <c r="CF17" s="449"/>
      <c r="CG17" s="449"/>
      <c r="CH17" s="449"/>
      <c r="CI17" s="449"/>
      <c r="CJ17" s="449"/>
      <c r="CK17" s="449"/>
      <c r="CL17" s="449"/>
      <c r="CM17" s="449"/>
      <c r="CN17" s="449"/>
      <c r="CO17" s="449"/>
      <c r="CP17" s="449"/>
      <c r="CQ17" s="449"/>
      <c r="CR17" s="449"/>
      <c r="CS17" s="449"/>
      <c r="CT17" s="449"/>
      <c r="CU17" s="449"/>
      <c r="CV17" s="449"/>
      <c r="CW17" s="449"/>
      <c r="CX17" s="449"/>
      <c r="CY17" s="449"/>
      <c r="CZ17" s="449"/>
      <c r="DA17" s="449"/>
      <c r="DB17" s="449"/>
      <c r="DC17" s="449"/>
      <c r="DD17" s="449"/>
      <c r="DE17" s="449"/>
      <c r="DF17" s="449"/>
      <c r="DG17" s="449"/>
      <c r="DH17" s="449"/>
      <c r="DI17" s="449"/>
      <c r="DJ17" s="449"/>
      <c r="DK17" s="449"/>
      <c r="DL17" s="449"/>
      <c r="DM17" s="449"/>
      <c r="DN17" s="449"/>
      <c r="DO17" s="449"/>
      <c r="DP17" s="449"/>
      <c r="DQ17" s="449"/>
      <c r="DR17" s="449"/>
      <c r="DS17" s="449"/>
      <c r="DT17" s="449"/>
      <c r="DU17" s="449"/>
      <c r="DV17" s="449"/>
      <c r="DW17" s="449"/>
      <c r="DX17" s="449"/>
      <c r="DY17" s="449"/>
      <c r="DZ17" s="449"/>
      <c r="EA17" s="449"/>
      <c r="EB17" s="449"/>
      <c r="EC17" s="449"/>
      <c r="ED17" s="449"/>
      <c r="EE17" s="449"/>
      <c r="EF17" s="449"/>
      <c r="EG17" s="449"/>
      <c r="EH17" s="449"/>
      <c r="EI17" s="449"/>
      <c r="EJ17" s="449"/>
      <c r="EK17" s="449"/>
      <c r="EL17" s="449"/>
      <c r="EM17" s="449"/>
      <c r="EN17" s="449"/>
      <c r="EO17" s="449"/>
      <c r="EP17" s="449"/>
      <c r="EQ17" s="449"/>
      <c r="ER17" s="449"/>
      <c r="ES17" s="449"/>
      <c r="ET17" s="449"/>
      <c r="EU17" s="449"/>
      <c r="EV17" s="449"/>
      <c r="EW17" s="449"/>
      <c r="EX17" s="449"/>
      <c r="EY17" s="449"/>
      <c r="EZ17" s="449"/>
      <c r="FA17" s="449"/>
      <c r="FB17" s="449"/>
      <c r="FC17" s="449"/>
      <c r="FD17" s="449"/>
      <c r="FE17" s="449"/>
      <c r="FF17" s="449"/>
      <c r="FG17" s="449"/>
      <c r="FH17" s="449"/>
      <c r="FI17" s="449"/>
      <c r="FJ17" s="449"/>
      <c r="FK17" s="449"/>
      <c r="FL17" s="449"/>
      <c r="FM17" s="449"/>
      <c r="FN17" s="449"/>
      <c r="FO17" s="449"/>
      <c r="FP17" s="449"/>
      <c r="FQ17" s="449"/>
      <c r="FR17" s="449"/>
      <c r="FS17" s="449"/>
      <c r="FT17" s="449"/>
      <c r="FU17" s="449"/>
      <c r="FV17" s="449"/>
      <c r="FW17" s="449"/>
      <c r="FX17" s="449"/>
      <c r="FY17" s="449"/>
      <c r="FZ17" s="449"/>
      <c r="GA17" s="449"/>
      <c r="GB17" s="449"/>
      <c r="GC17" s="449"/>
      <c r="GD17" s="449"/>
      <c r="GE17" s="449"/>
      <c r="GF17" s="449"/>
      <c r="GG17" s="449"/>
      <c r="GH17" s="449"/>
      <c r="GI17" s="449"/>
      <c r="GJ17" s="449"/>
      <c r="GK17" s="449"/>
      <c r="GL17" s="449"/>
      <c r="GM17" s="449"/>
      <c r="GN17" s="449"/>
      <c r="GO17" s="449"/>
      <c r="GP17" s="449"/>
      <c r="GQ17" s="449"/>
      <c r="GR17" s="449"/>
      <c r="GS17" s="449"/>
      <c r="GT17" s="449"/>
      <c r="GU17" s="449"/>
      <c r="GV17" s="449"/>
      <c r="GW17" s="449"/>
      <c r="GX17" s="449"/>
      <c r="GY17" s="449"/>
      <c r="GZ17" s="449"/>
      <c r="HA17" s="449"/>
      <c r="HB17" s="449"/>
      <c r="HC17" s="449"/>
      <c r="HD17" s="449"/>
      <c r="HE17" s="449"/>
      <c r="HF17" s="449"/>
      <c r="HG17" s="449"/>
      <c r="HH17" s="449"/>
      <c r="HI17" s="449"/>
      <c r="HJ17" s="449"/>
      <c r="HK17" s="449"/>
      <c r="HL17" s="449"/>
      <c r="HM17" s="449"/>
      <c r="HN17" s="449"/>
      <c r="HO17" s="449"/>
      <c r="HP17" s="449"/>
      <c r="HQ17" s="449"/>
      <c r="HR17" s="449"/>
      <c r="HS17" s="449"/>
      <c r="HT17" s="449"/>
      <c r="HU17" s="449"/>
      <c r="HV17" s="449"/>
      <c r="HW17" s="449"/>
      <c r="HX17" s="449"/>
      <c r="HY17" s="449"/>
      <c r="HZ17" s="449"/>
      <c r="IA17" s="449"/>
      <c r="IB17" s="449"/>
      <c r="IC17" s="449"/>
      <c r="ID17" s="449"/>
      <c r="IE17" s="449"/>
      <c r="IF17" s="449"/>
      <c r="IG17" s="449"/>
      <c r="IH17" s="449"/>
      <c r="II17" s="449"/>
      <c r="IJ17" s="449"/>
      <c r="IK17" s="449"/>
      <c r="IL17" s="449"/>
      <c r="IM17" s="449"/>
      <c r="IN17" s="449"/>
      <c r="IO17" s="449"/>
      <c r="IP17" s="449"/>
      <c r="IQ17" s="449"/>
      <c r="IR17" s="449"/>
      <c r="IS17" s="449"/>
      <c r="IT17" s="449"/>
      <c r="IU17" s="449"/>
      <c r="IV17" s="449"/>
    </row>
    <row r="18" spans="1:256" ht="12" customHeight="1">
      <c r="A18" s="445"/>
      <c r="B18" s="449"/>
      <c r="C18" s="449"/>
      <c r="D18" s="690"/>
      <c r="E18" s="442"/>
      <c r="F18" s="690"/>
      <c r="G18" s="442"/>
      <c r="H18" s="690"/>
      <c r="I18" s="442"/>
      <c r="J18" s="443"/>
      <c r="K18" s="442"/>
      <c r="L18" s="690"/>
      <c r="M18" s="456"/>
      <c r="N18" s="449"/>
      <c r="O18" s="455"/>
      <c r="P18" s="455"/>
      <c r="Q18" s="449"/>
      <c r="R18" s="449"/>
      <c r="S18" s="449"/>
      <c r="T18" s="449"/>
      <c r="U18" s="449"/>
      <c r="V18" s="449"/>
      <c r="W18" s="449"/>
      <c r="X18" s="449"/>
      <c r="Y18" s="449"/>
      <c r="Z18" s="449"/>
      <c r="AA18" s="449"/>
      <c r="AB18" s="449"/>
      <c r="AC18" s="449"/>
      <c r="AD18" s="449"/>
      <c r="AE18" s="449"/>
      <c r="AF18" s="449"/>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449"/>
      <c r="CG18" s="449"/>
      <c r="CH18" s="449"/>
      <c r="CI18" s="449"/>
      <c r="CJ18" s="449"/>
      <c r="CK18" s="449"/>
      <c r="CL18" s="449"/>
      <c r="CM18" s="449"/>
      <c r="CN18" s="449"/>
      <c r="CO18" s="449"/>
      <c r="CP18" s="449"/>
      <c r="CQ18" s="449"/>
      <c r="CR18" s="449"/>
      <c r="CS18" s="449"/>
      <c r="CT18" s="449"/>
      <c r="CU18" s="449"/>
      <c r="CV18" s="449"/>
      <c r="CW18" s="449"/>
      <c r="CX18" s="449"/>
      <c r="CY18" s="449"/>
      <c r="CZ18" s="449"/>
      <c r="DA18" s="449"/>
      <c r="DB18" s="449"/>
      <c r="DC18" s="449"/>
      <c r="DD18" s="449"/>
      <c r="DE18" s="449"/>
      <c r="DF18" s="449"/>
      <c r="DG18" s="449"/>
      <c r="DH18" s="449"/>
      <c r="DI18" s="449"/>
      <c r="DJ18" s="449"/>
      <c r="DK18" s="449"/>
      <c r="DL18" s="449"/>
      <c r="DM18" s="449"/>
      <c r="DN18" s="449"/>
      <c r="DO18" s="449"/>
      <c r="DP18" s="449"/>
      <c r="DQ18" s="449"/>
      <c r="DR18" s="449"/>
      <c r="DS18" s="449"/>
      <c r="DT18" s="449"/>
      <c r="DU18" s="449"/>
      <c r="DV18" s="449"/>
      <c r="DW18" s="449"/>
      <c r="DX18" s="449"/>
      <c r="DY18" s="449"/>
      <c r="DZ18" s="449"/>
      <c r="EA18" s="449"/>
      <c r="EB18" s="449"/>
      <c r="EC18" s="449"/>
      <c r="ED18" s="449"/>
      <c r="EE18" s="449"/>
      <c r="EF18" s="449"/>
      <c r="EG18" s="449"/>
      <c r="EH18" s="449"/>
      <c r="EI18" s="449"/>
      <c r="EJ18" s="449"/>
      <c r="EK18" s="449"/>
      <c r="EL18" s="449"/>
      <c r="EM18" s="449"/>
      <c r="EN18" s="449"/>
      <c r="EO18" s="449"/>
      <c r="EP18" s="449"/>
      <c r="EQ18" s="449"/>
      <c r="ER18" s="449"/>
      <c r="ES18" s="449"/>
      <c r="ET18" s="449"/>
      <c r="EU18" s="449"/>
      <c r="EV18" s="449"/>
      <c r="EW18" s="449"/>
      <c r="EX18" s="449"/>
      <c r="EY18" s="449"/>
      <c r="EZ18" s="449"/>
      <c r="FA18" s="449"/>
      <c r="FB18" s="449"/>
      <c r="FC18" s="449"/>
      <c r="FD18" s="449"/>
      <c r="FE18" s="449"/>
      <c r="FF18" s="449"/>
      <c r="FG18" s="449"/>
      <c r="FH18" s="449"/>
      <c r="FI18" s="449"/>
      <c r="FJ18" s="449"/>
      <c r="FK18" s="449"/>
      <c r="FL18" s="449"/>
      <c r="FM18" s="449"/>
      <c r="FN18" s="449"/>
      <c r="FO18" s="449"/>
      <c r="FP18" s="449"/>
      <c r="FQ18" s="449"/>
      <c r="FR18" s="449"/>
      <c r="FS18" s="449"/>
      <c r="FT18" s="449"/>
      <c r="FU18" s="449"/>
      <c r="FV18" s="449"/>
      <c r="FW18" s="449"/>
      <c r="FX18" s="449"/>
      <c r="FY18" s="449"/>
      <c r="FZ18" s="449"/>
      <c r="GA18" s="449"/>
      <c r="GB18" s="449"/>
      <c r="GC18" s="449"/>
      <c r="GD18" s="449"/>
      <c r="GE18" s="449"/>
      <c r="GF18" s="449"/>
      <c r="GG18" s="449"/>
      <c r="GH18" s="449"/>
      <c r="GI18" s="449"/>
      <c r="GJ18" s="449"/>
      <c r="GK18" s="449"/>
      <c r="GL18" s="449"/>
      <c r="GM18" s="449"/>
      <c r="GN18" s="449"/>
      <c r="GO18" s="449"/>
      <c r="GP18" s="449"/>
      <c r="GQ18" s="449"/>
      <c r="GR18" s="449"/>
      <c r="GS18" s="449"/>
      <c r="GT18" s="449"/>
      <c r="GU18" s="449"/>
      <c r="GV18" s="449"/>
      <c r="GW18" s="449"/>
      <c r="GX18" s="449"/>
      <c r="GY18" s="449"/>
      <c r="GZ18" s="449"/>
      <c r="HA18" s="449"/>
      <c r="HB18" s="449"/>
      <c r="HC18" s="449"/>
      <c r="HD18" s="449"/>
      <c r="HE18" s="449"/>
      <c r="HF18" s="449"/>
      <c r="HG18" s="449"/>
      <c r="HH18" s="449"/>
      <c r="HI18" s="449"/>
      <c r="HJ18" s="449"/>
      <c r="HK18" s="449"/>
      <c r="HL18" s="449"/>
      <c r="HM18" s="449"/>
      <c r="HN18" s="449"/>
      <c r="HO18" s="449"/>
      <c r="HP18" s="449"/>
      <c r="HQ18" s="449"/>
      <c r="HR18" s="449"/>
      <c r="HS18" s="449"/>
      <c r="HT18" s="449"/>
      <c r="HU18" s="449"/>
      <c r="HV18" s="449"/>
      <c r="HW18" s="449"/>
      <c r="HX18" s="449"/>
      <c r="HY18" s="449"/>
      <c r="HZ18" s="449"/>
      <c r="IA18" s="449"/>
      <c r="IB18" s="449"/>
      <c r="IC18" s="449"/>
      <c r="ID18" s="449"/>
      <c r="IE18" s="449"/>
      <c r="IF18" s="449"/>
      <c r="IG18" s="449"/>
      <c r="IH18" s="449"/>
      <c r="II18" s="449"/>
      <c r="IJ18" s="449"/>
      <c r="IK18" s="449"/>
      <c r="IL18" s="449"/>
      <c r="IM18" s="449"/>
      <c r="IN18" s="449"/>
      <c r="IO18" s="449"/>
      <c r="IP18" s="449"/>
      <c r="IQ18" s="449"/>
      <c r="IR18" s="449"/>
      <c r="IS18" s="449"/>
      <c r="IT18" s="449"/>
      <c r="IU18" s="449"/>
      <c r="IV18" s="449"/>
    </row>
    <row r="19" spans="1:256" ht="18" customHeight="1">
      <c r="A19" s="458" t="s">
        <v>226</v>
      </c>
      <c r="B19" s="445"/>
      <c r="C19" s="445"/>
      <c r="D19" s="691"/>
      <c r="E19" s="691"/>
      <c r="F19" s="691"/>
      <c r="G19" s="691"/>
      <c r="H19" s="691"/>
      <c r="I19" s="691"/>
      <c r="J19" s="691"/>
      <c r="K19" s="691"/>
      <c r="L19" s="691"/>
      <c r="M19" s="447"/>
      <c r="N19" s="449"/>
      <c r="O19" s="455"/>
      <c r="P19" s="449"/>
      <c r="Q19" s="449"/>
      <c r="R19" s="449"/>
      <c r="S19" s="449"/>
      <c r="T19" s="449"/>
      <c r="U19" s="449"/>
      <c r="V19" s="449"/>
      <c r="W19" s="449"/>
      <c r="X19" s="449"/>
      <c r="Y19" s="449"/>
      <c r="Z19" s="449"/>
      <c r="AA19" s="449"/>
      <c r="AB19" s="449"/>
      <c r="AC19" s="449"/>
      <c r="AD19" s="449"/>
      <c r="AE19" s="449"/>
      <c r="AF19" s="449"/>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449"/>
      <c r="BW19" s="449"/>
      <c r="BX19" s="449"/>
      <c r="BY19" s="449"/>
      <c r="BZ19" s="449"/>
      <c r="CA19" s="449"/>
      <c r="CB19" s="449"/>
      <c r="CC19" s="449"/>
      <c r="CD19" s="449"/>
      <c r="CE19" s="449"/>
      <c r="CF19" s="449"/>
      <c r="CG19" s="449"/>
      <c r="CH19" s="449"/>
      <c r="CI19" s="449"/>
      <c r="CJ19" s="449"/>
      <c r="CK19" s="449"/>
      <c r="CL19" s="449"/>
      <c r="CM19" s="449"/>
      <c r="CN19" s="449"/>
      <c r="CO19" s="449"/>
      <c r="CP19" s="449"/>
      <c r="CQ19" s="449"/>
      <c r="CR19" s="449"/>
      <c r="CS19" s="449"/>
      <c r="CT19" s="449"/>
      <c r="CU19" s="449"/>
      <c r="CV19" s="449"/>
      <c r="CW19" s="449"/>
      <c r="CX19" s="449"/>
      <c r="CY19" s="449"/>
      <c r="CZ19" s="449"/>
      <c r="DA19" s="449"/>
      <c r="DB19" s="449"/>
      <c r="DC19" s="449"/>
      <c r="DD19" s="449"/>
      <c r="DE19" s="449"/>
      <c r="DF19" s="449"/>
      <c r="DG19" s="449"/>
      <c r="DH19" s="449"/>
      <c r="DI19" s="449"/>
      <c r="DJ19" s="449"/>
      <c r="DK19" s="449"/>
      <c r="DL19" s="449"/>
      <c r="DM19" s="449"/>
      <c r="DN19" s="449"/>
      <c r="DO19" s="449"/>
      <c r="DP19" s="449"/>
      <c r="DQ19" s="449"/>
      <c r="DR19" s="449"/>
      <c r="DS19" s="449"/>
      <c r="DT19" s="449"/>
      <c r="DU19" s="449"/>
      <c r="DV19" s="449"/>
      <c r="DW19" s="449"/>
      <c r="DX19" s="449"/>
      <c r="DY19" s="449"/>
      <c r="DZ19" s="449"/>
      <c r="EA19" s="449"/>
      <c r="EB19" s="449"/>
      <c r="EC19" s="449"/>
      <c r="ED19" s="449"/>
      <c r="EE19" s="449"/>
      <c r="EF19" s="449"/>
      <c r="EG19" s="449"/>
      <c r="EH19" s="449"/>
      <c r="EI19" s="449"/>
      <c r="EJ19" s="449"/>
      <c r="EK19" s="449"/>
      <c r="EL19" s="449"/>
      <c r="EM19" s="449"/>
      <c r="EN19" s="449"/>
      <c r="EO19" s="449"/>
      <c r="EP19" s="449"/>
      <c r="EQ19" s="449"/>
      <c r="ER19" s="449"/>
      <c r="ES19" s="449"/>
      <c r="ET19" s="449"/>
      <c r="EU19" s="449"/>
      <c r="EV19" s="449"/>
      <c r="EW19" s="449"/>
      <c r="EX19" s="449"/>
      <c r="EY19" s="449"/>
      <c r="EZ19" s="449"/>
      <c r="FA19" s="449"/>
      <c r="FB19" s="449"/>
      <c r="FC19" s="449"/>
      <c r="FD19" s="449"/>
      <c r="FE19" s="449"/>
      <c r="FF19" s="449"/>
      <c r="FG19" s="449"/>
      <c r="FH19" s="449"/>
      <c r="FI19" s="449"/>
      <c r="FJ19" s="449"/>
      <c r="FK19" s="449"/>
      <c r="FL19" s="449"/>
      <c r="FM19" s="449"/>
      <c r="FN19" s="449"/>
      <c r="FO19" s="449"/>
      <c r="FP19" s="449"/>
      <c r="FQ19" s="449"/>
      <c r="FR19" s="449"/>
      <c r="FS19" s="449"/>
      <c r="FT19" s="449"/>
      <c r="FU19" s="449"/>
      <c r="FV19" s="449"/>
      <c r="FW19" s="449"/>
      <c r="FX19" s="449"/>
      <c r="FY19" s="449"/>
      <c r="FZ19" s="449"/>
      <c r="GA19" s="449"/>
      <c r="GB19" s="449"/>
      <c r="GC19" s="449"/>
      <c r="GD19" s="449"/>
      <c r="GE19" s="449"/>
      <c r="GF19" s="449"/>
      <c r="GG19" s="449"/>
      <c r="GH19" s="449"/>
      <c r="GI19" s="449"/>
      <c r="GJ19" s="449"/>
      <c r="GK19" s="449"/>
      <c r="GL19" s="449"/>
      <c r="GM19" s="449"/>
      <c r="GN19" s="449"/>
      <c r="GO19" s="449"/>
      <c r="GP19" s="449"/>
      <c r="GQ19" s="449"/>
      <c r="GR19" s="449"/>
      <c r="GS19" s="449"/>
      <c r="GT19" s="449"/>
      <c r="GU19" s="449"/>
      <c r="GV19" s="449"/>
      <c r="GW19" s="449"/>
      <c r="GX19" s="449"/>
      <c r="GY19" s="449"/>
      <c r="GZ19" s="449"/>
      <c r="HA19" s="449"/>
      <c r="HB19" s="449"/>
      <c r="HC19" s="449"/>
      <c r="HD19" s="449"/>
      <c r="HE19" s="449"/>
      <c r="HF19" s="449"/>
      <c r="HG19" s="449"/>
      <c r="HH19" s="449"/>
      <c r="HI19" s="449"/>
      <c r="HJ19" s="449"/>
      <c r="HK19" s="449"/>
      <c r="HL19" s="449"/>
      <c r="HM19" s="449"/>
      <c r="HN19" s="449"/>
      <c r="HO19" s="449"/>
      <c r="HP19" s="449"/>
      <c r="HQ19" s="449"/>
      <c r="HR19" s="449"/>
      <c r="HS19" s="449"/>
      <c r="HT19" s="449"/>
      <c r="HU19" s="449"/>
      <c r="HV19" s="449"/>
      <c r="HW19" s="449"/>
      <c r="HX19" s="449"/>
      <c r="HY19" s="449"/>
      <c r="HZ19" s="449"/>
      <c r="IA19" s="449"/>
      <c r="IB19" s="449"/>
      <c r="IC19" s="449"/>
      <c r="ID19" s="449"/>
      <c r="IE19" s="449"/>
      <c r="IF19" s="449"/>
      <c r="IG19" s="449"/>
      <c r="IH19" s="449"/>
      <c r="II19" s="449"/>
      <c r="IJ19" s="449"/>
      <c r="IK19" s="449"/>
      <c r="IL19" s="449"/>
      <c r="IM19" s="449"/>
      <c r="IN19" s="449"/>
      <c r="IO19" s="449"/>
      <c r="IP19" s="449"/>
      <c r="IQ19" s="449"/>
      <c r="IR19" s="449"/>
      <c r="IS19" s="449"/>
      <c r="IT19" s="449"/>
      <c r="IU19" s="449"/>
      <c r="IV19" s="449"/>
    </row>
    <row r="20" spans="1:256" ht="7.5" customHeight="1">
      <c r="A20" s="445"/>
      <c r="B20" s="445"/>
      <c r="C20" s="445"/>
      <c r="D20" s="691"/>
      <c r="E20" s="691"/>
      <c r="F20" s="691"/>
      <c r="G20" s="691"/>
      <c r="H20" s="691"/>
      <c r="I20" s="691"/>
      <c r="J20" s="691"/>
      <c r="K20" s="691"/>
      <c r="L20" s="442"/>
      <c r="M20" s="447"/>
      <c r="N20" s="449"/>
      <c r="O20" s="455"/>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449"/>
      <c r="BW20" s="449"/>
      <c r="BX20" s="449"/>
      <c r="BY20" s="449"/>
      <c r="BZ20" s="449"/>
      <c r="CA20" s="449"/>
      <c r="CB20" s="449"/>
      <c r="CC20" s="449"/>
      <c r="CD20" s="449"/>
      <c r="CE20" s="449"/>
      <c r="CF20" s="449"/>
      <c r="CG20" s="449"/>
      <c r="CH20" s="449"/>
      <c r="CI20" s="449"/>
      <c r="CJ20" s="449"/>
      <c r="CK20" s="449"/>
      <c r="CL20" s="449"/>
      <c r="CM20" s="449"/>
      <c r="CN20" s="449"/>
      <c r="CO20" s="449"/>
      <c r="CP20" s="449"/>
      <c r="CQ20" s="449"/>
      <c r="CR20" s="449"/>
      <c r="CS20" s="449"/>
      <c r="CT20" s="449"/>
      <c r="CU20" s="449"/>
      <c r="CV20" s="449"/>
      <c r="CW20" s="449"/>
      <c r="CX20" s="449"/>
      <c r="CY20" s="449"/>
      <c r="CZ20" s="449"/>
      <c r="DA20" s="449"/>
      <c r="DB20" s="449"/>
      <c r="DC20" s="449"/>
      <c r="DD20" s="449"/>
      <c r="DE20" s="449"/>
      <c r="DF20" s="449"/>
      <c r="DG20" s="449"/>
      <c r="DH20" s="449"/>
      <c r="DI20" s="449"/>
      <c r="DJ20" s="449"/>
      <c r="DK20" s="449"/>
      <c r="DL20" s="449"/>
      <c r="DM20" s="449"/>
      <c r="DN20" s="449"/>
      <c r="DO20" s="449"/>
      <c r="DP20" s="449"/>
      <c r="DQ20" s="449"/>
      <c r="DR20" s="449"/>
      <c r="DS20" s="449"/>
      <c r="DT20" s="449"/>
      <c r="DU20" s="449"/>
      <c r="DV20" s="449"/>
      <c r="DW20" s="449"/>
      <c r="DX20" s="449"/>
      <c r="DY20" s="449"/>
      <c r="DZ20" s="449"/>
      <c r="EA20" s="449"/>
      <c r="EB20" s="449"/>
      <c r="EC20" s="449"/>
      <c r="ED20" s="449"/>
      <c r="EE20" s="449"/>
      <c r="EF20" s="449"/>
      <c r="EG20" s="449"/>
      <c r="EH20" s="449"/>
      <c r="EI20" s="449"/>
      <c r="EJ20" s="449"/>
      <c r="EK20" s="449"/>
      <c r="EL20" s="449"/>
      <c r="EM20" s="449"/>
      <c r="EN20" s="449"/>
      <c r="EO20" s="449"/>
      <c r="EP20" s="449"/>
      <c r="EQ20" s="449"/>
      <c r="ER20" s="449"/>
      <c r="ES20" s="449"/>
      <c r="ET20" s="449"/>
      <c r="EU20" s="449"/>
      <c r="EV20" s="449"/>
      <c r="EW20" s="449"/>
      <c r="EX20" s="449"/>
      <c r="EY20" s="449"/>
      <c r="EZ20" s="449"/>
      <c r="FA20" s="449"/>
      <c r="FB20" s="449"/>
      <c r="FC20" s="449"/>
      <c r="FD20" s="449"/>
      <c r="FE20" s="449"/>
      <c r="FF20" s="449"/>
      <c r="FG20" s="449"/>
      <c r="FH20" s="449"/>
      <c r="FI20" s="449"/>
      <c r="FJ20" s="449"/>
      <c r="FK20" s="449"/>
      <c r="FL20" s="449"/>
      <c r="FM20" s="449"/>
      <c r="FN20" s="449"/>
      <c r="FO20" s="449"/>
      <c r="FP20" s="449"/>
      <c r="FQ20" s="449"/>
      <c r="FR20" s="449"/>
      <c r="FS20" s="449"/>
      <c r="FT20" s="449"/>
      <c r="FU20" s="449"/>
      <c r="FV20" s="449"/>
      <c r="FW20" s="449"/>
      <c r="FX20" s="449"/>
      <c r="FY20" s="449"/>
      <c r="FZ20" s="449"/>
      <c r="GA20" s="449"/>
      <c r="GB20" s="449"/>
      <c r="GC20" s="449"/>
      <c r="GD20" s="449"/>
      <c r="GE20" s="449"/>
      <c r="GF20" s="449"/>
      <c r="GG20" s="449"/>
      <c r="GH20" s="449"/>
      <c r="GI20" s="449"/>
      <c r="GJ20" s="449"/>
      <c r="GK20" s="449"/>
      <c r="GL20" s="449"/>
      <c r="GM20" s="449"/>
      <c r="GN20" s="449"/>
      <c r="GO20" s="449"/>
      <c r="GP20" s="449"/>
      <c r="GQ20" s="449"/>
      <c r="GR20" s="449"/>
      <c r="GS20" s="449"/>
      <c r="GT20" s="449"/>
      <c r="GU20" s="449"/>
      <c r="GV20" s="449"/>
      <c r="GW20" s="449"/>
      <c r="GX20" s="449"/>
      <c r="GY20" s="449"/>
      <c r="GZ20" s="449"/>
      <c r="HA20" s="449"/>
      <c r="HB20" s="449"/>
      <c r="HC20" s="449"/>
      <c r="HD20" s="449"/>
      <c r="HE20" s="449"/>
      <c r="HF20" s="449"/>
      <c r="HG20" s="449"/>
      <c r="HH20" s="449"/>
      <c r="HI20" s="449"/>
      <c r="HJ20" s="449"/>
      <c r="HK20" s="449"/>
      <c r="HL20" s="449"/>
      <c r="HM20" s="449"/>
      <c r="HN20" s="449"/>
      <c r="HO20" s="449"/>
      <c r="HP20" s="449"/>
      <c r="HQ20" s="449"/>
      <c r="HR20" s="449"/>
      <c r="HS20" s="449"/>
      <c r="HT20" s="449"/>
      <c r="HU20" s="449"/>
      <c r="HV20" s="449"/>
      <c r="HW20" s="449"/>
      <c r="HX20" s="449"/>
      <c r="HY20" s="449"/>
      <c r="HZ20" s="449"/>
      <c r="IA20" s="449"/>
      <c r="IB20" s="449"/>
      <c r="IC20" s="449"/>
      <c r="ID20" s="449"/>
      <c r="IE20" s="449"/>
      <c r="IF20" s="449"/>
      <c r="IG20" s="449"/>
      <c r="IH20" s="449"/>
      <c r="II20" s="449"/>
      <c r="IJ20" s="449"/>
      <c r="IK20" s="449"/>
      <c r="IL20" s="449"/>
      <c r="IM20" s="449"/>
      <c r="IN20" s="449"/>
      <c r="IO20" s="449"/>
      <c r="IP20" s="449"/>
      <c r="IQ20" s="449"/>
      <c r="IR20" s="449"/>
      <c r="IS20" s="449"/>
      <c r="IT20" s="449"/>
      <c r="IU20" s="449"/>
      <c r="IV20" s="449"/>
    </row>
    <row r="21" spans="1:256" ht="17.899999999999999" customHeight="1">
      <c r="A21" s="692" t="s">
        <v>1488</v>
      </c>
      <c r="B21" s="445"/>
      <c r="C21" s="445"/>
      <c r="D21" s="1679">
        <v>27.335999999999999</v>
      </c>
      <c r="E21" s="1676"/>
      <c r="F21" s="1679">
        <v>0.45900000000000002</v>
      </c>
      <c r="G21" s="1676"/>
      <c r="H21" s="1679">
        <v>5.0000000000000001E-3</v>
      </c>
      <c r="I21" s="1676"/>
      <c r="J21" s="1679">
        <v>0</v>
      </c>
      <c r="K21" s="3009"/>
      <c r="L21" s="1680">
        <f>ROUND(SUM(D21)+SUM(F21)-SUM(H21)+SUM(J21),3)</f>
        <v>27.79</v>
      </c>
      <c r="M21" s="447"/>
      <c r="N21" s="449"/>
      <c r="O21" s="455"/>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449"/>
      <c r="CG21" s="449"/>
      <c r="CH21" s="449"/>
      <c r="CI21" s="449"/>
      <c r="CJ21" s="449"/>
      <c r="CK21" s="449"/>
      <c r="CL21" s="449"/>
      <c r="CM21" s="449"/>
      <c r="CN21" s="449"/>
      <c r="CO21" s="449"/>
      <c r="CP21" s="449"/>
      <c r="CQ21" s="449"/>
      <c r="CR21" s="449"/>
      <c r="CS21" s="449"/>
      <c r="CT21" s="449"/>
      <c r="CU21" s="449"/>
      <c r="CV21" s="449"/>
      <c r="CW21" s="449"/>
      <c r="CX21" s="449"/>
      <c r="CY21" s="449"/>
      <c r="CZ21" s="449"/>
      <c r="DA21" s="449"/>
      <c r="DB21" s="449"/>
      <c r="DC21" s="449"/>
      <c r="DD21" s="449"/>
      <c r="DE21" s="449"/>
      <c r="DF21" s="449"/>
      <c r="DG21" s="449"/>
      <c r="DH21" s="449"/>
      <c r="DI21" s="449"/>
      <c r="DJ21" s="449"/>
      <c r="DK21" s="449"/>
      <c r="DL21" s="449"/>
      <c r="DM21" s="449"/>
      <c r="DN21" s="449"/>
      <c r="DO21" s="449"/>
      <c r="DP21" s="449"/>
      <c r="DQ21" s="449"/>
      <c r="DR21" s="449"/>
      <c r="DS21" s="449"/>
      <c r="DT21" s="449"/>
      <c r="DU21" s="449"/>
      <c r="DV21" s="449"/>
      <c r="DW21" s="449"/>
      <c r="DX21" s="449"/>
      <c r="DY21" s="449"/>
      <c r="DZ21" s="449"/>
      <c r="EA21" s="449"/>
      <c r="EB21" s="449"/>
      <c r="EC21" s="449"/>
      <c r="ED21" s="449"/>
      <c r="EE21" s="449"/>
      <c r="EF21" s="449"/>
      <c r="EG21" s="449"/>
      <c r="EH21" s="449"/>
      <c r="EI21" s="449"/>
      <c r="EJ21" s="449"/>
      <c r="EK21" s="449"/>
      <c r="EL21" s="449"/>
      <c r="EM21" s="449"/>
      <c r="EN21" s="449"/>
      <c r="EO21" s="449"/>
      <c r="EP21" s="449"/>
      <c r="EQ21" s="449"/>
      <c r="ER21" s="449"/>
      <c r="ES21" s="449"/>
      <c r="ET21" s="449"/>
      <c r="EU21" s="449"/>
      <c r="EV21" s="449"/>
      <c r="EW21" s="449"/>
      <c r="EX21" s="449"/>
      <c r="EY21" s="449"/>
      <c r="EZ21" s="449"/>
      <c r="FA21" s="449"/>
      <c r="FB21" s="449"/>
      <c r="FC21" s="449"/>
      <c r="FD21" s="449"/>
      <c r="FE21" s="449"/>
      <c r="FF21" s="449"/>
      <c r="FG21" s="449"/>
      <c r="FH21" s="449"/>
      <c r="FI21" s="449"/>
      <c r="FJ21" s="449"/>
      <c r="FK21" s="449"/>
      <c r="FL21" s="449"/>
      <c r="FM21" s="449"/>
      <c r="FN21" s="449"/>
      <c r="FO21" s="449"/>
      <c r="FP21" s="449"/>
      <c r="FQ21" s="449"/>
      <c r="FR21" s="449"/>
      <c r="FS21" s="449"/>
      <c r="FT21" s="449"/>
      <c r="FU21" s="449"/>
      <c r="FV21" s="449"/>
      <c r="FW21" s="449"/>
      <c r="FX21" s="449"/>
      <c r="FY21" s="449"/>
      <c r="FZ21" s="449"/>
      <c r="GA21" s="449"/>
      <c r="GB21" s="449"/>
      <c r="GC21" s="449"/>
      <c r="GD21" s="449"/>
      <c r="GE21" s="449"/>
      <c r="GF21" s="449"/>
      <c r="GG21" s="449"/>
      <c r="GH21" s="449"/>
      <c r="GI21" s="449"/>
      <c r="GJ21" s="449"/>
      <c r="GK21" s="449"/>
      <c r="GL21" s="449"/>
      <c r="GM21" s="449"/>
      <c r="GN21" s="449"/>
      <c r="GO21" s="449"/>
      <c r="GP21" s="449"/>
      <c r="GQ21" s="449"/>
      <c r="GR21" s="449"/>
      <c r="GS21" s="449"/>
      <c r="GT21" s="449"/>
      <c r="GU21" s="449"/>
      <c r="GV21" s="449"/>
      <c r="GW21" s="449"/>
      <c r="GX21" s="449"/>
      <c r="GY21" s="449"/>
      <c r="GZ21" s="449"/>
      <c r="HA21" s="449"/>
      <c r="HB21" s="449"/>
      <c r="HC21" s="449"/>
      <c r="HD21" s="449"/>
      <c r="HE21" s="449"/>
      <c r="HF21" s="449"/>
      <c r="HG21" s="449"/>
      <c r="HH21" s="449"/>
      <c r="HI21" s="449"/>
      <c r="HJ21" s="449"/>
      <c r="HK21" s="449"/>
      <c r="HL21" s="449"/>
      <c r="HM21" s="449"/>
      <c r="HN21" s="449"/>
      <c r="HO21" s="449"/>
      <c r="HP21" s="449"/>
      <c r="HQ21" s="449"/>
      <c r="HR21" s="449"/>
      <c r="HS21" s="449"/>
      <c r="HT21" s="449"/>
      <c r="HU21" s="449"/>
      <c r="HV21" s="449"/>
      <c r="HW21" s="449"/>
      <c r="HX21" s="449"/>
      <c r="HY21" s="449"/>
      <c r="HZ21" s="449"/>
      <c r="IA21" s="449"/>
      <c r="IB21" s="449"/>
      <c r="IC21" s="449"/>
      <c r="ID21" s="449"/>
      <c r="IE21" s="449"/>
      <c r="IF21" s="449"/>
      <c r="IG21" s="449"/>
      <c r="IH21" s="449"/>
      <c r="II21" s="449"/>
      <c r="IJ21" s="449"/>
      <c r="IK21" s="449"/>
      <c r="IL21" s="449"/>
      <c r="IM21" s="449"/>
      <c r="IN21" s="449"/>
      <c r="IO21" s="449"/>
      <c r="IP21" s="449"/>
      <c r="IQ21" s="449"/>
      <c r="IR21" s="449"/>
      <c r="IS21" s="449"/>
      <c r="IT21" s="449"/>
      <c r="IU21" s="449"/>
      <c r="IV21" s="449"/>
    </row>
    <row r="22" spans="1:256" ht="16.5" customHeight="1">
      <c r="A22" s="692" t="s">
        <v>369</v>
      </c>
      <c r="B22" s="445"/>
      <c r="C22" s="467"/>
      <c r="D22" s="1679">
        <v>3.181</v>
      </c>
      <c r="E22" s="1676"/>
      <c r="F22" s="1679">
        <v>0</v>
      </c>
      <c r="G22" s="1676"/>
      <c r="H22" s="1679">
        <v>2.3E-2</v>
      </c>
      <c r="I22" s="1676"/>
      <c r="J22" s="1679">
        <v>0</v>
      </c>
      <c r="K22" s="3009"/>
      <c r="L22" s="1680">
        <f>ROUND(SUM(D22)+SUM(F22)-SUM(H22)+SUM(J22),3)</f>
        <v>3.1579999999999999</v>
      </c>
      <c r="M22" s="447"/>
      <c r="N22" s="449"/>
      <c r="O22" s="455"/>
      <c r="P22" s="449"/>
      <c r="Q22" s="449"/>
      <c r="R22" s="449"/>
      <c r="S22" s="449"/>
      <c r="T22" s="449"/>
      <c r="U22" s="449"/>
      <c r="V22" s="449"/>
      <c r="W22" s="449"/>
      <c r="X22" s="449"/>
      <c r="Y22" s="449"/>
      <c r="Z22" s="449"/>
      <c r="AA22" s="449"/>
      <c r="AB22" s="449"/>
      <c r="AC22" s="449"/>
      <c r="AD22" s="449"/>
      <c r="AE22" s="449"/>
      <c r="AF22" s="449"/>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449"/>
      <c r="BW22" s="449"/>
      <c r="BX22" s="449"/>
      <c r="BY22" s="449"/>
      <c r="BZ22" s="449"/>
      <c r="CA22" s="449"/>
      <c r="CB22" s="449"/>
      <c r="CC22" s="449"/>
      <c r="CD22" s="449"/>
      <c r="CE22" s="449"/>
      <c r="CF22" s="449"/>
      <c r="CG22" s="449"/>
      <c r="CH22" s="449"/>
      <c r="CI22" s="449"/>
      <c r="CJ22" s="449"/>
      <c r="CK22" s="449"/>
      <c r="CL22" s="449"/>
      <c r="CM22" s="449"/>
      <c r="CN22" s="449"/>
      <c r="CO22" s="449"/>
      <c r="CP22" s="449"/>
      <c r="CQ22" s="449"/>
      <c r="CR22" s="449"/>
      <c r="CS22" s="449"/>
      <c r="CT22" s="449"/>
      <c r="CU22" s="449"/>
      <c r="CV22" s="449"/>
      <c r="CW22" s="449"/>
      <c r="CX22" s="449"/>
      <c r="CY22" s="449"/>
      <c r="CZ22" s="449"/>
      <c r="DA22" s="449"/>
      <c r="DB22" s="449"/>
      <c r="DC22" s="449"/>
      <c r="DD22" s="449"/>
      <c r="DE22" s="449"/>
      <c r="DF22" s="449"/>
      <c r="DG22" s="449"/>
      <c r="DH22" s="449"/>
      <c r="DI22" s="449"/>
      <c r="DJ22" s="449"/>
      <c r="DK22" s="449"/>
      <c r="DL22" s="449"/>
      <c r="DM22" s="449"/>
      <c r="DN22" s="449"/>
      <c r="DO22" s="449"/>
      <c r="DP22" s="449"/>
      <c r="DQ22" s="449"/>
      <c r="DR22" s="449"/>
      <c r="DS22" s="449"/>
      <c r="DT22" s="449"/>
      <c r="DU22" s="449"/>
      <c r="DV22" s="449"/>
      <c r="DW22" s="449"/>
      <c r="DX22" s="449"/>
      <c r="DY22" s="449"/>
      <c r="DZ22" s="449"/>
      <c r="EA22" s="449"/>
      <c r="EB22" s="449"/>
      <c r="EC22" s="449"/>
      <c r="ED22" s="449"/>
      <c r="EE22" s="449"/>
      <c r="EF22" s="449"/>
      <c r="EG22" s="449"/>
      <c r="EH22" s="449"/>
      <c r="EI22" s="449"/>
      <c r="EJ22" s="449"/>
      <c r="EK22" s="449"/>
      <c r="EL22" s="449"/>
      <c r="EM22" s="449"/>
      <c r="EN22" s="449"/>
      <c r="EO22" s="449"/>
      <c r="EP22" s="449"/>
      <c r="EQ22" s="449"/>
      <c r="ER22" s="449"/>
      <c r="ES22" s="449"/>
      <c r="ET22" s="449"/>
      <c r="EU22" s="449"/>
      <c r="EV22" s="449"/>
      <c r="EW22" s="449"/>
      <c r="EX22" s="449"/>
      <c r="EY22" s="449"/>
      <c r="EZ22" s="449"/>
      <c r="FA22" s="449"/>
      <c r="FB22" s="449"/>
      <c r="FC22" s="449"/>
      <c r="FD22" s="449"/>
      <c r="FE22" s="449"/>
      <c r="FF22" s="449"/>
      <c r="FG22" s="449"/>
      <c r="FH22" s="449"/>
      <c r="FI22" s="449"/>
      <c r="FJ22" s="449"/>
      <c r="FK22" s="449"/>
      <c r="FL22" s="449"/>
      <c r="FM22" s="449"/>
      <c r="FN22" s="449"/>
      <c r="FO22" s="449"/>
      <c r="FP22" s="449"/>
      <c r="FQ22" s="449"/>
      <c r="FR22" s="449"/>
      <c r="FS22" s="449"/>
      <c r="FT22" s="449"/>
      <c r="FU22" s="449"/>
      <c r="FV22" s="449"/>
      <c r="FW22" s="449"/>
      <c r="FX22" s="449"/>
      <c r="FY22" s="449"/>
      <c r="FZ22" s="449"/>
      <c r="GA22" s="449"/>
      <c r="GB22" s="449"/>
      <c r="GC22" s="449"/>
      <c r="GD22" s="449"/>
      <c r="GE22" s="449"/>
      <c r="GF22" s="449"/>
      <c r="GG22" s="449"/>
      <c r="GH22" s="449"/>
      <c r="GI22" s="449"/>
      <c r="GJ22" s="449"/>
      <c r="GK22" s="449"/>
      <c r="GL22" s="449"/>
      <c r="GM22" s="449"/>
      <c r="GN22" s="449"/>
      <c r="GO22" s="449"/>
      <c r="GP22" s="449"/>
      <c r="GQ22" s="449"/>
      <c r="GR22" s="449"/>
      <c r="GS22" s="449"/>
      <c r="GT22" s="449"/>
      <c r="GU22" s="449"/>
      <c r="GV22" s="449"/>
      <c r="GW22" s="449"/>
      <c r="GX22" s="449"/>
      <c r="GY22" s="449"/>
      <c r="GZ22" s="449"/>
      <c r="HA22" s="449"/>
      <c r="HB22" s="449"/>
      <c r="HC22" s="449"/>
      <c r="HD22" s="449"/>
      <c r="HE22" s="449"/>
      <c r="HF22" s="449"/>
      <c r="HG22" s="449"/>
      <c r="HH22" s="449"/>
      <c r="HI22" s="449"/>
      <c r="HJ22" s="449"/>
      <c r="HK22" s="449"/>
      <c r="HL22" s="449"/>
      <c r="HM22" s="449"/>
      <c r="HN22" s="449"/>
      <c r="HO22" s="449"/>
      <c r="HP22" s="449"/>
      <c r="HQ22" s="449"/>
      <c r="HR22" s="449"/>
      <c r="HS22" s="449"/>
      <c r="HT22" s="449"/>
      <c r="HU22" s="449"/>
      <c r="HV22" s="449"/>
      <c r="HW22" s="449"/>
      <c r="HX22" s="449"/>
      <c r="HY22" s="449"/>
      <c r="HZ22" s="449"/>
      <c r="IA22" s="449"/>
      <c r="IB22" s="449"/>
      <c r="IC22" s="449"/>
      <c r="ID22" s="449"/>
      <c r="IE22" s="449"/>
      <c r="IF22" s="449"/>
      <c r="IG22" s="449"/>
      <c r="IH22" s="449"/>
      <c r="II22" s="449"/>
      <c r="IJ22" s="449"/>
      <c r="IK22" s="449"/>
      <c r="IL22" s="449"/>
      <c r="IM22" s="449"/>
      <c r="IN22" s="449"/>
      <c r="IO22" s="449"/>
      <c r="IP22" s="449"/>
      <c r="IQ22" s="449"/>
      <c r="IR22" s="449"/>
      <c r="IS22" s="449"/>
      <c r="IT22" s="449"/>
      <c r="IU22" s="449"/>
      <c r="IV22" s="449"/>
    </row>
    <row r="23" spans="1:256" ht="15.75" customHeight="1">
      <c r="A23" s="692" t="s">
        <v>370</v>
      </c>
      <c r="B23" s="445"/>
      <c r="C23" s="445"/>
      <c r="D23" s="1681">
        <v>11.574999999999999</v>
      </c>
      <c r="E23" s="1676"/>
      <c r="F23" s="1681">
        <v>0.06</v>
      </c>
      <c r="G23" s="1676"/>
      <c r="H23" s="1681">
        <v>1.7000000000000001E-2</v>
      </c>
      <c r="I23" s="1676"/>
      <c r="J23" s="1681">
        <v>0</v>
      </c>
      <c r="K23" s="3009"/>
      <c r="L23" s="1682">
        <f>ROUND(SUM(D23)+SUM(F23)-SUM(H23)+SUM(J23),3)</f>
        <v>11.618</v>
      </c>
      <c r="M23" s="447"/>
      <c r="N23" s="449"/>
      <c r="O23" s="455"/>
      <c r="P23" s="449"/>
      <c r="Q23" s="449"/>
      <c r="R23" s="449"/>
      <c r="S23" s="449"/>
      <c r="T23" s="449"/>
      <c r="U23" s="449"/>
      <c r="V23" s="449"/>
      <c r="W23" s="449"/>
      <c r="X23" s="449"/>
      <c r="Y23" s="449"/>
      <c r="Z23" s="449"/>
      <c r="AA23" s="449"/>
      <c r="AB23" s="449"/>
      <c r="AC23" s="449"/>
      <c r="AD23" s="449"/>
      <c r="AE23" s="449"/>
      <c r="AF23" s="449"/>
      <c r="AG23" s="449"/>
      <c r="AH23" s="449"/>
      <c r="AI23" s="449"/>
      <c r="AJ23" s="449"/>
      <c r="AK23" s="449"/>
      <c r="AL23" s="449"/>
      <c r="AM23" s="449"/>
      <c r="AN23" s="449"/>
      <c r="AO23" s="449"/>
      <c r="AP23" s="449"/>
      <c r="AQ23" s="449"/>
      <c r="AR23" s="449"/>
      <c r="AS23" s="449"/>
      <c r="AT23" s="449"/>
      <c r="AU23" s="449"/>
      <c r="AV23" s="449"/>
      <c r="AW23" s="449"/>
      <c r="AX23" s="449"/>
      <c r="AY23" s="449"/>
      <c r="AZ23" s="449"/>
      <c r="BA23" s="449"/>
      <c r="BB23" s="449"/>
      <c r="BC23" s="449"/>
      <c r="BD23" s="449"/>
      <c r="BE23" s="449"/>
      <c r="BF23" s="449"/>
      <c r="BG23" s="449"/>
      <c r="BH23" s="449"/>
      <c r="BI23" s="449"/>
      <c r="BJ23" s="449"/>
      <c r="BK23" s="449"/>
      <c r="BL23" s="449"/>
      <c r="BM23" s="449"/>
      <c r="BN23" s="449"/>
      <c r="BO23" s="449"/>
      <c r="BP23" s="449"/>
      <c r="BQ23" s="449"/>
      <c r="BR23" s="449"/>
      <c r="BS23" s="449"/>
      <c r="BT23" s="449"/>
      <c r="BU23" s="449"/>
      <c r="BV23" s="449"/>
      <c r="BW23" s="449"/>
      <c r="BX23" s="449"/>
      <c r="BY23" s="449"/>
      <c r="BZ23" s="449"/>
      <c r="CA23" s="449"/>
      <c r="CB23" s="449"/>
      <c r="CC23" s="449"/>
      <c r="CD23" s="449"/>
      <c r="CE23" s="449"/>
      <c r="CF23" s="449"/>
      <c r="CG23" s="449"/>
      <c r="CH23" s="449"/>
      <c r="CI23" s="449"/>
      <c r="CJ23" s="449"/>
      <c r="CK23" s="449"/>
      <c r="CL23" s="449"/>
      <c r="CM23" s="449"/>
      <c r="CN23" s="449"/>
      <c r="CO23" s="449"/>
      <c r="CP23" s="449"/>
      <c r="CQ23" s="449"/>
      <c r="CR23" s="449"/>
      <c r="CS23" s="449"/>
      <c r="CT23" s="449"/>
      <c r="CU23" s="449"/>
      <c r="CV23" s="449"/>
      <c r="CW23" s="449"/>
      <c r="CX23" s="449"/>
      <c r="CY23" s="449"/>
      <c r="CZ23" s="449"/>
      <c r="DA23" s="449"/>
      <c r="DB23" s="449"/>
      <c r="DC23" s="449"/>
      <c r="DD23" s="449"/>
      <c r="DE23" s="449"/>
      <c r="DF23" s="449"/>
      <c r="DG23" s="449"/>
      <c r="DH23" s="449"/>
      <c r="DI23" s="449"/>
      <c r="DJ23" s="449"/>
      <c r="DK23" s="449"/>
      <c r="DL23" s="449"/>
      <c r="DM23" s="449"/>
      <c r="DN23" s="449"/>
      <c r="DO23" s="449"/>
      <c r="DP23" s="449"/>
      <c r="DQ23" s="449"/>
      <c r="DR23" s="449"/>
      <c r="DS23" s="449"/>
      <c r="DT23" s="449"/>
      <c r="DU23" s="449"/>
      <c r="DV23" s="449"/>
      <c r="DW23" s="449"/>
      <c r="DX23" s="449"/>
      <c r="DY23" s="449"/>
      <c r="DZ23" s="449"/>
      <c r="EA23" s="449"/>
      <c r="EB23" s="449"/>
      <c r="EC23" s="449"/>
      <c r="ED23" s="449"/>
      <c r="EE23" s="449"/>
      <c r="EF23" s="449"/>
      <c r="EG23" s="449"/>
      <c r="EH23" s="449"/>
      <c r="EI23" s="449"/>
      <c r="EJ23" s="449"/>
      <c r="EK23" s="449"/>
      <c r="EL23" s="449"/>
      <c r="EM23" s="449"/>
      <c r="EN23" s="449"/>
      <c r="EO23" s="449"/>
      <c r="EP23" s="449"/>
      <c r="EQ23" s="449"/>
      <c r="ER23" s="449"/>
      <c r="ES23" s="449"/>
      <c r="ET23" s="449"/>
      <c r="EU23" s="449"/>
      <c r="EV23" s="449"/>
      <c r="EW23" s="449"/>
      <c r="EX23" s="449"/>
      <c r="EY23" s="449"/>
      <c r="EZ23" s="449"/>
      <c r="FA23" s="449"/>
      <c r="FB23" s="449"/>
      <c r="FC23" s="449"/>
      <c r="FD23" s="449"/>
      <c r="FE23" s="449"/>
      <c r="FF23" s="449"/>
      <c r="FG23" s="449"/>
      <c r="FH23" s="449"/>
      <c r="FI23" s="449"/>
      <c r="FJ23" s="449"/>
      <c r="FK23" s="449"/>
      <c r="FL23" s="449"/>
      <c r="FM23" s="449"/>
      <c r="FN23" s="449"/>
      <c r="FO23" s="449"/>
      <c r="FP23" s="449"/>
      <c r="FQ23" s="449"/>
      <c r="FR23" s="449"/>
      <c r="FS23" s="449"/>
      <c r="FT23" s="449"/>
      <c r="FU23" s="449"/>
      <c r="FV23" s="449"/>
      <c r="FW23" s="449"/>
      <c r="FX23" s="449"/>
      <c r="FY23" s="449"/>
      <c r="FZ23" s="449"/>
      <c r="GA23" s="449"/>
      <c r="GB23" s="449"/>
      <c r="GC23" s="449"/>
      <c r="GD23" s="449"/>
      <c r="GE23" s="449"/>
      <c r="GF23" s="449"/>
      <c r="GG23" s="449"/>
      <c r="GH23" s="449"/>
      <c r="GI23" s="449"/>
      <c r="GJ23" s="449"/>
      <c r="GK23" s="449"/>
      <c r="GL23" s="449"/>
      <c r="GM23" s="449"/>
      <c r="GN23" s="449"/>
      <c r="GO23" s="449"/>
      <c r="GP23" s="449"/>
      <c r="GQ23" s="449"/>
      <c r="GR23" s="449"/>
      <c r="GS23" s="449"/>
      <c r="GT23" s="449"/>
      <c r="GU23" s="449"/>
      <c r="GV23" s="449"/>
      <c r="GW23" s="449"/>
      <c r="GX23" s="449"/>
      <c r="GY23" s="449"/>
      <c r="GZ23" s="449"/>
      <c r="HA23" s="449"/>
      <c r="HB23" s="449"/>
      <c r="HC23" s="449"/>
      <c r="HD23" s="449"/>
      <c r="HE23" s="449"/>
      <c r="HF23" s="449"/>
      <c r="HG23" s="449"/>
      <c r="HH23" s="449"/>
      <c r="HI23" s="449"/>
      <c r="HJ23" s="449"/>
      <c r="HK23" s="449"/>
      <c r="HL23" s="449"/>
      <c r="HM23" s="449"/>
      <c r="HN23" s="449"/>
      <c r="HO23" s="449"/>
      <c r="HP23" s="449"/>
      <c r="HQ23" s="449"/>
      <c r="HR23" s="449"/>
      <c r="HS23" s="449"/>
      <c r="HT23" s="449"/>
      <c r="HU23" s="449"/>
      <c r="HV23" s="449"/>
      <c r="HW23" s="449"/>
      <c r="HX23" s="449"/>
      <c r="HY23" s="449"/>
      <c r="HZ23" s="449"/>
      <c r="IA23" s="449"/>
      <c r="IB23" s="449"/>
      <c r="IC23" s="449"/>
      <c r="ID23" s="449"/>
      <c r="IE23" s="449"/>
      <c r="IF23" s="449"/>
      <c r="IG23" s="449"/>
      <c r="IH23" s="449"/>
      <c r="II23" s="449"/>
      <c r="IJ23" s="449"/>
      <c r="IK23" s="449"/>
      <c r="IL23" s="449"/>
      <c r="IM23" s="449"/>
      <c r="IN23" s="449"/>
      <c r="IO23" s="449"/>
      <c r="IP23" s="449"/>
      <c r="IQ23" s="449"/>
      <c r="IR23" s="449"/>
      <c r="IS23" s="449"/>
      <c r="IT23" s="449"/>
      <c r="IU23" s="449"/>
      <c r="IV23" s="449"/>
    </row>
    <row r="24" spans="1:256" ht="6.75" customHeight="1">
      <c r="A24" s="692"/>
      <c r="B24" s="445"/>
      <c r="C24" s="445"/>
      <c r="D24" s="443"/>
      <c r="E24" s="442"/>
      <c r="F24" s="443" t="s">
        <v>14</v>
      </c>
      <c r="G24" s="442"/>
      <c r="H24" s="693"/>
      <c r="I24" s="442"/>
      <c r="J24" s="694"/>
      <c r="K24" s="442"/>
      <c r="L24" s="443"/>
      <c r="M24" s="447"/>
      <c r="N24" s="449"/>
      <c r="O24" s="455"/>
      <c r="P24" s="449"/>
      <c r="Q24" s="449"/>
      <c r="R24" s="449"/>
      <c r="S24" s="449"/>
      <c r="T24" s="449"/>
      <c r="U24" s="449"/>
      <c r="V24" s="449"/>
      <c r="W24" s="449"/>
      <c r="X24" s="449"/>
      <c r="Y24" s="449"/>
      <c r="Z24" s="449"/>
      <c r="AA24" s="449"/>
      <c r="AB24" s="449"/>
      <c r="AC24" s="449"/>
      <c r="AD24" s="449"/>
      <c r="AE24" s="449"/>
      <c r="AF24" s="449"/>
      <c r="AG24" s="449"/>
      <c r="AH24" s="449"/>
      <c r="AI24" s="449"/>
      <c r="AJ24" s="449"/>
      <c r="AK24" s="449"/>
      <c r="AL24" s="449"/>
      <c r="AM24" s="449"/>
      <c r="AN24" s="449"/>
      <c r="AO24" s="449"/>
      <c r="AP24" s="449"/>
      <c r="AQ24" s="449"/>
      <c r="AR24" s="449"/>
      <c r="AS24" s="449"/>
      <c r="AT24" s="449"/>
      <c r="AU24" s="449"/>
      <c r="AV24" s="449"/>
      <c r="AW24" s="449"/>
      <c r="AX24" s="449"/>
      <c r="AY24" s="449"/>
      <c r="AZ24" s="449"/>
      <c r="BA24" s="449"/>
      <c r="BB24" s="449"/>
      <c r="BC24" s="449"/>
      <c r="BD24" s="449"/>
      <c r="BE24" s="449"/>
      <c r="BF24" s="449"/>
      <c r="BG24" s="449"/>
      <c r="BH24" s="449"/>
      <c r="BI24" s="449"/>
      <c r="BJ24" s="449"/>
      <c r="BK24" s="449"/>
      <c r="BL24" s="449"/>
      <c r="BM24" s="449"/>
      <c r="BN24" s="449"/>
      <c r="BO24" s="449"/>
      <c r="BP24" s="449"/>
      <c r="BQ24" s="449"/>
      <c r="BR24" s="449"/>
      <c r="BS24" s="449"/>
      <c r="BT24" s="449"/>
      <c r="BU24" s="449"/>
      <c r="BV24" s="449"/>
      <c r="BW24" s="449"/>
      <c r="BX24" s="449"/>
      <c r="BY24" s="449"/>
      <c r="BZ24" s="449"/>
      <c r="CA24" s="449"/>
      <c r="CB24" s="449"/>
      <c r="CC24" s="449"/>
      <c r="CD24" s="449"/>
      <c r="CE24" s="449"/>
      <c r="CF24" s="449"/>
      <c r="CG24" s="449"/>
      <c r="CH24" s="449"/>
      <c r="CI24" s="449"/>
      <c r="CJ24" s="449"/>
      <c r="CK24" s="449"/>
      <c r="CL24" s="449"/>
      <c r="CM24" s="449"/>
      <c r="CN24" s="449"/>
      <c r="CO24" s="449"/>
      <c r="CP24" s="449"/>
      <c r="CQ24" s="449"/>
      <c r="CR24" s="449"/>
      <c r="CS24" s="449"/>
      <c r="CT24" s="449"/>
      <c r="CU24" s="449"/>
      <c r="CV24" s="449"/>
      <c r="CW24" s="449"/>
      <c r="CX24" s="449"/>
      <c r="CY24" s="449"/>
      <c r="CZ24" s="449"/>
      <c r="DA24" s="449"/>
      <c r="DB24" s="449"/>
      <c r="DC24" s="449"/>
      <c r="DD24" s="449"/>
      <c r="DE24" s="449"/>
      <c r="DF24" s="449"/>
      <c r="DG24" s="449"/>
      <c r="DH24" s="449"/>
      <c r="DI24" s="449"/>
      <c r="DJ24" s="449"/>
      <c r="DK24" s="449"/>
      <c r="DL24" s="449"/>
      <c r="DM24" s="449"/>
      <c r="DN24" s="449"/>
      <c r="DO24" s="449"/>
      <c r="DP24" s="449"/>
      <c r="DQ24" s="449"/>
      <c r="DR24" s="449"/>
      <c r="DS24" s="449"/>
      <c r="DT24" s="449"/>
      <c r="DU24" s="449"/>
      <c r="DV24" s="449"/>
      <c r="DW24" s="449"/>
      <c r="DX24" s="449"/>
      <c r="DY24" s="449"/>
      <c r="DZ24" s="449"/>
      <c r="EA24" s="449"/>
      <c r="EB24" s="449"/>
      <c r="EC24" s="449"/>
      <c r="ED24" s="449"/>
      <c r="EE24" s="449"/>
      <c r="EF24" s="449"/>
      <c r="EG24" s="449"/>
      <c r="EH24" s="449"/>
      <c r="EI24" s="449"/>
      <c r="EJ24" s="449"/>
      <c r="EK24" s="449"/>
      <c r="EL24" s="449"/>
      <c r="EM24" s="449"/>
      <c r="EN24" s="449"/>
      <c r="EO24" s="449"/>
      <c r="EP24" s="449"/>
      <c r="EQ24" s="449"/>
      <c r="ER24" s="449"/>
      <c r="ES24" s="449"/>
      <c r="ET24" s="449"/>
      <c r="EU24" s="449"/>
      <c r="EV24" s="449"/>
      <c r="EW24" s="449"/>
      <c r="EX24" s="449"/>
      <c r="EY24" s="449"/>
      <c r="EZ24" s="449"/>
      <c r="FA24" s="449"/>
      <c r="FB24" s="449"/>
      <c r="FC24" s="449"/>
      <c r="FD24" s="449"/>
      <c r="FE24" s="449"/>
      <c r="FF24" s="449"/>
      <c r="FG24" s="449"/>
      <c r="FH24" s="449"/>
      <c r="FI24" s="449"/>
      <c r="FJ24" s="449"/>
      <c r="FK24" s="449"/>
      <c r="FL24" s="449"/>
      <c r="FM24" s="449"/>
      <c r="FN24" s="449"/>
      <c r="FO24" s="449"/>
      <c r="FP24" s="449"/>
      <c r="FQ24" s="449"/>
      <c r="FR24" s="449"/>
      <c r="FS24" s="449"/>
      <c r="FT24" s="449"/>
      <c r="FU24" s="449"/>
      <c r="FV24" s="449"/>
      <c r="FW24" s="449"/>
      <c r="FX24" s="449"/>
      <c r="FY24" s="449"/>
      <c r="FZ24" s="449"/>
      <c r="GA24" s="449"/>
      <c r="GB24" s="449"/>
      <c r="GC24" s="449"/>
      <c r="GD24" s="449"/>
      <c r="GE24" s="449"/>
      <c r="GF24" s="449"/>
      <c r="GG24" s="449"/>
      <c r="GH24" s="449"/>
      <c r="GI24" s="449"/>
      <c r="GJ24" s="449"/>
      <c r="GK24" s="449"/>
      <c r="GL24" s="449"/>
      <c r="GM24" s="449"/>
      <c r="GN24" s="449"/>
      <c r="GO24" s="449"/>
      <c r="GP24" s="449"/>
      <c r="GQ24" s="449"/>
      <c r="GR24" s="449"/>
      <c r="GS24" s="449"/>
      <c r="GT24" s="449"/>
      <c r="GU24" s="449"/>
      <c r="GV24" s="449"/>
      <c r="GW24" s="449"/>
      <c r="GX24" s="449"/>
      <c r="GY24" s="449"/>
      <c r="GZ24" s="449"/>
      <c r="HA24" s="449"/>
      <c r="HB24" s="449"/>
      <c r="HC24" s="449"/>
      <c r="HD24" s="449"/>
      <c r="HE24" s="449"/>
      <c r="HF24" s="449"/>
      <c r="HG24" s="449"/>
      <c r="HH24" s="449"/>
      <c r="HI24" s="449"/>
      <c r="HJ24" s="449"/>
      <c r="HK24" s="449"/>
      <c r="HL24" s="449"/>
      <c r="HM24" s="449"/>
      <c r="HN24" s="449"/>
      <c r="HO24" s="449"/>
      <c r="HP24" s="449"/>
      <c r="HQ24" s="449"/>
      <c r="HR24" s="449"/>
      <c r="HS24" s="449"/>
      <c r="HT24" s="449"/>
      <c r="HU24" s="449"/>
      <c r="HV24" s="449"/>
      <c r="HW24" s="449"/>
      <c r="HX24" s="449"/>
      <c r="HY24" s="449"/>
      <c r="HZ24" s="449"/>
      <c r="IA24" s="449"/>
      <c r="IB24" s="449"/>
      <c r="IC24" s="449"/>
      <c r="ID24" s="449"/>
      <c r="IE24" s="449"/>
      <c r="IF24" s="449"/>
      <c r="IG24" s="449"/>
      <c r="IH24" s="449"/>
      <c r="II24" s="449"/>
      <c r="IJ24" s="449"/>
      <c r="IK24" s="449"/>
      <c r="IL24" s="449"/>
      <c r="IM24" s="449"/>
      <c r="IN24" s="449"/>
      <c r="IO24" s="449"/>
      <c r="IP24" s="449"/>
      <c r="IQ24" s="449"/>
      <c r="IR24" s="449"/>
      <c r="IS24" s="449"/>
      <c r="IT24" s="449"/>
      <c r="IU24" s="449"/>
      <c r="IV24" s="449"/>
    </row>
    <row r="25" spans="1:256" ht="17.25" customHeight="1">
      <c r="A25" s="451" t="s">
        <v>1117</v>
      </c>
      <c r="B25" s="445"/>
      <c r="C25" s="467"/>
      <c r="D25" s="695">
        <f>ROUND(SUM(D21:D23),3)</f>
        <v>42.091999999999999</v>
      </c>
      <c r="E25" s="691"/>
      <c r="F25" s="695">
        <f>ROUND(SUM(F21:F23),3)</f>
        <v>0.51900000000000002</v>
      </c>
      <c r="G25" s="691"/>
      <c r="H25" s="695">
        <f>ROUND(SUM(H21:H23),3)</f>
        <v>4.4999999999999998E-2</v>
      </c>
      <c r="I25" s="691"/>
      <c r="J25" s="695">
        <f>ROUND(SUM(J21:J23),3)</f>
        <v>0</v>
      </c>
      <c r="K25" s="691"/>
      <c r="L25" s="695">
        <f>ROUND(SUM(L21:L23),3)</f>
        <v>42.566000000000003</v>
      </c>
      <c r="M25" s="459"/>
      <c r="N25" s="460"/>
      <c r="O25" s="455"/>
      <c r="P25" s="449"/>
      <c r="Q25" s="449"/>
      <c r="R25" s="449"/>
      <c r="S25" s="449"/>
      <c r="T25" s="449"/>
      <c r="U25" s="449"/>
      <c r="V25" s="449"/>
      <c r="W25" s="449"/>
      <c r="X25" s="449"/>
      <c r="Y25" s="449"/>
      <c r="Z25" s="449"/>
      <c r="AA25" s="449"/>
      <c r="AB25" s="449"/>
      <c r="AC25" s="449"/>
      <c r="AD25" s="449"/>
      <c r="AE25" s="449"/>
      <c r="AF25" s="449"/>
      <c r="AG25" s="449"/>
      <c r="AH25" s="449"/>
      <c r="AI25" s="449"/>
      <c r="AJ25" s="449"/>
      <c r="AK25" s="449"/>
      <c r="AL25" s="449"/>
      <c r="AM25" s="449"/>
      <c r="AN25" s="449"/>
      <c r="AO25" s="449"/>
      <c r="AP25" s="449"/>
      <c r="AQ25" s="449"/>
      <c r="AR25" s="449"/>
      <c r="AS25" s="449"/>
      <c r="AT25" s="449"/>
      <c r="AU25" s="449"/>
      <c r="AV25" s="449"/>
      <c r="AW25" s="449"/>
      <c r="AX25" s="449"/>
      <c r="AY25" s="449"/>
      <c r="AZ25" s="449"/>
      <c r="BA25" s="449"/>
      <c r="BB25" s="449"/>
      <c r="BC25" s="449"/>
      <c r="BD25" s="449"/>
      <c r="BE25" s="449"/>
      <c r="BF25" s="449"/>
      <c r="BG25" s="449"/>
      <c r="BH25" s="449"/>
      <c r="BI25" s="449"/>
      <c r="BJ25" s="449"/>
      <c r="BK25" s="449"/>
      <c r="BL25" s="449"/>
      <c r="BM25" s="449"/>
      <c r="BN25" s="449"/>
      <c r="BO25" s="449"/>
      <c r="BP25" s="449"/>
      <c r="BQ25" s="449"/>
      <c r="BR25" s="449"/>
      <c r="BS25" s="449"/>
      <c r="BT25" s="449"/>
      <c r="BU25" s="449"/>
      <c r="BV25" s="449"/>
      <c r="BW25" s="449"/>
      <c r="BX25" s="449"/>
      <c r="BY25" s="449"/>
      <c r="BZ25" s="449"/>
      <c r="CA25" s="449"/>
      <c r="CB25" s="449"/>
      <c r="CC25" s="449"/>
      <c r="CD25" s="449"/>
      <c r="CE25" s="449"/>
      <c r="CF25" s="449"/>
      <c r="CG25" s="449"/>
      <c r="CH25" s="449"/>
      <c r="CI25" s="449"/>
      <c r="CJ25" s="449"/>
      <c r="CK25" s="449"/>
      <c r="CL25" s="449"/>
      <c r="CM25" s="449"/>
      <c r="CN25" s="449"/>
      <c r="CO25" s="449"/>
      <c r="CP25" s="449"/>
      <c r="CQ25" s="449"/>
      <c r="CR25" s="449"/>
      <c r="CS25" s="449"/>
      <c r="CT25" s="449"/>
      <c r="CU25" s="449"/>
      <c r="CV25" s="449"/>
      <c r="CW25" s="449"/>
      <c r="CX25" s="449"/>
      <c r="CY25" s="449"/>
      <c r="CZ25" s="449"/>
      <c r="DA25" s="449"/>
      <c r="DB25" s="449"/>
      <c r="DC25" s="449"/>
      <c r="DD25" s="449"/>
      <c r="DE25" s="449"/>
      <c r="DF25" s="449"/>
      <c r="DG25" s="449"/>
      <c r="DH25" s="449"/>
      <c r="DI25" s="449"/>
      <c r="DJ25" s="449"/>
      <c r="DK25" s="449"/>
      <c r="DL25" s="449"/>
      <c r="DM25" s="449"/>
      <c r="DN25" s="449"/>
      <c r="DO25" s="449"/>
      <c r="DP25" s="449"/>
      <c r="DQ25" s="449"/>
      <c r="DR25" s="449"/>
      <c r="DS25" s="449"/>
      <c r="DT25" s="449"/>
      <c r="DU25" s="449"/>
      <c r="DV25" s="449"/>
      <c r="DW25" s="449"/>
      <c r="DX25" s="449"/>
      <c r="DY25" s="449"/>
      <c r="DZ25" s="449"/>
      <c r="EA25" s="449"/>
      <c r="EB25" s="449"/>
      <c r="EC25" s="449"/>
      <c r="ED25" s="449"/>
      <c r="EE25" s="449"/>
      <c r="EF25" s="449"/>
      <c r="EG25" s="449"/>
      <c r="EH25" s="449"/>
      <c r="EI25" s="449"/>
      <c r="EJ25" s="449"/>
      <c r="EK25" s="449"/>
      <c r="EL25" s="449"/>
      <c r="EM25" s="449"/>
      <c r="EN25" s="449"/>
      <c r="EO25" s="449"/>
      <c r="EP25" s="449"/>
      <c r="EQ25" s="449"/>
      <c r="ER25" s="449"/>
      <c r="ES25" s="449"/>
      <c r="ET25" s="449"/>
      <c r="EU25" s="449"/>
      <c r="EV25" s="449"/>
      <c r="EW25" s="449"/>
      <c r="EX25" s="449"/>
      <c r="EY25" s="449"/>
      <c r="EZ25" s="449"/>
      <c r="FA25" s="449"/>
      <c r="FB25" s="449"/>
      <c r="FC25" s="449"/>
      <c r="FD25" s="449"/>
      <c r="FE25" s="449"/>
      <c r="FF25" s="449"/>
      <c r="FG25" s="449"/>
      <c r="FH25" s="449"/>
      <c r="FI25" s="449"/>
      <c r="FJ25" s="449"/>
      <c r="FK25" s="449"/>
      <c r="FL25" s="449"/>
      <c r="FM25" s="449"/>
      <c r="FN25" s="449"/>
      <c r="FO25" s="449"/>
      <c r="FP25" s="449"/>
      <c r="FQ25" s="449"/>
      <c r="FR25" s="449"/>
      <c r="FS25" s="449"/>
      <c r="FT25" s="449"/>
      <c r="FU25" s="449"/>
      <c r="FV25" s="449"/>
      <c r="FW25" s="449"/>
      <c r="FX25" s="449"/>
      <c r="FY25" s="449"/>
      <c r="FZ25" s="449"/>
      <c r="GA25" s="449"/>
      <c r="GB25" s="449"/>
      <c r="GC25" s="449"/>
      <c r="GD25" s="449"/>
      <c r="GE25" s="449"/>
      <c r="GF25" s="449"/>
      <c r="GG25" s="449"/>
      <c r="GH25" s="449"/>
      <c r="GI25" s="449"/>
      <c r="GJ25" s="449"/>
      <c r="GK25" s="449"/>
      <c r="GL25" s="449"/>
      <c r="GM25" s="449"/>
      <c r="GN25" s="449"/>
      <c r="GO25" s="449"/>
      <c r="GP25" s="449"/>
      <c r="GQ25" s="449"/>
      <c r="GR25" s="449"/>
      <c r="GS25" s="449"/>
      <c r="GT25" s="449"/>
      <c r="GU25" s="449"/>
      <c r="GV25" s="449"/>
      <c r="GW25" s="449"/>
      <c r="GX25" s="449"/>
      <c r="GY25" s="449"/>
      <c r="GZ25" s="449"/>
      <c r="HA25" s="449"/>
      <c r="HB25" s="449"/>
      <c r="HC25" s="449"/>
      <c r="HD25" s="449"/>
      <c r="HE25" s="449"/>
      <c r="HF25" s="449"/>
      <c r="HG25" s="449"/>
      <c r="HH25" s="449"/>
      <c r="HI25" s="449"/>
      <c r="HJ25" s="449"/>
      <c r="HK25" s="449"/>
      <c r="HL25" s="449"/>
      <c r="HM25" s="449"/>
      <c r="HN25" s="449"/>
      <c r="HO25" s="449"/>
      <c r="HP25" s="449"/>
      <c r="HQ25" s="449"/>
      <c r="HR25" s="449"/>
      <c r="HS25" s="449"/>
      <c r="HT25" s="449"/>
      <c r="HU25" s="449"/>
      <c r="HV25" s="449"/>
      <c r="HW25" s="449"/>
      <c r="HX25" s="449"/>
      <c r="HY25" s="449"/>
      <c r="HZ25" s="449"/>
      <c r="IA25" s="449"/>
      <c r="IB25" s="449"/>
      <c r="IC25" s="449"/>
      <c r="ID25" s="449"/>
      <c r="IE25" s="449"/>
      <c r="IF25" s="449"/>
      <c r="IG25" s="449"/>
      <c r="IH25" s="449"/>
      <c r="II25" s="449"/>
      <c r="IJ25" s="449"/>
      <c r="IK25" s="449"/>
      <c r="IL25" s="449"/>
      <c r="IM25" s="449"/>
      <c r="IN25" s="449"/>
      <c r="IO25" s="449"/>
      <c r="IP25" s="449"/>
      <c r="IQ25" s="449"/>
      <c r="IR25" s="449"/>
      <c r="IS25" s="449"/>
      <c r="IT25" s="449"/>
      <c r="IU25" s="449"/>
      <c r="IV25" s="449"/>
    </row>
    <row r="26" spans="1:256" ht="12" customHeight="1">
      <c r="A26" s="445"/>
      <c r="B26" s="445"/>
      <c r="C26" s="445"/>
      <c r="D26" s="691"/>
      <c r="E26" s="689"/>
      <c r="F26" s="691"/>
      <c r="G26" s="689"/>
      <c r="H26" s="691"/>
      <c r="I26" s="689"/>
      <c r="J26" s="691"/>
      <c r="K26" s="689"/>
      <c r="L26" s="691"/>
      <c r="M26" s="447"/>
      <c r="N26" s="449"/>
      <c r="O26" s="455"/>
      <c r="P26" s="449"/>
      <c r="Q26" s="449"/>
      <c r="R26" s="449"/>
      <c r="S26" s="449"/>
      <c r="T26" s="449"/>
      <c r="U26" s="449"/>
      <c r="V26" s="449"/>
      <c r="W26" s="449"/>
      <c r="X26" s="449"/>
      <c r="Y26" s="449"/>
      <c r="Z26" s="449"/>
      <c r="AA26" s="449"/>
      <c r="AB26" s="449"/>
      <c r="AC26" s="449"/>
      <c r="AD26" s="449"/>
      <c r="AE26" s="449"/>
      <c r="AF26" s="449"/>
      <c r="AG26" s="449"/>
      <c r="AH26" s="449"/>
      <c r="AI26" s="449"/>
      <c r="AJ26" s="449"/>
      <c r="AK26" s="449"/>
      <c r="AL26" s="449"/>
      <c r="AM26" s="449"/>
      <c r="AN26" s="449"/>
      <c r="AO26" s="449"/>
      <c r="AP26" s="449"/>
      <c r="AQ26" s="449"/>
      <c r="AR26" s="449"/>
      <c r="AS26" s="449"/>
      <c r="AT26" s="449"/>
      <c r="AU26" s="449"/>
      <c r="AV26" s="449"/>
      <c r="AW26" s="449"/>
      <c r="AX26" s="449"/>
      <c r="AY26" s="449"/>
      <c r="AZ26" s="449"/>
      <c r="BA26" s="449"/>
      <c r="BB26" s="449"/>
      <c r="BC26" s="449"/>
      <c r="BD26" s="449"/>
      <c r="BE26" s="449"/>
      <c r="BF26" s="449"/>
      <c r="BG26" s="449"/>
      <c r="BH26" s="449"/>
      <c r="BI26" s="449"/>
      <c r="BJ26" s="449"/>
      <c r="BK26" s="449"/>
      <c r="BL26" s="449"/>
      <c r="BM26" s="449"/>
      <c r="BN26" s="449"/>
      <c r="BO26" s="449"/>
      <c r="BP26" s="449"/>
      <c r="BQ26" s="449"/>
      <c r="BR26" s="449"/>
      <c r="BS26" s="449"/>
      <c r="BT26" s="449"/>
      <c r="BU26" s="449"/>
      <c r="BV26" s="449"/>
      <c r="BW26" s="449"/>
      <c r="BX26" s="449"/>
      <c r="BY26" s="449"/>
      <c r="BZ26" s="449"/>
      <c r="CA26" s="449"/>
      <c r="CB26" s="449"/>
      <c r="CC26" s="449"/>
      <c r="CD26" s="449"/>
      <c r="CE26" s="449"/>
      <c r="CF26" s="449"/>
      <c r="CG26" s="449"/>
      <c r="CH26" s="449"/>
      <c r="CI26" s="449"/>
      <c r="CJ26" s="449"/>
      <c r="CK26" s="449"/>
      <c r="CL26" s="449"/>
      <c r="CM26" s="449"/>
      <c r="CN26" s="449"/>
      <c r="CO26" s="449"/>
      <c r="CP26" s="449"/>
      <c r="CQ26" s="449"/>
      <c r="CR26" s="449"/>
      <c r="CS26" s="449"/>
      <c r="CT26" s="449"/>
      <c r="CU26" s="449"/>
      <c r="CV26" s="449"/>
      <c r="CW26" s="449"/>
      <c r="CX26" s="449"/>
      <c r="CY26" s="449"/>
      <c r="CZ26" s="449"/>
      <c r="DA26" s="449"/>
      <c r="DB26" s="449"/>
      <c r="DC26" s="449"/>
      <c r="DD26" s="449"/>
      <c r="DE26" s="449"/>
      <c r="DF26" s="449"/>
      <c r="DG26" s="449"/>
      <c r="DH26" s="449"/>
      <c r="DI26" s="449"/>
      <c r="DJ26" s="449"/>
      <c r="DK26" s="449"/>
      <c r="DL26" s="449"/>
      <c r="DM26" s="449"/>
      <c r="DN26" s="449"/>
      <c r="DO26" s="449"/>
      <c r="DP26" s="449"/>
      <c r="DQ26" s="449"/>
      <c r="DR26" s="449"/>
      <c r="DS26" s="449"/>
      <c r="DT26" s="449"/>
      <c r="DU26" s="449"/>
      <c r="DV26" s="449"/>
      <c r="DW26" s="449"/>
      <c r="DX26" s="449"/>
      <c r="DY26" s="449"/>
      <c r="DZ26" s="449"/>
      <c r="EA26" s="449"/>
      <c r="EB26" s="449"/>
      <c r="EC26" s="449"/>
      <c r="ED26" s="449"/>
      <c r="EE26" s="449"/>
      <c r="EF26" s="449"/>
      <c r="EG26" s="449"/>
      <c r="EH26" s="449"/>
      <c r="EI26" s="449"/>
      <c r="EJ26" s="449"/>
      <c r="EK26" s="449"/>
      <c r="EL26" s="449"/>
      <c r="EM26" s="449"/>
      <c r="EN26" s="449"/>
      <c r="EO26" s="449"/>
      <c r="EP26" s="449"/>
      <c r="EQ26" s="449"/>
      <c r="ER26" s="449"/>
      <c r="ES26" s="449"/>
      <c r="ET26" s="449"/>
      <c r="EU26" s="449"/>
      <c r="EV26" s="449"/>
      <c r="EW26" s="449"/>
      <c r="EX26" s="449"/>
      <c r="EY26" s="449"/>
      <c r="EZ26" s="449"/>
      <c r="FA26" s="449"/>
      <c r="FB26" s="449"/>
      <c r="FC26" s="449"/>
      <c r="FD26" s="449"/>
      <c r="FE26" s="449"/>
      <c r="FF26" s="449"/>
      <c r="FG26" s="449"/>
      <c r="FH26" s="449"/>
      <c r="FI26" s="449"/>
      <c r="FJ26" s="449"/>
      <c r="FK26" s="449"/>
      <c r="FL26" s="449"/>
      <c r="FM26" s="449"/>
      <c r="FN26" s="449"/>
      <c r="FO26" s="449"/>
      <c r="FP26" s="449"/>
      <c r="FQ26" s="449"/>
      <c r="FR26" s="449"/>
      <c r="FS26" s="449"/>
      <c r="FT26" s="449"/>
      <c r="FU26" s="449"/>
      <c r="FV26" s="449"/>
      <c r="FW26" s="449"/>
      <c r="FX26" s="449"/>
      <c r="FY26" s="449"/>
      <c r="FZ26" s="449"/>
      <c r="GA26" s="449"/>
      <c r="GB26" s="449"/>
      <c r="GC26" s="449"/>
      <c r="GD26" s="449"/>
      <c r="GE26" s="449"/>
      <c r="GF26" s="449"/>
      <c r="GG26" s="449"/>
      <c r="GH26" s="449"/>
      <c r="GI26" s="449"/>
      <c r="GJ26" s="449"/>
      <c r="GK26" s="449"/>
      <c r="GL26" s="449"/>
      <c r="GM26" s="449"/>
      <c r="GN26" s="449"/>
      <c r="GO26" s="449"/>
      <c r="GP26" s="449"/>
      <c r="GQ26" s="449"/>
      <c r="GR26" s="449"/>
      <c r="GS26" s="449"/>
      <c r="GT26" s="449"/>
      <c r="GU26" s="449"/>
      <c r="GV26" s="449"/>
      <c r="GW26" s="449"/>
      <c r="GX26" s="449"/>
      <c r="GY26" s="449"/>
      <c r="GZ26" s="449"/>
      <c r="HA26" s="449"/>
      <c r="HB26" s="449"/>
      <c r="HC26" s="449"/>
      <c r="HD26" s="449"/>
      <c r="HE26" s="449"/>
      <c r="HF26" s="449"/>
      <c r="HG26" s="449"/>
      <c r="HH26" s="449"/>
      <c r="HI26" s="449"/>
      <c r="HJ26" s="449"/>
      <c r="HK26" s="449"/>
      <c r="HL26" s="449"/>
      <c r="HM26" s="449"/>
      <c r="HN26" s="449"/>
      <c r="HO26" s="449"/>
      <c r="HP26" s="449"/>
      <c r="HQ26" s="449"/>
      <c r="HR26" s="449"/>
      <c r="HS26" s="449"/>
      <c r="HT26" s="449"/>
      <c r="HU26" s="449"/>
      <c r="HV26" s="449"/>
      <c r="HW26" s="449"/>
      <c r="HX26" s="449"/>
      <c r="HY26" s="449"/>
      <c r="HZ26" s="449"/>
      <c r="IA26" s="449"/>
      <c r="IB26" s="449"/>
      <c r="IC26" s="449"/>
      <c r="ID26" s="449"/>
      <c r="IE26" s="449"/>
      <c r="IF26" s="449"/>
      <c r="IG26" s="449"/>
      <c r="IH26" s="449"/>
      <c r="II26" s="449"/>
      <c r="IJ26" s="449"/>
      <c r="IK26" s="449"/>
      <c r="IL26" s="449"/>
      <c r="IM26" s="449"/>
      <c r="IN26" s="449"/>
      <c r="IO26" s="449"/>
      <c r="IP26" s="449"/>
      <c r="IQ26" s="449"/>
      <c r="IR26" s="449"/>
      <c r="IS26" s="449"/>
      <c r="IT26" s="449"/>
      <c r="IU26" s="449"/>
      <c r="IV26" s="449"/>
    </row>
    <row r="27" spans="1:256" ht="18">
      <c r="A27" s="452" t="s">
        <v>371</v>
      </c>
      <c r="B27" s="445"/>
      <c r="C27" s="445"/>
      <c r="D27" s="689"/>
      <c r="E27" s="689"/>
      <c r="F27" s="689"/>
      <c r="G27" s="689"/>
      <c r="H27" s="689"/>
      <c r="I27" s="689"/>
      <c r="J27" s="689"/>
      <c r="K27" s="689"/>
      <c r="L27" s="689"/>
      <c r="M27" s="447"/>
      <c r="N27" s="449"/>
      <c r="O27" s="455"/>
      <c r="P27" s="449"/>
      <c r="Q27" s="449"/>
      <c r="R27" s="449"/>
      <c r="S27" s="449"/>
      <c r="T27" s="449"/>
      <c r="U27" s="449"/>
      <c r="V27" s="449"/>
      <c r="W27" s="449"/>
      <c r="X27" s="449"/>
      <c r="Y27" s="449"/>
      <c r="Z27" s="449"/>
      <c r="AA27" s="449"/>
      <c r="AB27" s="449"/>
      <c r="AC27" s="449"/>
      <c r="AD27" s="449"/>
      <c r="AE27" s="449"/>
      <c r="AF27" s="449"/>
      <c r="AG27" s="449"/>
      <c r="AH27" s="449"/>
      <c r="AI27" s="449"/>
      <c r="AJ27" s="449"/>
      <c r="AK27" s="449"/>
      <c r="AL27" s="449"/>
      <c r="AM27" s="449"/>
      <c r="AN27" s="449"/>
      <c r="AO27" s="449"/>
      <c r="AP27" s="449"/>
      <c r="AQ27" s="449"/>
      <c r="AR27" s="449"/>
      <c r="AS27" s="449"/>
      <c r="AT27" s="449"/>
      <c r="AU27" s="449"/>
      <c r="AV27" s="449"/>
      <c r="AW27" s="449"/>
      <c r="AX27" s="449"/>
      <c r="AY27" s="449"/>
      <c r="AZ27" s="449"/>
      <c r="BA27" s="449"/>
      <c r="BB27" s="449"/>
      <c r="BC27" s="449"/>
      <c r="BD27" s="449"/>
      <c r="BE27" s="449"/>
      <c r="BF27" s="449"/>
      <c r="BG27" s="449"/>
      <c r="BH27" s="449"/>
      <c r="BI27" s="449"/>
      <c r="BJ27" s="449"/>
      <c r="BK27" s="449"/>
      <c r="BL27" s="449"/>
      <c r="BM27" s="449"/>
      <c r="BN27" s="449"/>
      <c r="BO27" s="449"/>
      <c r="BP27" s="449"/>
      <c r="BQ27" s="449"/>
      <c r="BR27" s="449"/>
      <c r="BS27" s="449"/>
      <c r="BT27" s="449"/>
      <c r="BU27" s="449"/>
      <c r="BV27" s="449"/>
      <c r="BW27" s="449"/>
      <c r="BX27" s="449"/>
      <c r="BY27" s="449"/>
      <c r="BZ27" s="449"/>
      <c r="CA27" s="449"/>
      <c r="CB27" s="449"/>
      <c r="CC27" s="449"/>
      <c r="CD27" s="449"/>
      <c r="CE27" s="449"/>
      <c r="CF27" s="449"/>
      <c r="CG27" s="449"/>
      <c r="CH27" s="449"/>
      <c r="CI27" s="449"/>
      <c r="CJ27" s="449"/>
      <c r="CK27" s="449"/>
      <c r="CL27" s="449"/>
      <c r="CM27" s="449"/>
      <c r="CN27" s="449"/>
      <c r="CO27" s="449"/>
      <c r="CP27" s="449"/>
      <c r="CQ27" s="449"/>
      <c r="CR27" s="449"/>
      <c r="CS27" s="449"/>
      <c r="CT27" s="449"/>
      <c r="CU27" s="449"/>
      <c r="CV27" s="449"/>
      <c r="CW27" s="449"/>
      <c r="CX27" s="449"/>
      <c r="CY27" s="449"/>
      <c r="CZ27" s="449"/>
      <c r="DA27" s="449"/>
      <c r="DB27" s="449"/>
      <c r="DC27" s="449"/>
      <c r="DD27" s="449"/>
      <c r="DE27" s="449"/>
      <c r="DF27" s="449"/>
      <c r="DG27" s="449"/>
      <c r="DH27" s="449"/>
      <c r="DI27" s="449"/>
      <c r="DJ27" s="449"/>
      <c r="DK27" s="449"/>
      <c r="DL27" s="449"/>
      <c r="DM27" s="449"/>
      <c r="DN27" s="449"/>
      <c r="DO27" s="449"/>
      <c r="DP27" s="449"/>
      <c r="DQ27" s="449"/>
      <c r="DR27" s="449"/>
      <c r="DS27" s="449"/>
      <c r="DT27" s="449"/>
      <c r="DU27" s="449"/>
      <c r="DV27" s="449"/>
      <c r="DW27" s="449"/>
      <c r="DX27" s="449"/>
      <c r="DY27" s="449"/>
      <c r="DZ27" s="449"/>
      <c r="EA27" s="449"/>
      <c r="EB27" s="449"/>
      <c r="EC27" s="449"/>
      <c r="ED27" s="449"/>
      <c r="EE27" s="449"/>
      <c r="EF27" s="449"/>
      <c r="EG27" s="449"/>
      <c r="EH27" s="449"/>
      <c r="EI27" s="449"/>
      <c r="EJ27" s="449"/>
      <c r="EK27" s="449"/>
      <c r="EL27" s="449"/>
      <c r="EM27" s="449"/>
      <c r="EN27" s="449"/>
      <c r="EO27" s="449"/>
      <c r="EP27" s="449"/>
      <c r="EQ27" s="449"/>
      <c r="ER27" s="449"/>
      <c r="ES27" s="449"/>
      <c r="ET27" s="449"/>
      <c r="EU27" s="449"/>
      <c r="EV27" s="449"/>
      <c r="EW27" s="449"/>
      <c r="EX27" s="449"/>
      <c r="EY27" s="449"/>
      <c r="EZ27" s="449"/>
      <c r="FA27" s="449"/>
      <c r="FB27" s="449"/>
      <c r="FC27" s="449"/>
      <c r="FD27" s="449"/>
      <c r="FE27" s="449"/>
      <c r="FF27" s="449"/>
      <c r="FG27" s="449"/>
      <c r="FH27" s="449"/>
      <c r="FI27" s="449"/>
      <c r="FJ27" s="449"/>
      <c r="FK27" s="449"/>
      <c r="FL27" s="449"/>
      <c r="FM27" s="449"/>
      <c r="FN27" s="449"/>
      <c r="FO27" s="449"/>
      <c r="FP27" s="449"/>
      <c r="FQ27" s="449"/>
      <c r="FR27" s="449"/>
      <c r="FS27" s="449"/>
      <c r="FT27" s="449"/>
      <c r="FU27" s="449"/>
      <c r="FV27" s="449"/>
      <c r="FW27" s="449"/>
      <c r="FX27" s="449"/>
      <c r="FY27" s="449"/>
      <c r="FZ27" s="449"/>
      <c r="GA27" s="449"/>
      <c r="GB27" s="449"/>
      <c r="GC27" s="449"/>
      <c r="GD27" s="449"/>
      <c r="GE27" s="449"/>
      <c r="GF27" s="449"/>
      <c r="GG27" s="449"/>
      <c r="GH27" s="449"/>
      <c r="GI27" s="449"/>
      <c r="GJ27" s="449"/>
      <c r="GK27" s="449"/>
      <c r="GL27" s="449"/>
      <c r="GM27" s="449"/>
      <c r="GN27" s="449"/>
      <c r="GO27" s="449"/>
      <c r="GP27" s="449"/>
      <c r="GQ27" s="449"/>
      <c r="GR27" s="449"/>
      <c r="GS27" s="449"/>
      <c r="GT27" s="449"/>
      <c r="GU27" s="449"/>
      <c r="GV27" s="449"/>
      <c r="GW27" s="449"/>
      <c r="GX27" s="449"/>
      <c r="GY27" s="449"/>
      <c r="GZ27" s="449"/>
      <c r="HA27" s="449"/>
      <c r="HB27" s="449"/>
      <c r="HC27" s="449"/>
      <c r="HD27" s="449"/>
      <c r="HE27" s="449"/>
      <c r="HF27" s="449"/>
      <c r="HG27" s="449"/>
      <c r="HH27" s="449"/>
      <c r="HI27" s="449"/>
      <c r="HJ27" s="449"/>
      <c r="HK27" s="449"/>
      <c r="HL27" s="449"/>
      <c r="HM27" s="449"/>
      <c r="HN27" s="449"/>
      <c r="HO27" s="449"/>
      <c r="HP27" s="449"/>
      <c r="HQ27" s="449"/>
      <c r="HR27" s="449"/>
      <c r="HS27" s="449"/>
      <c r="HT27" s="449"/>
      <c r="HU27" s="449"/>
      <c r="HV27" s="449"/>
      <c r="HW27" s="449"/>
      <c r="HX27" s="449"/>
      <c r="HY27" s="449"/>
      <c r="HZ27" s="449"/>
      <c r="IA27" s="449"/>
      <c r="IB27" s="449"/>
      <c r="IC27" s="449"/>
      <c r="ID27" s="449"/>
      <c r="IE27" s="449"/>
      <c r="IF27" s="449"/>
      <c r="IG27" s="449"/>
      <c r="IH27" s="449"/>
      <c r="II27" s="449"/>
      <c r="IJ27" s="449"/>
      <c r="IK27" s="449"/>
      <c r="IL27" s="449"/>
      <c r="IM27" s="449"/>
      <c r="IN27" s="449"/>
      <c r="IO27" s="449"/>
      <c r="IP27" s="449"/>
      <c r="IQ27" s="449"/>
      <c r="IR27" s="449"/>
      <c r="IS27" s="449"/>
      <c r="IT27" s="449"/>
      <c r="IU27" s="449"/>
      <c r="IV27" s="449"/>
    </row>
    <row r="28" spans="1:256" ht="7.5" customHeight="1">
      <c r="A28" s="449" t="s">
        <v>14</v>
      </c>
      <c r="B28" s="449"/>
      <c r="C28" s="449"/>
      <c r="D28" s="442"/>
      <c r="E28" s="442"/>
      <c r="F28" s="442"/>
      <c r="G28" s="442"/>
      <c r="H28" s="442"/>
      <c r="I28" s="442"/>
      <c r="J28" s="442"/>
      <c r="K28" s="442"/>
      <c r="L28" s="442"/>
      <c r="M28" s="447"/>
      <c r="N28" s="449"/>
      <c r="O28" s="455"/>
      <c r="P28" s="449"/>
      <c r="Q28" s="449"/>
      <c r="R28" s="449"/>
      <c r="S28" s="449"/>
      <c r="T28" s="449"/>
      <c r="U28" s="449"/>
      <c r="V28" s="449"/>
      <c r="W28" s="449"/>
      <c r="X28" s="449"/>
      <c r="Y28" s="449"/>
      <c r="Z28" s="449"/>
      <c r="AA28" s="449"/>
      <c r="AB28" s="449"/>
      <c r="AC28" s="449"/>
      <c r="AD28" s="449"/>
      <c r="AE28" s="449"/>
      <c r="AF28" s="449"/>
      <c r="AG28" s="449"/>
      <c r="AH28" s="449"/>
      <c r="AI28" s="449"/>
      <c r="AJ28" s="449"/>
      <c r="AK28" s="449"/>
      <c r="AL28" s="449"/>
      <c r="AM28" s="449"/>
      <c r="AN28" s="449"/>
      <c r="AO28" s="449"/>
      <c r="AP28" s="449"/>
      <c r="AQ28" s="449"/>
      <c r="AR28" s="449"/>
      <c r="AS28" s="449"/>
      <c r="AT28" s="449"/>
      <c r="AU28" s="449"/>
      <c r="AV28" s="449"/>
      <c r="AW28" s="449"/>
      <c r="AX28" s="449"/>
      <c r="AY28" s="449"/>
      <c r="AZ28" s="449"/>
      <c r="BA28" s="449"/>
      <c r="BB28" s="449"/>
      <c r="BC28" s="449"/>
      <c r="BD28" s="449"/>
      <c r="BE28" s="449"/>
      <c r="BF28" s="449"/>
      <c r="BG28" s="449"/>
      <c r="BH28" s="449"/>
      <c r="BI28" s="449"/>
      <c r="BJ28" s="449"/>
      <c r="BK28" s="449"/>
      <c r="BL28" s="449"/>
      <c r="BM28" s="449"/>
      <c r="BN28" s="449"/>
      <c r="BO28" s="449"/>
      <c r="BP28" s="449"/>
      <c r="BQ28" s="449"/>
      <c r="BR28" s="449"/>
      <c r="BS28" s="449"/>
      <c r="BT28" s="449"/>
      <c r="BU28" s="449"/>
      <c r="BV28" s="449"/>
      <c r="BW28" s="449"/>
      <c r="BX28" s="449"/>
      <c r="BY28" s="449"/>
      <c r="BZ28" s="449"/>
      <c r="CA28" s="449"/>
      <c r="CB28" s="449"/>
      <c r="CC28" s="449"/>
      <c r="CD28" s="449"/>
      <c r="CE28" s="449"/>
      <c r="CF28" s="449"/>
      <c r="CG28" s="449"/>
      <c r="CH28" s="449"/>
      <c r="CI28" s="449"/>
      <c r="CJ28" s="449"/>
      <c r="CK28" s="449"/>
      <c r="CL28" s="449"/>
      <c r="CM28" s="449"/>
      <c r="CN28" s="449"/>
      <c r="CO28" s="449"/>
      <c r="CP28" s="449"/>
      <c r="CQ28" s="449"/>
      <c r="CR28" s="449"/>
      <c r="CS28" s="449"/>
      <c r="CT28" s="449"/>
      <c r="CU28" s="449"/>
      <c r="CV28" s="449"/>
      <c r="CW28" s="449"/>
      <c r="CX28" s="449"/>
      <c r="CY28" s="449"/>
      <c r="CZ28" s="449"/>
      <c r="DA28" s="449"/>
      <c r="DB28" s="449"/>
      <c r="DC28" s="449"/>
      <c r="DD28" s="449"/>
      <c r="DE28" s="449"/>
      <c r="DF28" s="449"/>
      <c r="DG28" s="449"/>
      <c r="DH28" s="449"/>
      <c r="DI28" s="449"/>
      <c r="DJ28" s="449"/>
      <c r="DK28" s="449"/>
      <c r="DL28" s="449"/>
      <c r="DM28" s="449"/>
      <c r="DN28" s="449"/>
      <c r="DO28" s="449"/>
      <c r="DP28" s="449"/>
      <c r="DQ28" s="449"/>
      <c r="DR28" s="449"/>
      <c r="DS28" s="449"/>
      <c r="DT28" s="449"/>
      <c r="DU28" s="449"/>
      <c r="DV28" s="449"/>
      <c r="DW28" s="449"/>
      <c r="DX28" s="449"/>
      <c r="DY28" s="449"/>
      <c r="DZ28" s="449"/>
      <c r="EA28" s="449"/>
      <c r="EB28" s="449"/>
      <c r="EC28" s="449"/>
      <c r="ED28" s="449"/>
      <c r="EE28" s="449"/>
      <c r="EF28" s="449"/>
      <c r="EG28" s="449"/>
      <c r="EH28" s="449"/>
      <c r="EI28" s="449"/>
      <c r="EJ28" s="449"/>
      <c r="EK28" s="449"/>
      <c r="EL28" s="449"/>
      <c r="EM28" s="449"/>
      <c r="EN28" s="449"/>
      <c r="EO28" s="449"/>
      <c r="EP28" s="449"/>
      <c r="EQ28" s="449"/>
      <c r="ER28" s="449"/>
      <c r="ES28" s="449"/>
      <c r="ET28" s="449"/>
      <c r="EU28" s="449"/>
      <c r="EV28" s="449"/>
      <c r="EW28" s="449"/>
      <c r="EX28" s="449"/>
      <c r="EY28" s="449"/>
      <c r="EZ28" s="449"/>
      <c r="FA28" s="449"/>
      <c r="FB28" s="449"/>
      <c r="FC28" s="449"/>
      <c r="FD28" s="449"/>
      <c r="FE28" s="449"/>
      <c r="FF28" s="449"/>
      <c r="FG28" s="449"/>
      <c r="FH28" s="449"/>
      <c r="FI28" s="449"/>
      <c r="FJ28" s="449"/>
      <c r="FK28" s="449"/>
      <c r="FL28" s="449"/>
      <c r="FM28" s="449"/>
      <c r="FN28" s="449"/>
      <c r="FO28" s="449"/>
      <c r="FP28" s="449"/>
      <c r="FQ28" s="449"/>
      <c r="FR28" s="449"/>
      <c r="FS28" s="449"/>
      <c r="FT28" s="449"/>
      <c r="FU28" s="449"/>
      <c r="FV28" s="449"/>
      <c r="FW28" s="449"/>
      <c r="FX28" s="449"/>
      <c r="FY28" s="449"/>
      <c r="FZ28" s="449"/>
      <c r="GA28" s="449"/>
      <c r="GB28" s="449"/>
      <c r="GC28" s="449"/>
      <c r="GD28" s="449"/>
      <c r="GE28" s="449"/>
      <c r="GF28" s="449"/>
      <c r="GG28" s="449"/>
      <c r="GH28" s="449"/>
      <c r="GI28" s="449"/>
      <c r="GJ28" s="449"/>
      <c r="GK28" s="449"/>
      <c r="GL28" s="449"/>
      <c r="GM28" s="449"/>
      <c r="GN28" s="449"/>
      <c r="GO28" s="449"/>
      <c r="GP28" s="449"/>
      <c r="GQ28" s="449"/>
      <c r="GR28" s="449"/>
      <c r="GS28" s="449"/>
      <c r="GT28" s="449"/>
      <c r="GU28" s="449"/>
      <c r="GV28" s="449"/>
      <c r="GW28" s="449"/>
      <c r="GX28" s="449"/>
      <c r="GY28" s="449"/>
      <c r="GZ28" s="449"/>
      <c r="HA28" s="449"/>
      <c r="HB28" s="449"/>
      <c r="HC28" s="449"/>
      <c r="HD28" s="449"/>
      <c r="HE28" s="449"/>
      <c r="HF28" s="449"/>
      <c r="HG28" s="449"/>
      <c r="HH28" s="449"/>
      <c r="HI28" s="449"/>
      <c r="HJ28" s="449"/>
      <c r="HK28" s="449"/>
      <c r="HL28" s="449"/>
      <c r="HM28" s="449"/>
      <c r="HN28" s="449"/>
      <c r="HO28" s="449"/>
      <c r="HP28" s="449"/>
      <c r="HQ28" s="449"/>
      <c r="HR28" s="449"/>
      <c r="HS28" s="449"/>
      <c r="HT28" s="449"/>
      <c r="HU28" s="449"/>
      <c r="HV28" s="449"/>
      <c r="HW28" s="449"/>
      <c r="HX28" s="449"/>
      <c r="HY28" s="449"/>
      <c r="HZ28" s="449"/>
      <c r="IA28" s="449"/>
      <c r="IB28" s="449"/>
      <c r="IC28" s="449"/>
      <c r="ID28" s="449"/>
      <c r="IE28" s="449"/>
      <c r="IF28" s="449"/>
      <c r="IG28" s="449"/>
      <c r="IH28" s="449"/>
      <c r="II28" s="449"/>
      <c r="IJ28" s="449"/>
      <c r="IK28" s="449"/>
      <c r="IL28" s="449"/>
      <c r="IM28" s="449"/>
      <c r="IN28" s="449"/>
      <c r="IO28" s="449"/>
      <c r="IP28" s="449"/>
      <c r="IQ28" s="449"/>
      <c r="IR28" s="449"/>
      <c r="IS28" s="449"/>
      <c r="IT28" s="449"/>
      <c r="IU28" s="449"/>
      <c r="IV28" s="449"/>
    </row>
    <row r="29" spans="1:256" ht="16.5" customHeight="1">
      <c r="A29" s="449" t="s">
        <v>910</v>
      </c>
      <c r="B29" s="449"/>
      <c r="C29" s="449" t="s">
        <v>14</v>
      </c>
      <c r="D29" s="1679">
        <v>6.4349999999999996</v>
      </c>
      <c r="E29" s="1676"/>
      <c r="F29" s="1679">
        <v>6.3E-2</v>
      </c>
      <c r="G29" s="1676"/>
      <c r="H29" s="1679">
        <v>0</v>
      </c>
      <c r="I29" s="1676"/>
      <c r="J29" s="1679">
        <v>0</v>
      </c>
      <c r="K29" s="1677"/>
      <c r="L29" s="1680">
        <f t="shared" ref="L29:L44" si="0">ROUND(SUM(D29)+SUM(F29)-SUM(H29)+SUM(J29),3)</f>
        <v>6.4980000000000002</v>
      </c>
      <c r="M29" s="456"/>
      <c r="N29" s="449"/>
      <c r="O29" s="455"/>
      <c r="P29" s="449"/>
      <c r="Q29" s="449"/>
      <c r="R29" s="449"/>
      <c r="S29" s="449"/>
      <c r="T29" s="449"/>
      <c r="U29" s="449"/>
      <c r="V29" s="449"/>
      <c r="W29" s="449"/>
      <c r="X29" s="449"/>
      <c r="Y29" s="449"/>
      <c r="Z29" s="449"/>
      <c r="AA29" s="449"/>
      <c r="AB29" s="449"/>
      <c r="AC29" s="449"/>
      <c r="AD29" s="449"/>
      <c r="AE29" s="449"/>
      <c r="AF29" s="449"/>
      <c r="AG29" s="449"/>
      <c r="AH29" s="449"/>
      <c r="AI29" s="449"/>
      <c r="AJ29" s="449"/>
      <c r="AK29" s="449"/>
      <c r="AL29" s="449"/>
      <c r="AM29" s="449"/>
      <c r="AN29" s="449"/>
      <c r="AO29" s="449"/>
      <c r="AP29" s="449"/>
      <c r="AQ29" s="449"/>
      <c r="AR29" s="449"/>
      <c r="AS29" s="449"/>
      <c r="AT29" s="449"/>
      <c r="AU29" s="449"/>
      <c r="AV29" s="449"/>
      <c r="AW29" s="449"/>
      <c r="AX29" s="449"/>
      <c r="AY29" s="449"/>
      <c r="AZ29" s="449"/>
      <c r="BA29" s="449"/>
      <c r="BB29" s="449"/>
      <c r="BC29" s="449"/>
      <c r="BD29" s="449"/>
      <c r="BE29" s="449"/>
      <c r="BF29" s="449"/>
      <c r="BG29" s="449"/>
      <c r="BH29" s="449"/>
      <c r="BI29" s="449"/>
      <c r="BJ29" s="449"/>
      <c r="BK29" s="449"/>
      <c r="BL29" s="449"/>
      <c r="BM29" s="449"/>
      <c r="BN29" s="449"/>
      <c r="BO29" s="449"/>
      <c r="BP29" s="449"/>
      <c r="BQ29" s="449"/>
      <c r="BR29" s="449"/>
      <c r="BS29" s="449"/>
      <c r="BT29" s="449"/>
      <c r="BU29" s="449"/>
      <c r="BV29" s="449"/>
      <c r="BW29" s="449"/>
      <c r="BX29" s="449"/>
      <c r="BY29" s="449"/>
      <c r="BZ29" s="449"/>
      <c r="CA29" s="449"/>
      <c r="CB29" s="449"/>
      <c r="CC29" s="449"/>
      <c r="CD29" s="449"/>
      <c r="CE29" s="449"/>
      <c r="CF29" s="449"/>
      <c r="CG29" s="449"/>
      <c r="CH29" s="449"/>
      <c r="CI29" s="449"/>
      <c r="CJ29" s="449"/>
      <c r="CK29" s="449"/>
      <c r="CL29" s="449"/>
      <c r="CM29" s="449"/>
      <c r="CN29" s="449"/>
      <c r="CO29" s="449"/>
      <c r="CP29" s="449"/>
      <c r="CQ29" s="449"/>
      <c r="CR29" s="449"/>
      <c r="CS29" s="449"/>
      <c r="CT29" s="449"/>
      <c r="CU29" s="449"/>
      <c r="CV29" s="449"/>
      <c r="CW29" s="449"/>
      <c r="CX29" s="449"/>
      <c r="CY29" s="449"/>
      <c r="CZ29" s="449"/>
      <c r="DA29" s="449"/>
      <c r="DB29" s="449"/>
      <c r="DC29" s="449"/>
      <c r="DD29" s="449"/>
      <c r="DE29" s="449"/>
      <c r="DF29" s="449"/>
      <c r="DG29" s="449"/>
      <c r="DH29" s="449"/>
      <c r="DI29" s="449"/>
      <c r="DJ29" s="449"/>
      <c r="DK29" s="449"/>
      <c r="DL29" s="449"/>
      <c r="DM29" s="449"/>
      <c r="DN29" s="449"/>
      <c r="DO29" s="449"/>
      <c r="DP29" s="449"/>
      <c r="DQ29" s="449"/>
      <c r="DR29" s="449"/>
      <c r="DS29" s="449"/>
      <c r="DT29" s="449"/>
      <c r="DU29" s="449"/>
      <c r="DV29" s="449"/>
      <c r="DW29" s="449"/>
      <c r="DX29" s="449"/>
      <c r="DY29" s="449"/>
      <c r="DZ29" s="449"/>
      <c r="EA29" s="449"/>
      <c r="EB29" s="449"/>
      <c r="EC29" s="449"/>
      <c r="ED29" s="449"/>
      <c r="EE29" s="449"/>
      <c r="EF29" s="449"/>
      <c r="EG29" s="449"/>
      <c r="EH29" s="449"/>
      <c r="EI29" s="449"/>
      <c r="EJ29" s="449"/>
      <c r="EK29" s="449"/>
      <c r="EL29" s="449"/>
      <c r="EM29" s="449"/>
      <c r="EN29" s="449"/>
      <c r="EO29" s="449"/>
      <c r="EP29" s="449"/>
      <c r="EQ29" s="449"/>
      <c r="ER29" s="449"/>
      <c r="ES29" s="449"/>
      <c r="ET29" s="449"/>
      <c r="EU29" s="449"/>
      <c r="EV29" s="449"/>
      <c r="EW29" s="449"/>
      <c r="EX29" s="449"/>
      <c r="EY29" s="449"/>
      <c r="EZ29" s="449"/>
      <c r="FA29" s="449"/>
      <c r="FB29" s="449"/>
      <c r="FC29" s="449"/>
      <c r="FD29" s="449"/>
      <c r="FE29" s="449"/>
      <c r="FF29" s="449"/>
      <c r="FG29" s="449"/>
      <c r="FH29" s="449"/>
      <c r="FI29" s="449"/>
      <c r="FJ29" s="449"/>
      <c r="FK29" s="449"/>
      <c r="FL29" s="449"/>
      <c r="FM29" s="449"/>
      <c r="FN29" s="449"/>
      <c r="FO29" s="449"/>
      <c r="FP29" s="449"/>
      <c r="FQ29" s="449"/>
      <c r="FR29" s="449"/>
      <c r="FS29" s="449"/>
      <c r="FT29" s="449"/>
      <c r="FU29" s="449"/>
      <c r="FV29" s="449"/>
      <c r="FW29" s="449"/>
      <c r="FX29" s="449"/>
      <c r="FY29" s="449"/>
      <c r="FZ29" s="449"/>
      <c r="GA29" s="449"/>
      <c r="GB29" s="449"/>
      <c r="GC29" s="449"/>
      <c r="GD29" s="449"/>
      <c r="GE29" s="449"/>
      <c r="GF29" s="449"/>
      <c r="GG29" s="449"/>
      <c r="GH29" s="449"/>
      <c r="GI29" s="449"/>
      <c r="GJ29" s="449"/>
      <c r="GK29" s="449"/>
      <c r="GL29" s="449"/>
      <c r="GM29" s="449"/>
      <c r="GN29" s="449"/>
      <c r="GO29" s="449"/>
      <c r="GP29" s="449"/>
      <c r="GQ29" s="449"/>
      <c r="GR29" s="449"/>
      <c r="GS29" s="449"/>
      <c r="GT29" s="449"/>
      <c r="GU29" s="449"/>
      <c r="GV29" s="449"/>
      <c r="GW29" s="449"/>
      <c r="GX29" s="449"/>
      <c r="GY29" s="449"/>
      <c r="GZ29" s="449"/>
      <c r="HA29" s="449"/>
      <c r="HB29" s="449"/>
      <c r="HC29" s="449"/>
      <c r="HD29" s="449"/>
      <c r="HE29" s="449"/>
      <c r="HF29" s="449"/>
      <c r="HG29" s="449"/>
      <c r="HH29" s="449"/>
      <c r="HI29" s="449"/>
      <c r="HJ29" s="449"/>
      <c r="HK29" s="449"/>
      <c r="HL29" s="449"/>
      <c r="HM29" s="449"/>
      <c r="HN29" s="449"/>
      <c r="HO29" s="449"/>
      <c r="HP29" s="449"/>
      <c r="HQ29" s="449"/>
      <c r="HR29" s="449"/>
      <c r="HS29" s="449"/>
      <c r="HT29" s="449"/>
      <c r="HU29" s="449"/>
      <c r="HV29" s="449"/>
      <c r="HW29" s="449"/>
      <c r="HX29" s="449"/>
      <c r="HY29" s="449"/>
      <c r="HZ29" s="449"/>
      <c r="IA29" s="449"/>
      <c r="IB29" s="449"/>
      <c r="IC29" s="449"/>
      <c r="ID29" s="449"/>
      <c r="IE29" s="449"/>
      <c r="IF29" s="449"/>
      <c r="IG29" s="449"/>
      <c r="IH29" s="449"/>
      <c r="II29" s="449"/>
      <c r="IJ29" s="449"/>
      <c r="IK29" s="449"/>
      <c r="IL29" s="449"/>
      <c r="IM29" s="449"/>
      <c r="IN29" s="449"/>
      <c r="IO29" s="449"/>
      <c r="IP29" s="449"/>
      <c r="IQ29" s="449"/>
      <c r="IR29" s="449"/>
      <c r="IS29" s="449"/>
      <c r="IT29" s="449"/>
      <c r="IU29" s="449"/>
      <c r="IV29" s="449"/>
    </row>
    <row r="30" spans="1:256" ht="15.75" customHeight="1">
      <c r="A30" s="692" t="s">
        <v>372</v>
      </c>
      <c r="B30" s="449"/>
      <c r="C30" s="449"/>
      <c r="D30" s="1679">
        <v>0.57199999999999995</v>
      </c>
      <c r="E30" s="1676"/>
      <c r="F30" s="1679">
        <v>0</v>
      </c>
      <c r="G30" s="1676"/>
      <c r="H30" s="1679">
        <v>2E-3</v>
      </c>
      <c r="I30" s="1676"/>
      <c r="J30" s="1679">
        <v>0</v>
      </c>
      <c r="K30" s="1677"/>
      <c r="L30" s="1680">
        <f t="shared" si="0"/>
        <v>0.56999999999999995</v>
      </c>
      <c r="M30" s="456"/>
      <c r="N30" s="449"/>
      <c r="O30" s="455"/>
      <c r="P30" s="449"/>
      <c r="Q30" s="449"/>
      <c r="R30" s="449"/>
      <c r="S30" s="449"/>
      <c r="T30" s="449"/>
      <c r="U30" s="449"/>
      <c r="V30" s="449"/>
      <c r="W30" s="449"/>
      <c r="X30" s="449"/>
      <c r="Y30" s="449"/>
      <c r="Z30" s="449"/>
      <c r="AA30" s="449"/>
      <c r="AB30" s="449"/>
      <c r="AC30" s="449"/>
      <c r="AD30" s="449"/>
      <c r="AE30" s="449"/>
      <c r="AF30" s="449"/>
      <c r="AG30" s="449"/>
      <c r="AH30" s="449"/>
      <c r="AI30" s="449"/>
      <c r="AJ30" s="449"/>
      <c r="AK30" s="449"/>
      <c r="AL30" s="449"/>
      <c r="AM30" s="449"/>
      <c r="AN30" s="449"/>
      <c r="AO30" s="449"/>
      <c r="AP30" s="449"/>
      <c r="AQ30" s="449"/>
      <c r="AR30" s="449"/>
      <c r="AS30" s="449"/>
      <c r="AT30" s="449"/>
      <c r="AU30" s="449"/>
      <c r="AV30" s="449"/>
      <c r="AW30" s="449"/>
      <c r="AX30" s="449"/>
      <c r="AY30" s="449"/>
      <c r="AZ30" s="449"/>
      <c r="BA30" s="449"/>
      <c r="BB30" s="449"/>
      <c r="BC30" s="449"/>
      <c r="BD30" s="449"/>
      <c r="BE30" s="449"/>
      <c r="BF30" s="449"/>
      <c r="BG30" s="449"/>
      <c r="BH30" s="449"/>
      <c r="BI30" s="449"/>
      <c r="BJ30" s="449"/>
      <c r="BK30" s="449"/>
      <c r="BL30" s="449"/>
      <c r="BM30" s="449"/>
      <c r="BN30" s="449"/>
      <c r="BO30" s="449"/>
      <c r="BP30" s="449"/>
      <c r="BQ30" s="449"/>
      <c r="BR30" s="449"/>
      <c r="BS30" s="449"/>
      <c r="BT30" s="449"/>
      <c r="BU30" s="449"/>
      <c r="BV30" s="449"/>
      <c r="BW30" s="449"/>
      <c r="BX30" s="449"/>
      <c r="BY30" s="449"/>
      <c r="BZ30" s="449"/>
      <c r="CA30" s="449"/>
      <c r="CB30" s="449"/>
      <c r="CC30" s="449"/>
      <c r="CD30" s="449"/>
      <c r="CE30" s="449"/>
      <c r="CF30" s="449"/>
      <c r="CG30" s="449"/>
      <c r="CH30" s="449"/>
      <c r="CI30" s="449"/>
      <c r="CJ30" s="449"/>
      <c r="CK30" s="449"/>
      <c r="CL30" s="449"/>
      <c r="CM30" s="449"/>
      <c r="CN30" s="449"/>
      <c r="CO30" s="449"/>
      <c r="CP30" s="449"/>
      <c r="CQ30" s="449"/>
      <c r="CR30" s="449"/>
      <c r="CS30" s="449"/>
      <c r="CT30" s="449"/>
      <c r="CU30" s="449"/>
      <c r="CV30" s="449"/>
      <c r="CW30" s="449"/>
      <c r="CX30" s="449"/>
      <c r="CY30" s="449"/>
      <c r="CZ30" s="449"/>
      <c r="DA30" s="449"/>
      <c r="DB30" s="449"/>
      <c r="DC30" s="449"/>
      <c r="DD30" s="449"/>
      <c r="DE30" s="449"/>
      <c r="DF30" s="449"/>
      <c r="DG30" s="449"/>
      <c r="DH30" s="449"/>
      <c r="DI30" s="449"/>
      <c r="DJ30" s="449"/>
      <c r="DK30" s="449"/>
      <c r="DL30" s="449"/>
      <c r="DM30" s="449"/>
      <c r="DN30" s="449"/>
      <c r="DO30" s="449"/>
      <c r="DP30" s="449"/>
      <c r="DQ30" s="449"/>
      <c r="DR30" s="449"/>
      <c r="DS30" s="449"/>
      <c r="DT30" s="449"/>
      <c r="DU30" s="449"/>
      <c r="DV30" s="449"/>
      <c r="DW30" s="449"/>
      <c r="DX30" s="449"/>
      <c r="DY30" s="449"/>
      <c r="DZ30" s="449"/>
      <c r="EA30" s="449"/>
      <c r="EB30" s="449"/>
      <c r="EC30" s="449"/>
      <c r="ED30" s="449"/>
      <c r="EE30" s="449"/>
      <c r="EF30" s="449"/>
      <c r="EG30" s="449"/>
      <c r="EH30" s="449"/>
      <c r="EI30" s="449"/>
      <c r="EJ30" s="449"/>
      <c r="EK30" s="449"/>
      <c r="EL30" s="449"/>
      <c r="EM30" s="449"/>
      <c r="EN30" s="449"/>
      <c r="EO30" s="449"/>
      <c r="EP30" s="449"/>
      <c r="EQ30" s="449"/>
      <c r="ER30" s="449"/>
      <c r="ES30" s="449"/>
      <c r="ET30" s="449"/>
      <c r="EU30" s="449"/>
      <c r="EV30" s="449"/>
      <c r="EW30" s="449"/>
      <c r="EX30" s="449"/>
      <c r="EY30" s="449"/>
      <c r="EZ30" s="449"/>
      <c r="FA30" s="449"/>
      <c r="FB30" s="449"/>
      <c r="FC30" s="449"/>
      <c r="FD30" s="449"/>
      <c r="FE30" s="449"/>
      <c r="FF30" s="449"/>
      <c r="FG30" s="449"/>
      <c r="FH30" s="449"/>
      <c r="FI30" s="449"/>
      <c r="FJ30" s="449"/>
      <c r="FK30" s="449"/>
      <c r="FL30" s="449"/>
      <c r="FM30" s="449"/>
      <c r="FN30" s="449"/>
      <c r="FO30" s="449"/>
      <c r="FP30" s="449"/>
      <c r="FQ30" s="449"/>
      <c r="FR30" s="449"/>
      <c r="FS30" s="449"/>
      <c r="FT30" s="449"/>
      <c r="FU30" s="449"/>
      <c r="FV30" s="449"/>
      <c r="FW30" s="449"/>
      <c r="FX30" s="449"/>
      <c r="FY30" s="449"/>
      <c r="FZ30" s="449"/>
      <c r="GA30" s="449"/>
      <c r="GB30" s="449"/>
      <c r="GC30" s="449"/>
      <c r="GD30" s="449"/>
      <c r="GE30" s="449"/>
      <c r="GF30" s="449"/>
      <c r="GG30" s="449"/>
      <c r="GH30" s="449"/>
      <c r="GI30" s="449"/>
      <c r="GJ30" s="449"/>
      <c r="GK30" s="449"/>
      <c r="GL30" s="449"/>
      <c r="GM30" s="449"/>
      <c r="GN30" s="449"/>
      <c r="GO30" s="449"/>
      <c r="GP30" s="449"/>
      <c r="GQ30" s="449"/>
      <c r="GR30" s="449"/>
      <c r="GS30" s="449"/>
      <c r="GT30" s="449"/>
      <c r="GU30" s="449"/>
      <c r="GV30" s="449"/>
      <c r="GW30" s="449"/>
      <c r="GX30" s="449"/>
      <c r="GY30" s="449"/>
      <c r="GZ30" s="449"/>
      <c r="HA30" s="449"/>
      <c r="HB30" s="449"/>
      <c r="HC30" s="449"/>
      <c r="HD30" s="449"/>
      <c r="HE30" s="449"/>
      <c r="HF30" s="449"/>
      <c r="HG30" s="449"/>
      <c r="HH30" s="449"/>
      <c r="HI30" s="449"/>
      <c r="HJ30" s="449"/>
      <c r="HK30" s="449"/>
      <c r="HL30" s="449"/>
      <c r="HM30" s="449"/>
      <c r="HN30" s="449"/>
      <c r="HO30" s="449"/>
      <c r="HP30" s="449"/>
      <c r="HQ30" s="449"/>
      <c r="HR30" s="449"/>
      <c r="HS30" s="449"/>
      <c r="HT30" s="449"/>
      <c r="HU30" s="449"/>
      <c r="HV30" s="449"/>
      <c r="HW30" s="449"/>
      <c r="HX30" s="449"/>
      <c r="HY30" s="449"/>
      <c r="HZ30" s="449"/>
      <c r="IA30" s="449"/>
      <c r="IB30" s="449"/>
      <c r="IC30" s="449"/>
      <c r="ID30" s="449"/>
      <c r="IE30" s="449"/>
      <c r="IF30" s="449"/>
      <c r="IG30" s="449"/>
      <c r="IH30" s="449"/>
      <c r="II30" s="449"/>
      <c r="IJ30" s="449"/>
      <c r="IK30" s="449"/>
      <c r="IL30" s="449"/>
      <c r="IM30" s="449"/>
      <c r="IN30" s="449"/>
      <c r="IO30" s="449"/>
      <c r="IP30" s="449"/>
      <c r="IQ30" s="449"/>
      <c r="IR30" s="449"/>
      <c r="IS30" s="449"/>
      <c r="IT30" s="449"/>
      <c r="IU30" s="449"/>
      <c r="IV30" s="449"/>
    </row>
    <row r="31" spans="1:256" ht="16.5" customHeight="1">
      <c r="A31" s="449" t="s">
        <v>373</v>
      </c>
      <c r="B31" s="449"/>
      <c r="C31" s="449"/>
      <c r="D31" s="1679">
        <v>1057.941</v>
      </c>
      <c r="E31" s="1676"/>
      <c r="F31" s="1679">
        <v>992.51499999999999</v>
      </c>
      <c r="G31" s="1676"/>
      <c r="H31" s="1679">
        <v>1018.651</v>
      </c>
      <c r="I31" s="1676"/>
      <c r="J31" s="1679">
        <v>0</v>
      </c>
      <c r="K31" s="1677"/>
      <c r="L31" s="1680">
        <f t="shared" si="0"/>
        <v>1031.8050000000001</v>
      </c>
      <c r="M31" s="456"/>
      <c r="N31" s="449"/>
      <c r="O31" s="455"/>
      <c r="P31" s="449"/>
      <c r="Q31" s="449"/>
      <c r="R31" s="449"/>
      <c r="S31" s="449"/>
      <c r="T31" s="449"/>
      <c r="U31" s="449"/>
      <c r="V31" s="449"/>
      <c r="W31" s="449"/>
      <c r="X31" s="449"/>
      <c r="Y31" s="449"/>
      <c r="Z31" s="449"/>
      <c r="AA31" s="449"/>
      <c r="AB31" s="449"/>
      <c r="AC31" s="449"/>
      <c r="AD31" s="449"/>
      <c r="AE31" s="449"/>
      <c r="AF31" s="449"/>
      <c r="AG31" s="449"/>
      <c r="AH31" s="449"/>
      <c r="AI31" s="449"/>
      <c r="AJ31" s="449"/>
      <c r="AK31" s="449"/>
      <c r="AL31" s="449"/>
      <c r="AM31" s="449"/>
      <c r="AN31" s="449"/>
      <c r="AO31" s="449"/>
      <c r="AP31" s="449"/>
      <c r="AQ31" s="449"/>
      <c r="AR31" s="449"/>
      <c r="AS31" s="449"/>
      <c r="AT31" s="449"/>
      <c r="AU31" s="449"/>
      <c r="AV31" s="449"/>
      <c r="AW31" s="449"/>
      <c r="AX31" s="449"/>
      <c r="AY31" s="449"/>
      <c r="AZ31" s="449"/>
      <c r="BA31" s="449"/>
      <c r="BB31" s="449"/>
      <c r="BC31" s="449"/>
      <c r="BD31" s="449"/>
      <c r="BE31" s="449"/>
      <c r="BF31" s="449"/>
      <c r="BG31" s="449"/>
      <c r="BH31" s="449"/>
      <c r="BI31" s="449"/>
      <c r="BJ31" s="449"/>
      <c r="BK31" s="449"/>
      <c r="BL31" s="449"/>
      <c r="BM31" s="449"/>
      <c r="BN31" s="449"/>
      <c r="BO31" s="449"/>
      <c r="BP31" s="449"/>
      <c r="BQ31" s="449"/>
      <c r="BR31" s="449"/>
      <c r="BS31" s="449"/>
      <c r="BT31" s="449"/>
      <c r="BU31" s="449"/>
      <c r="BV31" s="449"/>
      <c r="BW31" s="449"/>
      <c r="BX31" s="449"/>
      <c r="BY31" s="449"/>
      <c r="BZ31" s="449"/>
      <c r="CA31" s="449"/>
      <c r="CB31" s="449"/>
      <c r="CC31" s="449"/>
      <c r="CD31" s="449"/>
      <c r="CE31" s="449"/>
      <c r="CF31" s="449"/>
      <c r="CG31" s="449"/>
      <c r="CH31" s="449"/>
      <c r="CI31" s="449"/>
      <c r="CJ31" s="449"/>
      <c r="CK31" s="449"/>
      <c r="CL31" s="449"/>
      <c r="CM31" s="449"/>
      <c r="CN31" s="449"/>
      <c r="CO31" s="449"/>
      <c r="CP31" s="449"/>
      <c r="CQ31" s="449"/>
      <c r="CR31" s="449"/>
      <c r="CS31" s="449"/>
      <c r="CT31" s="449"/>
      <c r="CU31" s="449"/>
      <c r="CV31" s="449"/>
      <c r="CW31" s="449"/>
      <c r="CX31" s="449"/>
      <c r="CY31" s="449"/>
      <c r="CZ31" s="449"/>
      <c r="DA31" s="449"/>
      <c r="DB31" s="449"/>
      <c r="DC31" s="449"/>
      <c r="DD31" s="449"/>
      <c r="DE31" s="449"/>
      <c r="DF31" s="449"/>
      <c r="DG31" s="449"/>
      <c r="DH31" s="449"/>
      <c r="DI31" s="449"/>
      <c r="DJ31" s="449"/>
      <c r="DK31" s="449"/>
      <c r="DL31" s="449"/>
      <c r="DM31" s="449"/>
      <c r="DN31" s="449"/>
      <c r="DO31" s="449"/>
      <c r="DP31" s="449"/>
      <c r="DQ31" s="449"/>
      <c r="DR31" s="449"/>
      <c r="DS31" s="449"/>
      <c r="DT31" s="449"/>
      <c r="DU31" s="449"/>
      <c r="DV31" s="449"/>
      <c r="DW31" s="449"/>
      <c r="DX31" s="449"/>
      <c r="DY31" s="449"/>
      <c r="DZ31" s="449"/>
      <c r="EA31" s="449"/>
      <c r="EB31" s="449"/>
      <c r="EC31" s="449"/>
      <c r="ED31" s="449"/>
      <c r="EE31" s="449"/>
      <c r="EF31" s="449"/>
      <c r="EG31" s="449"/>
      <c r="EH31" s="449"/>
      <c r="EI31" s="449"/>
      <c r="EJ31" s="449"/>
      <c r="EK31" s="449"/>
      <c r="EL31" s="449"/>
      <c r="EM31" s="449"/>
      <c r="EN31" s="449"/>
      <c r="EO31" s="449"/>
      <c r="EP31" s="449"/>
      <c r="EQ31" s="449"/>
      <c r="ER31" s="449"/>
      <c r="ES31" s="449"/>
      <c r="ET31" s="449"/>
      <c r="EU31" s="449"/>
      <c r="EV31" s="449"/>
      <c r="EW31" s="449"/>
      <c r="EX31" s="449"/>
      <c r="EY31" s="449"/>
      <c r="EZ31" s="449"/>
      <c r="FA31" s="449"/>
      <c r="FB31" s="449"/>
      <c r="FC31" s="449"/>
      <c r="FD31" s="449"/>
      <c r="FE31" s="449"/>
      <c r="FF31" s="449"/>
      <c r="FG31" s="449"/>
      <c r="FH31" s="449"/>
      <c r="FI31" s="449"/>
      <c r="FJ31" s="449"/>
      <c r="FK31" s="449"/>
      <c r="FL31" s="449"/>
      <c r="FM31" s="449"/>
      <c r="FN31" s="449"/>
      <c r="FO31" s="449"/>
      <c r="FP31" s="449"/>
      <c r="FQ31" s="449"/>
      <c r="FR31" s="449"/>
      <c r="FS31" s="449"/>
      <c r="FT31" s="449"/>
      <c r="FU31" s="449"/>
      <c r="FV31" s="449"/>
      <c r="FW31" s="449"/>
      <c r="FX31" s="449"/>
      <c r="FY31" s="449"/>
      <c r="FZ31" s="449"/>
      <c r="GA31" s="449"/>
      <c r="GB31" s="449"/>
      <c r="GC31" s="449"/>
      <c r="GD31" s="449"/>
      <c r="GE31" s="449"/>
      <c r="GF31" s="449"/>
      <c r="GG31" s="449"/>
      <c r="GH31" s="449"/>
      <c r="GI31" s="449"/>
      <c r="GJ31" s="449"/>
      <c r="GK31" s="449"/>
      <c r="GL31" s="449"/>
      <c r="GM31" s="449"/>
      <c r="GN31" s="449"/>
      <c r="GO31" s="449"/>
      <c r="GP31" s="449"/>
      <c r="GQ31" s="449"/>
      <c r="GR31" s="449"/>
      <c r="GS31" s="449"/>
      <c r="GT31" s="449"/>
      <c r="GU31" s="449"/>
      <c r="GV31" s="449"/>
      <c r="GW31" s="449"/>
      <c r="GX31" s="449"/>
      <c r="GY31" s="449"/>
      <c r="GZ31" s="449"/>
      <c r="HA31" s="449"/>
      <c r="HB31" s="449"/>
      <c r="HC31" s="449"/>
      <c r="HD31" s="449"/>
      <c r="HE31" s="449"/>
      <c r="HF31" s="449"/>
      <c r="HG31" s="449"/>
      <c r="HH31" s="449"/>
      <c r="HI31" s="449"/>
      <c r="HJ31" s="449"/>
      <c r="HK31" s="449"/>
      <c r="HL31" s="449"/>
      <c r="HM31" s="449"/>
      <c r="HN31" s="449"/>
      <c r="HO31" s="449"/>
      <c r="HP31" s="449"/>
      <c r="HQ31" s="449"/>
      <c r="HR31" s="449"/>
      <c r="HS31" s="449"/>
      <c r="HT31" s="449"/>
      <c r="HU31" s="449"/>
      <c r="HV31" s="449"/>
      <c r="HW31" s="449"/>
      <c r="HX31" s="449"/>
      <c r="HY31" s="449"/>
      <c r="HZ31" s="449"/>
      <c r="IA31" s="449"/>
      <c r="IB31" s="449"/>
      <c r="IC31" s="449"/>
      <c r="ID31" s="449"/>
      <c r="IE31" s="449"/>
      <c r="IF31" s="449"/>
      <c r="IG31" s="449"/>
      <c r="IH31" s="449"/>
      <c r="II31" s="449"/>
      <c r="IJ31" s="449"/>
      <c r="IK31" s="449"/>
      <c r="IL31" s="449"/>
      <c r="IM31" s="449"/>
      <c r="IN31" s="449"/>
      <c r="IO31" s="449"/>
      <c r="IP31" s="449"/>
      <c r="IQ31" s="449"/>
      <c r="IR31" s="449"/>
      <c r="IS31" s="449"/>
      <c r="IT31" s="449"/>
      <c r="IU31" s="449"/>
      <c r="IV31" s="449"/>
    </row>
    <row r="32" spans="1:256" ht="16.5" customHeight="1">
      <c r="A32" s="449" t="s">
        <v>374</v>
      </c>
      <c r="B32" s="449"/>
      <c r="C32" s="449" t="s">
        <v>14</v>
      </c>
      <c r="D32" s="1679">
        <v>15.417999999999999</v>
      </c>
      <c r="E32" s="1676"/>
      <c r="F32" s="1679">
        <v>124.881</v>
      </c>
      <c r="G32" s="1676"/>
      <c r="H32" s="1679">
        <v>125.226</v>
      </c>
      <c r="I32" s="1676"/>
      <c r="J32" s="1679">
        <v>0</v>
      </c>
      <c r="K32" s="1677"/>
      <c r="L32" s="1680">
        <f>ROUND(SUM(D32)+SUM(F32)-SUM(H32)+SUM(J32),3)</f>
        <v>15.073</v>
      </c>
      <c r="M32" s="456"/>
      <c r="N32" s="449"/>
      <c r="O32" s="455"/>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c r="AV32" s="449"/>
      <c r="AW32" s="449"/>
      <c r="AX32" s="449"/>
      <c r="AY32" s="449"/>
      <c r="AZ32" s="449"/>
      <c r="BA32" s="449"/>
      <c r="BB32" s="449"/>
      <c r="BC32" s="449"/>
      <c r="BD32" s="449"/>
      <c r="BE32" s="449"/>
      <c r="BF32" s="449"/>
      <c r="BG32" s="449"/>
      <c r="BH32" s="449"/>
      <c r="BI32" s="449"/>
      <c r="BJ32" s="449"/>
      <c r="BK32" s="449"/>
      <c r="BL32" s="449"/>
      <c r="BM32" s="449"/>
      <c r="BN32" s="449"/>
      <c r="BO32" s="449"/>
      <c r="BP32" s="449"/>
      <c r="BQ32" s="449"/>
      <c r="BR32" s="449"/>
      <c r="BS32" s="449"/>
      <c r="BT32" s="449"/>
      <c r="BU32" s="449"/>
      <c r="BV32" s="449"/>
      <c r="BW32" s="449"/>
      <c r="BX32" s="449"/>
      <c r="BY32" s="449"/>
      <c r="BZ32" s="449"/>
      <c r="CA32" s="449"/>
      <c r="CB32" s="449"/>
      <c r="CC32" s="449"/>
      <c r="CD32" s="449"/>
      <c r="CE32" s="449"/>
      <c r="CF32" s="449"/>
      <c r="CG32" s="449"/>
      <c r="CH32" s="449"/>
      <c r="CI32" s="449"/>
      <c r="CJ32" s="449"/>
      <c r="CK32" s="449"/>
      <c r="CL32" s="449"/>
      <c r="CM32" s="449"/>
      <c r="CN32" s="449"/>
      <c r="CO32" s="449"/>
      <c r="CP32" s="449"/>
      <c r="CQ32" s="449"/>
      <c r="CR32" s="449"/>
      <c r="CS32" s="449"/>
      <c r="CT32" s="449"/>
      <c r="CU32" s="449"/>
      <c r="CV32" s="449"/>
      <c r="CW32" s="449"/>
      <c r="CX32" s="449"/>
      <c r="CY32" s="449"/>
      <c r="CZ32" s="449"/>
      <c r="DA32" s="449"/>
      <c r="DB32" s="449"/>
      <c r="DC32" s="449"/>
      <c r="DD32" s="449"/>
      <c r="DE32" s="449"/>
      <c r="DF32" s="449"/>
      <c r="DG32" s="449"/>
      <c r="DH32" s="449"/>
      <c r="DI32" s="449"/>
      <c r="DJ32" s="449"/>
      <c r="DK32" s="449"/>
      <c r="DL32" s="449"/>
      <c r="DM32" s="449"/>
      <c r="DN32" s="449"/>
      <c r="DO32" s="449"/>
      <c r="DP32" s="449"/>
      <c r="DQ32" s="449"/>
      <c r="DR32" s="449"/>
      <c r="DS32" s="449"/>
      <c r="DT32" s="449"/>
      <c r="DU32" s="449"/>
      <c r="DV32" s="449"/>
      <c r="DW32" s="449"/>
      <c r="DX32" s="449"/>
      <c r="DY32" s="449"/>
      <c r="DZ32" s="449"/>
      <c r="EA32" s="449"/>
      <c r="EB32" s="449"/>
      <c r="EC32" s="449"/>
      <c r="ED32" s="449"/>
      <c r="EE32" s="449"/>
      <c r="EF32" s="449"/>
      <c r="EG32" s="449"/>
      <c r="EH32" s="449"/>
      <c r="EI32" s="449"/>
      <c r="EJ32" s="449"/>
      <c r="EK32" s="449"/>
      <c r="EL32" s="449"/>
      <c r="EM32" s="449"/>
      <c r="EN32" s="449"/>
      <c r="EO32" s="449"/>
      <c r="EP32" s="449"/>
      <c r="EQ32" s="449"/>
      <c r="ER32" s="449"/>
      <c r="ES32" s="449"/>
      <c r="ET32" s="449"/>
      <c r="EU32" s="449"/>
      <c r="EV32" s="449"/>
      <c r="EW32" s="449"/>
      <c r="EX32" s="449"/>
      <c r="EY32" s="449"/>
      <c r="EZ32" s="449"/>
      <c r="FA32" s="449"/>
      <c r="FB32" s="449"/>
      <c r="FC32" s="449"/>
      <c r="FD32" s="449"/>
      <c r="FE32" s="449"/>
      <c r="FF32" s="449"/>
      <c r="FG32" s="449"/>
      <c r="FH32" s="449"/>
      <c r="FI32" s="449"/>
      <c r="FJ32" s="449"/>
      <c r="FK32" s="449"/>
      <c r="FL32" s="449"/>
      <c r="FM32" s="449"/>
      <c r="FN32" s="449"/>
      <c r="FO32" s="449"/>
      <c r="FP32" s="449"/>
      <c r="FQ32" s="449"/>
      <c r="FR32" s="449"/>
      <c r="FS32" s="449"/>
      <c r="FT32" s="449"/>
      <c r="FU32" s="449"/>
      <c r="FV32" s="449"/>
      <c r="FW32" s="449"/>
      <c r="FX32" s="449"/>
      <c r="FY32" s="449"/>
      <c r="FZ32" s="449"/>
      <c r="GA32" s="449"/>
      <c r="GB32" s="449"/>
      <c r="GC32" s="449"/>
      <c r="GD32" s="449"/>
      <c r="GE32" s="449"/>
      <c r="GF32" s="449"/>
      <c r="GG32" s="449"/>
      <c r="GH32" s="449"/>
      <c r="GI32" s="449"/>
      <c r="GJ32" s="449"/>
      <c r="GK32" s="449"/>
      <c r="GL32" s="449"/>
      <c r="GM32" s="449"/>
      <c r="GN32" s="449"/>
      <c r="GO32" s="449"/>
      <c r="GP32" s="449"/>
      <c r="GQ32" s="449"/>
      <c r="GR32" s="449"/>
      <c r="GS32" s="449"/>
      <c r="GT32" s="449"/>
      <c r="GU32" s="449"/>
      <c r="GV32" s="449"/>
      <c r="GW32" s="449"/>
      <c r="GX32" s="449"/>
      <c r="GY32" s="449"/>
      <c r="GZ32" s="449"/>
      <c r="HA32" s="449"/>
      <c r="HB32" s="449"/>
      <c r="HC32" s="449"/>
      <c r="HD32" s="449"/>
      <c r="HE32" s="449"/>
      <c r="HF32" s="449"/>
      <c r="HG32" s="449"/>
      <c r="HH32" s="449"/>
      <c r="HI32" s="449"/>
      <c r="HJ32" s="449"/>
      <c r="HK32" s="449"/>
      <c r="HL32" s="449"/>
      <c r="HM32" s="449"/>
      <c r="HN32" s="449"/>
      <c r="HO32" s="449"/>
      <c r="HP32" s="449"/>
      <c r="HQ32" s="449"/>
      <c r="HR32" s="449"/>
      <c r="HS32" s="449"/>
      <c r="HT32" s="449"/>
      <c r="HU32" s="449"/>
      <c r="HV32" s="449"/>
      <c r="HW32" s="449"/>
      <c r="HX32" s="449"/>
      <c r="HY32" s="449"/>
      <c r="HZ32" s="449"/>
      <c r="IA32" s="449"/>
      <c r="IB32" s="449"/>
      <c r="IC32" s="449"/>
      <c r="ID32" s="449"/>
      <c r="IE32" s="449"/>
      <c r="IF32" s="449"/>
      <c r="IG32" s="449"/>
      <c r="IH32" s="449"/>
      <c r="II32" s="449"/>
      <c r="IJ32" s="449"/>
      <c r="IK32" s="449"/>
      <c r="IL32" s="449"/>
      <c r="IM32" s="449"/>
      <c r="IN32" s="449"/>
      <c r="IO32" s="449"/>
      <c r="IP32" s="449"/>
      <c r="IQ32" s="449"/>
      <c r="IR32" s="449"/>
      <c r="IS32" s="449"/>
      <c r="IT32" s="449"/>
      <c r="IU32" s="449"/>
      <c r="IV32" s="449"/>
    </row>
    <row r="33" spans="1:256" ht="16.5" customHeight="1">
      <c r="A33" s="449" t="s">
        <v>922</v>
      </c>
      <c r="B33" s="449"/>
      <c r="C33" s="449"/>
      <c r="D33" s="1679">
        <v>2.5070000000000001</v>
      </c>
      <c r="E33" s="1676"/>
      <c r="F33" s="1679">
        <v>463.75599999999997</v>
      </c>
      <c r="G33" s="1676"/>
      <c r="H33" s="1679">
        <v>423.44200000000001</v>
      </c>
      <c r="I33" s="1676"/>
      <c r="J33" s="1679">
        <v>0</v>
      </c>
      <c r="K33" s="1677"/>
      <c r="L33" s="1680">
        <f t="shared" si="0"/>
        <v>42.820999999999998</v>
      </c>
      <c r="M33" s="456"/>
      <c r="N33" s="394"/>
      <c r="O33" s="455"/>
      <c r="P33" s="449"/>
      <c r="Q33" s="449"/>
      <c r="R33" s="449"/>
      <c r="S33" s="449"/>
      <c r="T33" s="449"/>
      <c r="U33" s="449"/>
      <c r="V33" s="449"/>
      <c r="W33" s="449"/>
      <c r="X33" s="449"/>
      <c r="Y33" s="449"/>
      <c r="Z33" s="449"/>
      <c r="AA33" s="449"/>
      <c r="AB33" s="449"/>
      <c r="AC33" s="449"/>
      <c r="AD33" s="449"/>
      <c r="AE33" s="449"/>
      <c r="AF33" s="449"/>
      <c r="AG33" s="449"/>
      <c r="AH33" s="449"/>
      <c r="AI33" s="449"/>
      <c r="AJ33" s="449"/>
      <c r="AK33" s="449"/>
      <c r="AL33" s="449"/>
      <c r="AM33" s="449"/>
      <c r="AN33" s="449"/>
      <c r="AO33" s="449"/>
      <c r="AP33" s="449"/>
      <c r="AQ33" s="449"/>
      <c r="AR33" s="449"/>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c r="BP33" s="449"/>
      <c r="BQ33" s="449"/>
      <c r="BR33" s="449"/>
      <c r="BS33" s="449"/>
      <c r="BT33" s="449"/>
      <c r="BU33" s="449"/>
      <c r="BV33" s="449"/>
      <c r="BW33" s="449"/>
      <c r="BX33" s="449"/>
      <c r="BY33" s="449"/>
      <c r="BZ33" s="449"/>
      <c r="CA33" s="449"/>
      <c r="CB33" s="449"/>
      <c r="CC33" s="449"/>
      <c r="CD33" s="449"/>
      <c r="CE33" s="449"/>
      <c r="CF33" s="449"/>
      <c r="CG33" s="449"/>
      <c r="CH33" s="449"/>
      <c r="CI33" s="449"/>
      <c r="CJ33" s="449"/>
      <c r="CK33" s="449"/>
      <c r="CL33" s="449"/>
      <c r="CM33" s="449"/>
      <c r="CN33" s="449"/>
      <c r="CO33" s="449"/>
      <c r="CP33" s="449"/>
      <c r="CQ33" s="449"/>
      <c r="CR33" s="449"/>
      <c r="CS33" s="449"/>
      <c r="CT33" s="449"/>
      <c r="CU33" s="449"/>
      <c r="CV33" s="449"/>
      <c r="CW33" s="449"/>
      <c r="CX33" s="449"/>
      <c r="CY33" s="449"/>
      <c r="CZ33" s="449"/>
      <c r="DA33" s="449"/>
      <c r="DB33" s="449"/>
      <c r="DC33" s="449"/>
      <c r="DD33" s="449"/>
      <c r="DE33" s="449"/>
      <c r="DF33" s="449"/>
      <c r="DG33" s="449"/>
      <c r="DH33" s="449"/>
      <c r="DI33" s="449"/>
      <c r="DJ33" s="449"/>
      <c r="DK33" s="449"/>
      <c r="DL33" s="449"/>
      <c r="DM33" s="449"/>
      <c r="DN33" s="449"/>
      <c r="DO33" s="449"/>
      <c r="DP33" s="449"/>
      <c r="DQ33" s="449"/>
      <c r="DR33" s="449"/>
      <c r="DS33" s="449"/>
      <c r="DT33" s="449"/>
      <c r="DU33" s="449"/>
      <c r="DV33" s="449"/>
      <c r="DW33" s="449"/>
      <c r="DX33" s="449"/>
      <c r="DY33" s="449"/>
      <c r="DZ33" s="449"/>
      <c r="EA33" s="449"/>
      <c r="EB33" s="449"/>
      <c r="EC33" s="449"/>
      <c r="ED33" s="449"/>
      <c r="EE33" s="449"/>
      <c r="EF33" s="449"/>
      <c r="EG33" s="449"/>
      <c r="EH33" s="449"/>
      <c r="EI33" s="449"/>
      <c r="EJ33" s="449"/>
      <c r="EK33" s="449"/>
      <c r="EL33" s="449"/>
      <c r="EM33" s="449"/>
      <c r="EN33" s="449"/>
      <c r="EO33" s="449"/>
      <c r="EP33" s="449"/>
      <c r="EQ33" s="449"/>
      <c r="ER33" s="449"/>
      <c r="ES33" s="449"/>
      <c r="ET33" s="449"/>
      <c r="EU33" s="449"/>
      <c r="EV33" s="449"/>
      <c r="EW33" s="449"/>
      <c r="EX33" s="449"/>
      <c r="EY33" s="449"/>
      <c r="EZ33" s="449"/>
      <c r="FA33" s="449"/>
      <c r="FB33" s="449"/>
      <c r="FC33" s="449"/>
      <c r="FD33" s="449"/>
      <c r="FE33" s="449"/>
      <c r="FF33" s="449"/>
      <c r="FG33" s="449"/>
      <c r="FH33" s="449"/>
      <c r="FI33" s="449"/>
      <c r="FJ33" s="449"/>
      <c r="FK33" s="449"/>
      <c r="FL33" s="449"/>
      <c r="FM33" s="449"/>
      <c r="FN33" s="449"/>
      <c r="FO33" s="449"/>
      <c r="FP33" s="449"/>
      <c r="FQ33" s="449"/>
      <c r="FR33" s="449"/>
      <c r="FS33" s="449"/>
      <c r="FT33" s="449"/>
      <c r="FU33" s="449"/>
      <c r="FV33" s="449"/>
      <c r="FW33" s="449"/>
      <c r="FX33" s="449"/>
      <c r="FY33" s="449"/>
      <c r="FZ33" s="449"/>
      <c r="GA33" s="449"/>
      <c r="GB33" s="449"/>
      <c r="GC33" s="449"/>
      <c r="GD33" s="449"/>
      <c r="GE33" s="449"/>
      <c r="GF33" s="449"/>
      <c r="GG33" s="449"/>
      <c r="GH33" s="449"/>
      <c r="GI33" s="449"/>
      <c r="GJ33" s="449"/>
      <c r="GK33" s="449"/>
      <c r="GL33" s="449"/>
      <c r="GM33" s="449"/>
      <c r="GN33" s="449"/>
      <c r="GO33" s="449"/>
      <c r="GP33" s="449"/>
      <c r="GQ33" s="449"/>
      <c r="GR33" s="449"/>
      <c r="GS33" s="449"/>
      <c r="GT33" s="449"/>
      <c r="GU33" s="449"/>
      <c r="GV33" s="449"/>
      <c r="GW33" s="449"/>
      <c r="GX33" s="449"/>
      <c r="GY33" s="449"/>
      <c r="GZ33" s="449"/>
      <c r="HA33" s="449"/>
      <c r="HB33" s="449"/>
      <c r="HC33" s="449"/>
      <c r="HD33" s="449"/>
      <c r="HE33" s="449"/>
      <c r="HF33" s="449"/>
      <c r="HG33" s="449"/>
      <c r="HH33" s="449"/>
      <c r="HI33" s="449"/>
      <c r="HJ33" s="449"/>
      <c r="HK33" s="449"/>
      <c r="HL33" s="449"/>
      <c r="HM33" s="449"/>
      <c r="HN33" s="449"/>
      <c r="HO33" s="449"/>
      <c r="HP33" s="449"/>
      <c r="HQ33" s="449"/>
      <c r="HR33" s="449"/>
      <c r="HS33" s="449"/>
      <c r="HT33" s="449"/>
      <c r="HU33" s="449"/>
      <c r="HV33" s="449"/>
      <c r="HW33" s="449"/>
      <c r="HX33" s="449"/>
      <c r="HY33" s="449"/>
      <c r="HZ33" s="449"/>
      <c r="IA33" s="449"/>
      <c r="IB33" s="449"/>
      <c r="IC33" s="449"/>
      <c r="ID33" s="449"/>
      <c r="IE33" s="449"/>
      <c r="IF33" s="449"/>
      <c r="IG33" s="449"/>
      <c r="IH33" s="449"/>
      <c r="II33" s="449"/>
      <c r="IJ33" s="449"/>
      <c r="IK33" s="449"/>
      <c r="IL33" s="449"/>
      <c r="IM33" s="449"/>
      <c r="IN33" s="449"/>
      <c r="IO33" s="449"/>
      <c r="IP33" s="449"/>
      <c r="IQ33" s="449"/>
      <c r="IR33" s="449"/>
      <c r="IS33" s="449"/>
      <c r="IT33" s="449"/>
      <c r="IU33" s="449"/>
      <c r="IV33" s="449"/>
    </row>
    <row r="34" spans="1:256" ht="16.5" customHeight="1">
      <c r="A34" s="449" t="s">
        <v>375</v>
      </c>
      <c r="B34" s="449"/>
      <c r="C34" s="449" t="s">
        <v>14</v>
      </c>
      <c r="D34" s="1679">
        <v>37.381999999999998</v>
      </c>
      <c r="E34" s="1676"/>
      <c r="F34" s="1679">
        <v>6.0970000000000004</v>
      </c>
      <c r="G34" s="1676"/>
      <c r="H34" s="1679">
        <v>5.5270000000000001</v>
      </c>
      <c r="I34" s="1676"/>
      <c r="J34" s="1679">
        <v>0</v>
      </c>
      <c r="K34" s="1677"/>
      <c r="L34" s="1680">
        <f t="shared" si="0"/>
        <v>37.951999999999998</v>
      </c>
      <c r="M34" s="456"/>
      <c r="N34" s="449"/>
      <c r="O34" s="455"/>
      <c r="P34" s="449"/>
      <c r="Q34" s="449"/>
      <c r="R34" s="449"/>
      <c r="S34" s="449"/>
      <c r="T34" s="449"/>
      <c r="U34" s="449"/>
      <c r="V34" s="449"/>
      <c r="W34" s="449"/>
      <c r="X34" s="449"/>
      <c r="Y34" s="449"/>
      <c r="Z34" s="449"/>
      <c r="AA34" s="449"/>
      <c r="AB34" s="449"/>
      <c r="AC34" s="449"/>
      <c r="AD34" s="449"/>
      <c r="AE34" s="449"/>
      <c r="AF34" s="449"/>
      <c r="AG34" s="449"/>
      <c r="AH34" s="449"/>
      <c r="AI34" s="449"/>
      <c r="AJ34" s="449"/>
      <c r="AK34" s="449"/>
      <c r="AL34" s="449"/>
      <c r="AM34" s="449"/>
      <c r="AN34" s="449"/>
      <c r="AO34" s="449"/>
      <c r="AP34" s="449"/>
      <c r="AQ34" s="449"/>
      <c r="AR34" s="449"/>
      <c r="AS34" s="449"/>
      <c r="AT34" s="449"/>
      <c r="AU34" s="449"/>
      <c r="AV34" s="449"/>
      <c r="AW34" s="449"/>
      <c r="AX34" s="449"/>
      <c r="AY34" s="449"/>
      <c r="AZ34" s="449"/>
      <c r="BA34" s="449"/>
      <c r="BB34" s="449"/>
      <c r="BC34" s="449"/>
      <c r="BD34" s="449"/>
      <c r="BE34" s="449"/>
      <c r="BF34" s="449"/>
      <c r="BG34" s="449"/>
      <c r="BH34" s="449"/>
      <c r="BI34" s="449"/>
      <c r="BJ34" s="449"/>
      <c r="BK34" s="449"/>
      <c r="BL34" s="449"/>
      <c r="BM34" s="449"/>
      <c r="BN34" s="449"/>
      <c r="BO34" s="449"/>
      <c r="BP34" s="449"/>
      <c r="BQ34" s="449"/>
      <c r="BR34" s="449"/>
      <c r="BS34" s="449"/>
      <c r="BT34" s="449"/>
      <c r="BU34" s="449"/>
      <c r="BV34" s="449"/>
      <c r="BW34" s="449"/>
      <c r="BX34" s="449"/>
      <c r="BY34" s="449"/>
      <c r="BZ34" s="449"/>
      <c r="CA34" s="449"/>
      <c r="CB34" s="449"/>
      <c r="CC34" s="449"/>
      <c r="CD34" s="449"/>
      <c r="CE34" s="449"/>
      <c r="CF34" s="449"/>
      <c r="CG34" s="449"/>
      <c r="CH34" s="449"/>
      <c r="CI34" s="449"/>
      <c r="CJ34" s="449"/>
      <c r="CK34" s="449"/>
      <c r="CL34" s="449"/>
      <c r="CM34" s="449"/>
      <c r="CN34" s="449"/>
      <c r="CO34" s="449"/>
      <c r="CP34" s="449"/>
      <c r="CQ34" s="449"/>
      <c r="CR34" s="449"/>
      <c r="CS34" s="449"/>
      <c r="CT34" s="449"/>
      <c r="CU34" s="449"/>
      <c r="CV34" s="449"/>
      <c r="CW34" s="449"/>
      <c r="CX34" s="449"/>
      <c r="CY34" s="449"/>
      <c r="CZ34" s="449"/>
      <c r="DA34" s="449"/>
      <c r="DB34" s="449"/>
      <c r="DC34" s="449"/>
      <c r="DD34" s="449"/>
      <c r="DE34" s="449"/>
      <c r="DF34" s="449"/>
      <c r="DG34" s="449"/>
      <c r="DH34" s="449"/>
      <c r="DI34" s="449"/>
      <c r="DJ34" s="449"/>
      <c r="DK34" s="449"/>
      <c r="DL34" s="449"/>
      <c r="DM34" s="449"/>
      <c r="DN34" s="449"/>
      <c r="DO34" s="449"/>
      <c r="DP34" s="449"/>
      <c r="DQ34" s="449"/>
      <c r="DR34" s="449"/>
      <c r="DS34" s="449"/>
      <c r="DT34" s="449"/>
      <c r="DU34" s="449"/>
      <c r="DV34" s="449"/>
      <c r="DW34" s="449"/>
      <c r="DX34" s="449"/>
      <c r="DY34" s="449"/>
      <c r="DZ34" s="449"/>
      <c r="EA34" s="449"/>
      <c r="EB34" s="449"/>
      <c r="EC34" s="449"/>
      <c r="ED34" s="449"/>
      <c r="EE34" s="449"/>
      <c r="EF34" s="449"/>
      <c r="EG34" s="449"/>
      <c r="EH34" s="449"/>
      <c r="EI34" s="449"/>
      <c r="EJ34" s="449"/>
      <c r="EK34" s="449"/>
      <c r="EL34" s="449"/>
      <c r="EM34" s="449"/>
      <c r="EN34" s="449"/>
      <c r="EO34" s="449"/>
      <c r="EP34" s="449"/>
      <c r="EQ34" s="449"/>
      <c r="ER34" s="449"/>
      <c r="ES34" s="449"/>
      <c r="ET34" s="449"/>
      <c r="EU34" s="449"/>
      <c r="EV34" s="449"/>
      <c r="EW34" s="449"/>
      <c r="EX34" s="449"/>
      <c r="EY34" s="449"/>
      <c r="EZ34" s="449"/>
      <c r="FA34" s="449"/>
      <c r="FB34" s="449"/>
      <c r="FC34" s="449"/>
      <c r="FD34" s="449"/>
      <c r="FE34" s="449"/>
      <c r="FF34" s="449"/>
      <c r="FG34" s="449"/>
      <c r="FH34" s="449"/>
      <c r="FI34" s="449"/>
      <c r="FJ34" s="449"/>
      <c r="FK34" s="449"/>
      <c r="FL34" s="449"/>
      <c r="FM34" s="449"/>
      <c r="FN34" s="449"/>
      <c r="FO34" s="449"/>
      <c r="FP34" s="449"/>
      <c r="FQ34" s="449"/>
      <c r="FR34" s="449"/>
      <c r="FS34" s="449"/>
      <c r="FT34" s="449"/>
      <c r="FU34" s="449"/>
      <c r="FV34" s="449"/>
      <c r="FW34" s="449"/>
      <c r="FX34" s="449"/>
      <c r="FY34" s="449"/>
      <c r="FZ34" s="449"/>
      <c r="GA34" s="449"/>
      <c r="GB34" s="449"/>
      <c r="GC34" s="449"/>
      <c r="GD34" s="449"/>
      <c r="GE34" s="449"/>
      <c r="GF34" s="449"/>
      <c r="GG34" s="449"/>
      <c r="GH34" s="449"/>
      <c r="GI34" s="449"/>
      <c r="GJ34" s="449"/>
      <c r="GK34" s="449"/>
      <c r="GL34" s="449"/>
      <c r="GM34" s="449"/>
      <c r="GN34" s="449"/>
      <c r="GO34" s="449"/>
      <c r="GP34" s="449"/>
      <c r="GQ34" s="449"/>
      <c r="GR34" s="449"/>
      <c r="GS34" s="449"/>
      <c r="GT34" s="449"/>
      <c r="GU34" s="449"/>
      <c r="GV34" s="449"/>
      <c r="GW34" s="449"/>
      <c r="GX34" s="449"/>
      <c r="GY34" s="449"/>
      <c r="GZ34" s="449"/>
      <c r="HA34" s="449"/>
      <c r="HB34" s="449"/>
      <c r="HC34" s="449"/>
      <c r="HD34" s="449"/>
      <c r="HE34" s="449"/>
      <c r="HF34" s="449"/>
      <c r="HG34" s="449"/>
      <c r="HH34" s="449"/>
      <c r="HI34" s="449"/>
      <c r="HJ34" s="449"/>
      <c r="HK34" s="449"/>
      <c r="HL34" s="449"/>
      <c r="HM34" s="449"/>
      <c r="HN34" s="449"/>
      <c r="HO34" s="449"/>
      <c r="HP34" s="449"/>
      <c r="HQ34" s="449"/>
      <c r="HR34" s="449"/>
      <c r="HS34" s="449"/>
      <c r="HT34" s="449"/>
      <c r="HU34" s="449"/>
      <c r="HV34" s="449"/>
      <c r="HW34" s="449"/>
      <c r="HX34" s="449"/>
      <c r="HY34" s="449"/>
      <c r="HZ34" s="449"/>
      <c r="IA34" s="449"/>
      <c r="IB34" s="449"/>
      <c r="IC34" s="449"/>
      <c r="ID34" s="449"/>
      <c r="IE34" s="449"/>
      <c r="IF34" s="449"/>
      <c r="IG34" s="449"/>
      <c r="IH34" s="449"/>
      <c r="II34" s="449"/>
      <c r="IJ34" s="449"/>
      <c r="IK34" s="449"/>
      <c r="IL34" s="449"/>
      <c r="IM34" s="449"/>
      <c r="IN34" s="449"/>
      <c r="IO34" s="449"/>
      <c r="IP34" s="449"/>
      <c r="IQ34" s="449"/>
      <c r="IR34" s="449"/>
      <c r="IS34" s="449"/>
      <c r="IT34" s="449"/>
      <c r="IU34" s="449"/>
      <c r="IV34" s="449"/>
    </row>
    <row r="35" spans="1:256" ht="15.75" customHeight="1">
      <c r="A35" s="449" t="s">
        <v>376</v>
      </c>
      <c r="B35" s="449"/>
      <c r="C35" s="449"/>
      <c r="D35" s="1679">
        <v>1.268</v>
      </c>
      <c r="E35" s="1676"/>
      <c r="F35" s="1679">
        <v>0.92</v>
      </c>
      <c r="G35" s="1676"/>
      <c r="H35" s="1679">
        <v>0.80600000000000005</v>
      </c>
      <c r="I35" s="1676"/>
      <c r="J35" s="1679">
        <v>0</v>
      </c>
      <c r="K35" s="1677"/>
      <c r="L35" s="1680">
        <f t="shared" si="0"/>
        <v>1.3819999999999999</v>
      </c>
      <c r="M35" s="456"/>
      <c r="N35" s="449"/>
      <c r="O35" s="455"/>
      <c r="P35" s="449"/>
      <c r="Q35" s="449"/>
      <c r="R35" s="449"/>
      <c r="S35" s="449"/>
      <c r="T35" s="449"/>
      <c r="U35" s="449"/>
      <c r="V35" s="449"/>
      <c r="W35" s="449"/>
      <c r="X35" s="449"/>
      <c r="Y35" s="449"/>
      <c r="Z35" s="449"/>
      <c r="AA35" s="449"/>
      <c r="AB35" s="449"/>
      <c r="AC35" s="449"/>
      <c r="AD35" s="449"/>
      <c r="AE35" s="449"/>
      <c r="AF35" s="449"/>
      <c r="AG35" s="449"/>
      <c r="AH35" s="449"/>
      <c r="AI35" s="449"/>
      <c r="AJ35" s="449"/>
      <c r="AK35" s="449"/>
      <c r="AL35" s="449"/>
      <c r="AM35" s="449"/>
      <c r="AN35" s="449"/>
      <c r="AO35" s="449"/>
      <c r="AP35" s="449"/>
      <c r="AQ35" s="449"/>
      <c r="AR35" s="449"/>
      <c r="AS35" s="449"/>
      <c r="AT35" s="449"/>
      <c r="AU35" s="449"/>
      <c r="AV35" s="449"/>
      <c r="AW35" s="449"/>
      <c r="AX35" s="449"/>
      <c r="AY35" s="449"/>
      <c r="AZ35" s="449"/>
      <c r="BA35" s="449"/>
      <c r="BB35" s="449"/>
      <c r="BC35" s="449"/>
      <c r="BD35" s="449"/>
      <c r="BE35" s="449"/>
      <c r="BF35" s="449"/>
      <c r="BG35" s="449"/>
      <c r="BH35" s="449"/>
      <c r="BI35" s="449"/>
      <c r="BJ35" s="449"/>
      <c r="BK35" s="449"/>
      <c r="BL35" s="449"/>
      <c r="BM35" s="449"/>
      <c r="BN35" s="449"/>
      <c r="BO35" s="449"/>
      <c r="BP35" s="449"/>
      <c r="BQ35" s="449"/>
      <c r="BR35" s="449"/>
      <c r="BS35" s="449"/>
      <c r="BT35" s="449"/>
      <c r="BU35" s="449"/>
      <c r="BV35" s="449"/>
      <c r="BW35" s="449"/>
      <c r="BX35" s="449"/>
      <c r="BY35" s="449"/>
      <c r="BZ35" s="449"/>
      <c r="CA35" s="449"/>
      <c r="CB35" s="449"/>
      <c r="CC35" s="449"/>
      <c r="CD35" s="449"/>
      <c r="CE35" s="449"/>
      <c r="CF35" s="449"/>
      <c r="CG35" s="449"/>
      <c r="CH35" s="449"/>
      <c r="CI35" s="449"/>
      <c r="CJ35" s="449"/>
      <c r="CK35" s="449"/>
      <c r="CL35" s="449"/>
      <c r="CM35" s="449"/>
      <c r="CN35" s="449"/>
      <c r="CO35" s="449"/>
      <c r="CP35" s="449"/>
      <c r="CQ35" s="449"/>
      <c r="CR35" s="449"/>
      <c r="CS35" s="449"/>
      <c r="CT35" s="449"/>
      <c r="CU35" s="449"/>
      <c r="CV35" s="449"/>
      <c r="CW35" s="449"/>
      <c r="CX35" s="449"/>
      <c r="CY35" s="449"/>
      <c r="CZ35" s="449"/>
      <c r="DA35" s="449"/>
      <c r="DB35" s="449"/>
      <c r="DC35" s="449"/>
      <c r="DD35" s="449"/>
      <c r="DE35" s="449"/>
      <c r="DF35" s="449"/>
      <c r="DG35" s="449"/>
      <c r="DH35" s="449"/>
      <c r="DI35" s="449"/>
      <c r="DJ35" s="449"/>
      <c r="DK35" s="449"/>
      <c r="DL35" s="449"/>
      <c r="DM35" s="449"/>
      <c r="DN35" s="449"/>
      <c r="DO35" s="449"/>
      <c r="DP35" s="449"/>
      <c r="DQ35" s="449"/>
      <c r="DR35" s="449"/>
      <c r="DS35" s="449"/>
      <c r="DT35" s="449"/>
      <c r="DU35" s="449"/>
      <c r="DV35" s="449"/>
      <c r="DW35" s="449"/>
      <c r="DX35" s="449"/>
      <c r="DY35" s="449"/>
      <c r="DZ35" s="449"/>
      <c r="EA35" s="449"/>
      <c r="EB35" s="449"/>
      <c r="EC35" s="449"/>
      <c r="ED35" s="449"/>
      <c r="EE35" s="449"/>
      <c r="EF35" s="449"/>
      <c r="EG35" s="449"/>
      <c r="EH35" s="449"/>
      <c r="EI35" s="449"/>
      <c r="EJ35" s="449"/>
      <c r="EK35" s="449"/>
      <c r="EL35" s="449"/>
      <c r="EM35" s="449"/>
      <c r="EN35" s="449"/>
      <c r="EO35" s="449"/>
      <c r="EP35" s="449"/>
      <c r="EQ35" s="449"/>
      <c r="ER35" s="449"/>
      <c r="ES35" s="449"/>
      <c r="ET35" s="449"/>
      <c r="EU35" s="449"/>
      <c r="EV35" s="449"/>
      <c r="EW35" s="449"/>
      <c r="EX35" s="449"/>
      <c r="EY35" s="449"/>
      <c r="EZ35" s="449"/>
      <c r="FA35" s="449"/>
      <c r="FB35" s="449"/>
      <c r="FC35" s="449"/>
      <c r="FD35" s="449"/>
      <c r="FE35" s="449"/>
      <c r="FF35" s="449"/>
      <c r="FG35" s="449"/>
      <c r="FH35" s="449"/>
      <c r="FI35" s="449"/>
      <c r="FJ35" s="449"/>
      <c r="FK35" s="449"/>
      <c r="FL35" s="449"/>
      <c r="FM35" s="449"/>
      <c r="FN35" s="449"/>
      <c r="FO35" s="449"/>
      <c r="FP35" s="449"/>
      <c r="FQ35" s="449"/>
      <c r="FR35" s="449"/>
      <c r="FS35" s="449"/>
      <c r="FT35" s="449"/>
      <c r="FU35" s="449"/>
      <c r="FV35" s="449"/>
      <c r="FW35" s="449"/>
      <c r="FX35" s="449"/>
      <c r="FY35" s="449"/>
      <c r="FZ35" s="449"/>
      <c r="GA35" s="449"/>
      <c r="GB35" s="449"/>
      <c r="GC35" s="449"/>
      <c r="GD35" s="449"/>
      <c r="GE35" s="449"/>
      <c r="GF35" s="449"/>
      <c r="GG35" s="449"/>
      <c r="GH35" s="449"/>
      <c r="GI35" s="449"/>
      <c r="GJ35" s="449"/>
      <c r="GK35" s="449"/>
      <c r="GL35" s="449"/>
      <c r="GM35" s="449"/>
      <c r="GN35" s="449"/>
      <c r="GO35" s="449"/>
      <c r="GP35" s="449"/>
      <c r="GQ35" s="449"/>
      <c r="GR35" s="449"/>
      <c r="GS35" s="449"/>
      <c r="GT35" s="449"/>
      <c r="GU35" s="449"/>
      <c r="GV35" s="449"/>
      <c r="GW35" s="449"/>
      <c r="GX35" s="449"/>
      <c r="GY35" s="449"/>
      <c r="GZ35" s="449"/>
      <c r="HA35" s="449"/>
      <c r="HB35" s="449"/>
      <c r="HC35" s="449"/>
      <c r="HD35" s="449"/>
      <c r="HE35" s="449"/>
      <c r="HF35" s="449"/>
      <c r="HG35" s="449"/>
      <c r="HH35" s="449"/>
      <c r="HI35" s="449"/>
      <c r="HJ35" s="449"/>
      <c r="HK35" s="449"/>
      <c r="HL35" s="449"/>
      <c r="HM35" s="449"/>
      <c r="HN35" s="449"/>
      <c r="HO35" s="449"/>
      <c r="HP35" s="449"/>
      <c r="HQ35" s="449"/>
      <c r="HR35" s="449"/>
      <c r="HS35" s="449"/>
      <c r="HT35" s="449"/>
      <c r="HU35" s="449"/>
      <c r="HV35" s="449"/>
      <c r="HW35" s="449"/>
      <c r="HX35" s="449"/>
      <c r="HY35" s="449"/>
      <c r="HZ35" s="449"/>
      <c r="IA35" s="449"/>
      <c r="IB35" s="449"/>
      <c r="IC35" s="449"/>
      <c r="ID35" s="449"/>
      <c r="IE35" s="449"/>
      <c r="IF35" s="449"/>
      <c r="IG35" s="449"/>
      <c r="IH35" s="449"/>
      <c r="II35" s="449"/>
      <c r="IJ35" s="449"/>
      <c r="IK35" s="449"/>
      <c r="IL35" s="449"/>
      <c r="IM35" s="449"/>
      <c r="IN35" s="449"/>
      <c r="IO35" s="449"/>
      <c r="IP35" s="449"/>
      <c r="IQ35" s="449"/>
      <c r="IR35" s="449"/>
      <c r="IS35" s="449"/>
      <c r="IT35" s="449"/>
      <c r="IU35" s="449"/>
      <c r="IV35" s="449"/>
    </row>
    <row r="36" spans="1:256" ht="15.75" customHeight="1">
      <c r="A36" s="449" t="s">
        <v>377</v>
      </c>
      <c r="B36" s="449"/>
      <c r="C36" s="449"/>
      <c r="D36" s="1679">
        <v>542.67499999999995</v>
      </c>
      <c r="E36" s="1676"/>
      <c r="F36" s="1679">
        <v>130.84100000000001</v>
      </c>
      <c r="G36" s="1676"/>
      <c r="H36" s="1679">
        <v>96.066999999999993</v>
      </c>
      <c r="I36" s="1676"/>
      <c r="J36" s="1679">
        <v>0</v>
      </c>
      <c r="K36" s="1677"/>
      <c r="L36" s="1680">
        <f t="shared" si="0"/>
        <v>577.44899999999996</v>
      </c>
      <c r="M36" s="461"/>
      <c r="N36" s="449"/>
      <c r="O36" s="455"/>
      <c r="P36" s="449"/>
      <c r="Q36" s="449"/>
      <c r="R36" s="449"/>
      <c r="S36" s="449"/>
      <c r="T36" s="449"/>
      <c r="U36" s="449"/>
      <c r="V36" s="449"/>
      <c r="W36" s="449"/>
      <c r="X36" s="449"/>
      <c r="Y36" s="449"/>
      <c r="Z36" s="449"/>
      <c r="AA36" s="449"/>
      <c r="AB36" s="449"/>
      <c r="AC36" s="449"/>
      <c r="AD36" s="449"/>
      <c r="AE36" s="449"/>
      <c r="AF36" s="449"/>
      <c r="AG36" s="449"/>
      <c r="AH36" s="449"/>
      <c r="AI36" s="449"/>
      <c r="AJ36" s="449"/>
      <c r="AK36" s="449"/>
      <c r="AL36" s="449"/>
      <c r="AM36" s="449"/>
      <c r="AN36" s="449"/>
      <c r="AO36" s="449"/>
      <c r="AP36" s="449"/>
      <c r="AQ36" s="449"/>
      <c r="AR36" s="449"/>
      <c r="AS36" s="449"/>
      <c r="AT36" s="449"/>
      <c r="AU36" s="449"/>
      <c r="AV36" s="449"/>
      <c r="AW36" s="449"/>
      <c r="AX36" s="449"/>
      <c r="AY36" s="449"/>
      <c r="AZ36" s="449"/>
      <c r="BA36" s="449"/>
      <c r="BB36" s="449"/>
      <c r="BC36" s="449"/>
      <c r="BD36" s="449"/>
      <c r="BE36" s="449"/>
      <c r="BF36" s="449"/>
      <c r="BG36" s="449"/>
      <c r="BH36" s="449"/>
      <c r="BI36" s="449"/>
      <c r="BJ36" s="449"/>
      <c r="BK36" s="449"/>
      <c r="BL36" s="449"/>
      <c r="BM36" s="449"/>
      <c r="BN36" s="449"/>
      <c r="BO36" s="449"/>
      <c r="BP36" s="449"/>
      <c r="BQ36" s="449"/>
      <c r="BR36" s="449"/>
      <c r="BS36" s="449"/>
      <c r="BT36" s="449"/>
      <c r="BU36" s="449"/>
      <c r="BV36" s="449"/>
      <c r="BW36" s="449"/>
      <c r="BX36" s="449"/>
      <c r="BY36" s="449"/>
      <c r="BZ36" s="449"/>
      <c r="CA36" s="449"/>
      <c r="CB36" s="449"/>
      <c r="CC36" s="449"/>
      <c r="CD36" s="449"/>
      <c r="CE36" s="449"/>
      <c r="CF36" s="449"/>
      <c r="CG36" s="449"/>
      <c r="CH36" s="449"/>
      <c r="CI36" s="449"/>
      <c r="CJ36" s="449"/>
      <c r="CK36" s="449"/>
      <c r="CL36" s="449"/>
      <c r="CM36" s="449"/>
      <c r="CN36" s="449"/>
      <c r="CO36" s="449"/>
      <c r="CP36" s="449"/>
      <c r="CQ36" s="449"/>
      <c r="CR36" s="449"/>
      <c r="CS36" s="449"/>
      <c r="CT36" s="449"/>
      <c r="CU36" s="449"/>
      <c r="CV36" s="449"/>
      <c r="CW36" s="449"/>
      <c r="CX36" s="449"/>
      <c r="CY36" s="449"/>
      <c r="CZ36" s="449"/>
      <c r="DA36" s="449"/>
      <c r="DB36" s="449"/>
      <c r="DC36" s="449"/>
      <c r="DD36" s="449"/>
      <c r="DE36" s="449"/>
      <c r="DF36" s="449"/>
      <c r="DG36" s="449"/>
      <c r="DH36" s="449"/>
      <c r="DI36" s="449"/>
      <c r="DJ36" s="449"/>
      <c r="DK36" s="449"/>
      <c r="DL36" s="449"/>
      <c r="DM36" s="449"/>
      <c r="DN36" s="449"/>
      <c r="DO36" s="449"/>
      <c r="DP36" s="449"/>
      <c r="DQ36" s="449"/>
      <c r="DR36" s="449"/>
      <c r="DS36" s="449"/>
      <c r="DT36" s="449"/>
      <c r="DU36" s="449"/>
      <c r="DV36" s="449"/>
      <c r="DW36" s="449"/>
      <c r="DX36" s="449"/>
      <c r="DY36" s="449"/>
      <c r="DZ36" s="449"/>
      <c r="EA36" s="449"/>
      <c r="EB36" s="449"/>
      <c r="EC36" s="449"/>
      <c r="ED36" s="449"/>
      <c r="EE36" s="449"/>
      <c r="EF36" s="449"/>
      <c r="EG36" s="449"/>
      <c r="EH36" s="449"/>
      <c r="EI36" s="449"/>
      <c r="EJ36" s="449"/>
      <c r="EK36" s="449"/>
      <c r="EL36" s="449"/>
      <c r="EM36" s="449"/>
      <c r="EN36" s="449"/>
      <c r="EO36" s="449"/>
      <c r="EP36" s="449"/>
      <c r="EQ36" s="449"/>
      <c r="ER36" s="449"/>
      <c r="ES36" s="449"/>
      <c r="ET36" s="449"/>
      <c r="EU36" s="449"/>
      <c r="EV36" s="449"/>
      <c r="EW36" s="449"/>
      <c r="EX36" s="449"/>
      <c r="EY36" s="449"/>
      <c r="EZ36" s="449"/>
      <c r="FA36" s="449"/>
      <c r="FB36" s="449"/>
      <c r="FC36" s="449"/>
      <c r="FD36" s="449"/>
      <c r="FE36" s="449"/>
      <c r="FF36" s="449"/>
      <c r="FG36" s="449"/>
      <c r="FH36" s="449"/>
      <c r="FI36" s="449"/>
      <c r="FJ36" s="449"/>
      <c r="FK36" s="449"/>
      <c r="FL36" s="449"/>
      <c r="FM36" s="449"/>
      <c r="FN36" s="449"/>
      <c r="FO36" s="449"/>
      <c r="FP36" s="449"/>
      <c r="FQ36" s="449"/>
      <c r="FR36" s="449"/>
      <c r="FS36" s="449"/>
      <c r="FT36" s="449"/>
      <c r="FU36" s="449"/>
      <c r="FV36" s="449"/>
      <c r="FW36" s="449"/>
      <c r="FX36" s="449"/>
      <c r="FY36" s="449"/>
      <c r="FZ36" s="449"/>
      <c r="GA36" s="449"/>
      <c r="GB36" s="449"/>
      <c r="GC36" s="449"/>
      <c r="GD36" s="449"/>
      <c r="GE36" s="449"/>
      <c r="GF36" s="449"/>
      <c r="GG36" s="449"/>
      <c r="GH36" s="449"/>
      <c r="GI36" s="449"/>
      <c r="GJ36" s="449"/>
      <c r="GK36" s="449"/>
      <c r="GL36" s="449"/>
      <c r="GM36" s="449"/>
      <c r="GN36" s="449"/>
      <c r="GO36" s="449"/>
      <c r="GP36" s="449"/>
      <c r="GQ36" s="449"/>
      <c r="GR36" s="449"/>
      <c r="GS36" s="449"/>
      <c r="GT36" s="449"/>
      <c r="GU36" s="449"/>
      <c r="GV36" s="449"/>
      <c r="GW36" s="449"/>
      <c r="GX36" s="449"/>
      <c r="GY36" s="449"/>
      <c r="GZ36" s="449"/>
      <c r="HA36" s="449"/>
      <c r="HB36" s="449"/>
      <c r="HC36" s="449"/>
      <c r="HD36" s="449"/>
      <c r="HE36" s="449"/>
      <c r="HF36" s="449"/>
      <c r="HG36" s="449"/>
      <c r="HH36" s="449"/>
      <c r="HI36" s="449"/>
      <c r="HJ36" s="449"/>
      <c r="HK36" s="449"/>
      <c r="HL36" s="449"/>
      <c r="HM36" s="449"/>
      <c r="HN36" s="449"/>
      <c r="HO36" s="449"/>
      <c r="HP36" s="449"/>
      <c r="HQ36" s="449"/>
      <c r="HR36" s="449"/>
      <c r="HS36" s="449"/>
      <c r="HT36" s="449"/>
      <c r="HU36" s="449"/>
      <c r="HV36" s="449"/>
      <c r="HW36" s="449"/>
      <c r="HX36" s="449"/>
      <c r="HY36" s="449"/>
      <c r="HZ36" s="449"/>
      <c r="IA36" s="449"/>
      <c r="IB36" s="449"/>
      <c r="IC36" s="449"/>
      <c r="ID36" s="449"/>
      <c r="IE36" s="449"/>
      <c r="IF36" s="449"/>
      <c r="IG36" s="449"/>
      <c r="IH36" s="449"/>
      <c r="II36" s="449"/>
      <c r="IJ36" s="449"/>
      <c r="IK36" s="449"/>
      <c r="IL36" s="449"/>
      <c r="IM36" s="449"/>
      <c r="IN36" s="449"/>
      <c r="IO36" s="449"/>
      <c r="IP36" s="449"/>
      <c r="IQ36" s="449"/>
      <c r="IR36" s="449"/>
      <c r="IS36" s="449"/>
      <c r="IT36" s="449"/>
      <c r="IU36" s="449"/>
      <c r="IV36" s="449"/>
    </row>
    <row r="37" spans="1:256" ht="16.5" customHeight="1">
      <c r="A37" s="449" t="s">
        <v>378</v>
      </c>
      <c r="B37" s="449"/>
      <c r="C37" s="449"/>
      <c r="D37" s="1679">
        <v>0</v>
      </c>
      <c r="E37" s="1676"/>
      <c r="F37" s="1679">
        <v>0</v>
      </c>
      <c r="G37" s="1676"/>
      <c r="H37" s="1679">
        <v>0</v>
      </c>
      <c r="I37" s="1676"/>
      <c r="J37" s="1679">
        <v>0</v>
      </c>
      <c r="K37" s="1677"/>
      <c r="L37" s="1680">
        <f t="shared" si="0"/>
        <v>0</v>
      </c>
      <c r="M37" s="456"/>
      <c r="N37" s="449"/>
      <c r="O37" s="455"/>
      <c r="P37" s="449"/>
      <c r="Q37" s="449"/>
      <c r="R37" s="449"/>
      <c r="S37" s="449"/>
      <c r="T37" s="449"/>
      <c r="U37" s="449"/>
      <c r="V37" s="449"/>
      <c r="W37" s="449"/>
      <c r="X37" s="449"/>
      <c r="Y37" s="449"/>
      <c r="Z37" s="449"/>
      <c r="AA37" s="449"/>
      <c r="AB37" s="449"/>
      <c r="AC37" s="449"/>
      <c r="AD37" s="449"/>
      <c r="AE37" s="449"/>
      <c r="AF37" s="449"/>
      <c r="AG37" s="449"/>
      <c r="AH37" s="449"/>
      <c r="AI37" s="449"/>
      <c r="AJ37" s="449"/>
      <c r="AK37" s="449"/>
      <c r="AL37" s="449"/>
      <c r="AM37" s="449"/>
      <c r="AN37" s="449"/>
      <c r="AO37" s="449"/>
      <c r="AP37" s="449"/>
      <c r="AQ37" s="449"/>
      <c r="AR37" s="449"/>
      <c r="AS37" s="449"/>
      <c r="AT37" s="449"/>
      <c r="AU37" s="449"/>
      <c r="AV37" s="449"/>
      <c r="AW37" s="449"/>
      <c r="AX37" s="449"/>
      <c r="AY37" s="449"/>
      <c r="AZ37" s="449"/>
      <c r="BA37" s="449"/>
      <c r="BB37" s="449"/>
      <c r="BC37" s="449"/>
      <c r="BD37" s="449"/>
      <c r="BE37" s="449"/>
      <c r="BF37" s="449"/>
      <c r="BG37" s="449"/>
      <c r="BH37" s="449"/>
      <c r="BI37" s="449"/>
      <c r="BJ37" s="449"/>
      <c r="BK37" s="449"/>
      <c r="BL37" s="449"/>
      <c r="BM37" s="449"/>
      <c r="BN37" s="449"/>
      <c r="BO37" s="449"/>
      <c r="BP37" s="449"/>
      <c r="BQ37" s="449"/>
      <c r="BR37" s="449"/>
      <c r="BS37" s="449"/>
      <c r="BT37" s="449"/>
      <c r="BU37" s="449"/>
      <c r="BV37" s="449"/>
      <c r="BW37" s="449"/>
      <c r="BX37" s="449"/>
      <c r="BY37" s="449"/>
      <c r="BZ37" s="449"/>
      <c r="CA37" s="449"/>
      <c r="CB37" s="449"/>
      <c r="CC37" s="449"/>
      <c r="CD37" s="449"/>
      <c r="CE37" s="449"/>
      <c r="CF37" s="449"/>
      <c r="CG37" s="449"/>
      <c r="CH37" s="449"/>
      <c r="CI37" s="449"/>
      <c r="CJ37" s="449"/>
      <c r="CK37" s="449"/>
      <c r="CL37" s="449"/>
      <c r="CM37" s="449"/>
      <c r="CN37" s="449"/>
      <c r="CO37" s="449"/>
      <c r="CP37" s="449"/>
      <c r="CQ37" s="449"/>
      <c r="CR37" s="449"/>
      <c r="CS37" s="449"/>
      <c r="CT37" s="449"/>
      <c r="CU37" s="449"/>
      <c r="CV37" s="449"/>
      <c r="CW37" s="449"/>
      <c r="CX37" s="449"/>
      <c r="CY37" s="449"/>
      <c r="CZ37" s="449"/>
      <c r="DA37" s="449"/>
      <c r="DB37" s="449"/>
      <c r="DC37" s="449"/>
      <c r="DD37" s="449"/>
      <c r="DE37" s="449"/>
      <c r="DF37" s="449"/>
      <c r="DG37" s="449"/>
      <c r="DH37" s="449"/>
      <c r="DI37" s="449"/>
      <c r="DJ37" s="449"/>
      <c r="DK37" s="449"/>
      <c r="DL37" s="449"/>
      <c r="DM37" s="449"/>
      <c r="DN37" s="449"/>
      <c r="DO37" s="449"/>
      <c r="DP37" s="449"/>
      <c r="DQ37" s="449"/>
      <c r="DR37" s="449"/>
      <c r="DS37" s="449"/>
      <c r="DT37" s="449"/>
      <c r="DU37" s="449"/>
      <c r="DV37" s="449"/>
      <c r="DW37" s="449"/>
      <c r="DX37" s="449"/>
      <c r="DY37" s="449"/>
      <c r="DZ37" s="449"/>
      <c r="EA37" s="449"/>
      <c r="EB37" s="449"/>
      <c r="EC37" s="449"/>
      <c r="ED37" s="449"/>
      <c r="EE37" s="449"/>
      <c r="EF37" s="449"/>
      <c r="EG37" s="449"/>
      <c r="EH37" s="449"/>
      <c r="EI37" s="449"/>
      <c r="EJ37" s="449"/>
      <c r="EK37" s="449"/>
      <c r="EL37" s="449"/>
      <c r="EM37" s="449"/>
      <c r="EN37" s="449"/>
      <c r="EO37" s="449"/>
      <c r="EP37" s="449"/>
      <c r="EQ37" s="449"/>
      <c r="ER37" s="449"/>
      <c r="ES37" s="449"/>
      <c r="ET37" s="449"/>
      <c r="EU37" s="449"/>
      <c r="EV37" s="449"/>
      <c r="EW37" s="449"/>
      <c r="EX37" s="449"/>
      <c r="EY37" s="449"/>
      <c r="EZ37" s="449"/>
      <c r="FA37" s="449"/>
      <c r="FB37" s="449"/>
      <c r="FC37" s="449"/>
      <c r="FD37" s="449"/>
      <c r="FE37" s="449"/>
      <c r="FF37" s="449"/>
      <c r="FG37" s="449"/>
      <c r="FH37" s="449"/>
      <c r="FI37" s="449"/>
      <c r="FJ37" s="449"/>
      <c r="FK37" s="449"/>
      <c r="FL37" s="449"/>
      <c r="FM37" s="449"/>
      <c r="FN37" s="449"/>
      <c r="FO37" s="449"/>
      <c r="FP37" s="449"/>
      <c r="FQ37" s="449"/>
      <c r="FR37" s="449"/>
      <c r="FS37" s="449"/>
      <c r="FT37" s="449"/>
      <c r="FU37" s="449"/>
      <c r="FV37" s="449"/>
      <c r="FW37" s="449"/>
      <c r="FX37" s="449"/>
      <c r="FY37" s="449"/>
      <c r="FZ37" s="449"/>
      <c r="GA37" s="449"/>
      <c r="GB37" s="449"/>
      <c r="GC37" s="449"/>
      <c r="GD37" s="449"/>
      <c r="GE37" s="449"/>
      <c r="GF37" s="449"/>
      <c r="GG37" s="449"/>
      <c r="GH37" s="449"/>
      <c r="GI37" s="449"/>
      <c r="GJ37" s="449"/>
      <c r="GK37" s="449"/>
      <c r="GL37" s="449"/>
      <c r="GM37" s="449"/>
      <c r="GN37" s="449"/>
      <c r="GO37" s="449"/>
      <c r="GP37" s="449"/>
      <c r="GQ37" s="449"/>
      <c r="GR37" s="449"/>
      <c r="GS37" s="449"/>
      <c r="GT37" s="449"/>
      <c r="GU37" s="449"/>
      <c r="GV37" s="449"/>
      <c r="GW37" s="449"/>
      <c r="GX37" s="449"/>
      <c r="GY37" s="449"/>
      <c r="GZ37" s="449"/>
      <c r="HA37" s="449"/>
      <c r="HB37" s="449"/>
      <c r="HC37" s="449"/>
      <c r="HD37" s="449"/>
      <c r="HE37" s="449"/>
      <c r="HF37" s="449"/>
      <c r="HG37" s="449"/>
      <c r="HH37" s="449"/>
      <c r="HI37" s="449"/>
      <c r="HJ37" s="449"/>
      <c r="HK37" s="449"/>
      <c r="HL37" s="449"/>
      <c r="HM37" s="449"/>
      <c r="HN37" s="449"/>
      <c r="HO37" s="449"/>
      <c r="HP37" s="449"/>
      <c r="HQ37" s="449"/>
      <c r="HR37" s="449"/>
      <c r="HS37" s="449"/>
      <c r="HT37" s="449"/>
      <c r="HU37" s="449"/>
      <c r="HV37" s="449"/>
      <c r="HW37" s="449"/>
      <c r="HX37" s="449"/>
      <c r="HY37" s="449"/>
      <c r="HZ37" s="449"/>
      <c r="IA37" s="449"/>
      <c r="IB37" s="449"/>
      <c r="IC37" s="449"/>
      <c r="ID37" s="449"/>
      <c r="IE37" s="449"/>
      <c r="IF37" s="449"/>
      <c r="IG37" s="449"/>
      <c r="IH37" s="449"/>
      <c r="II37" s="449"/>
      <c r="IJ37" s="449"/>
      <c r="IK37" s="449"/>
      <c r="IL37" s="449"/>
      <c r="IM37" s="449"/>
      <c r="IN37" s="449"/>
      <c r="IO37" s="449"/>
      <c r="IP37" s="449"/>
      <c r="IQ37" s="449"/>
      <c r="IR37" s="449"/>
      <c r="IS37" s="449"/>
      <c r="IT37" s="449"/>
      <c r="IU37" s="449"/>
      <c r="IV37" s="449"/>
    </row>
    <row r="38" spans="1:256" ht="16.5" customHeight="1">
      <c r="A38" s="449" t="s">
        <v>379</v>
      </c>
      <c r="B38" s="449"/>
      <c r="C38" s="449"/>
      <c r="D38" s="1679">
        <v>1052.0729999999999</v>
      </c>
      <c r="E38" s="1676"/>
      <c r="F38" s="1679">
        <v>803.84299999999996</v>
      </c>
      <c r="G38" s="1676"/>
      <c r="H38" s="1679">
        <v>785.46100000000001</v>
      </c>
      <c r="I38" s="1676"/>
      <c r="J38" s="1679">
        <v>0</v>
      </c>
      <c r="K38" s="1677"/>
      <c r="L38" s="1680">
        <f t="shared" si="0"/>
        <v>1070.4549999999999</v>
      </c>
      <c r="M38" s="456"/>
      <c r="N38" s="449"/>
      <c r="O38" s="455"/>
      <c r="P38" s="449"/>
      <c r="Q38" s="449"/>
      <c r="R38" s="449"/>
      <c r="S38" s="449"/>
      <c r="T38" s="449"/>
      <c r="U38" s="449"/>
      <c r="V38" s="449"/>
      <c r="W38" s="449"/>
      <c r="X38" s="449"/>
      <c r="Y38" s="449"/>
      <c r="Z38" s="449"/>
      <c r="AA38" s="449"/>
      <c r="AB38" s="449"/>
      <c r="AC38" s="449"/>
      <c r="AD38" s="449"/>
      <c r="AE38" s="449"/>
      <c r="AF38" s="449"/>
      <c r="AG38" s="449"/>
      <c r="AH38" s="449"/>
      <c r="AI38" s="449"/>
      <c r="AJ38" s="449"/>
      <c r="AK38" s="449"/>
      <c r="AL38" s="449"/>
      <c r="AM38" s="449"/>
      <c r="AN38" s="449"/>
      <c r="AO38" s="449"/>
      <c r="AP38" s="449"/>
      <c r="AQ38" s="449"/>
      <c r="AR38" s="449"/>
      <c r="AS38" s="449"/>
      <c r="AT38" s="449"/>
      <c r="AU38" s="449"/>
      <c r="AV38" s="449"/>
      <c r="AW38" s="449"/>
      <c r="AX38" s="449"/>
      <c r="AY38" s="449"/>
      <c r="AZ38" s="449"/>
      <c r="BA38" s="449"/>
      <c r="BB38" s="449"/>
      <c r="BC38" s="449"/>
      <c r="BD38" s="449"/>
      <c r="BE38" s="449"/>
      <c r="BF38" s="449"/>
      <c r="BG38" s="449"/>
      <c r="BH38" s="449"/>
      <c r="BI38" s="449"/>
      <c r="BJ38" s="449"/>
      <c r="BK38" s="449"/>
      <c r="BL38" s="449"/>
      <c r="BM38" s="449"/>
      <c r="BN38" s="449"/>
      <c r="BO38" s="449"/>
      <c r="BP38" s="449"/>
      <c r="BQ38" s="449"/>
      <c r="BR38" s="449"/>
      <c r="BS38" s="449"/>
      <c r="BT38" s="449"/>
      <c r="BU38" s="449"/>
      <c r="BV38" s="449"/>
      <c r="BW38" s="449"/>
      <c r="BX38" s="449"/>
      <c r="BY38" s="449"/>
      <c r="BZ38" s="449"/>
      <c r="CA38" s="449"/>
      <c r="CB38" s="449"/>
      <c r="CC38" s="449"/>
      <c r="CD38" s="449"/>
      <c r="CE38" s="449"/>
      <c r="CF38" s="449"/>
      <c r="CG38" s="449"/>
      <c r="CH38" s="449"/>
      <c r="CI38" s="449"/>
      <c r="CJ38" s="449"/>
      <c r="CK38" s="449"/>
      <c r="CL38" s="449"/>
      <c r="CM38" s="449"/>
      <c r="CN38" s="449"/>
      <c r="CO38" s="449"/>
      <c r="CP38" s="449"/>
      <c r="CQ38" s="449"/>
      <c r="CR38" s="449"/>
      <c r="CS38" s="449"/>
      <c r="CT38" s="449"/>
      <c r="CU38" s="449"/>
      <c r="CV38" s="449"/>
      <c r="CW38" s="449"/>
      <c r="CX38" s="449"/>
      <c r="CY38" s="449"/>
      <c r="CZ38" s="449"/>
      <c r="DA38" s="449"/>
      <c r="DB38" s="449"/>
      <c r="DC38" s="449"/>
      <c r="DD38" s="449"/>
      <c r="DE38" s="449"/>
      <c r="DF38" s="449"/>
      <c r="DG38" s="449"/>
      <c r="DH38" s="449"/>
      <c r="DI38" s="449"/>
      <c r="DJ38" s="449"/>
      <c r="DK38" s="449"/>
      <c r="DL38" s="449"/>
      <c r="DM38" s="449"/>
      <c r="DN38" s="449"/>
      <c r="DO38" s="449"/>
      <c r="DP38" s="449"/>
      <c r="DQ38" s="449"/>
      <c r="DR38" s="449"/>
      <c r="DS38" s="449"/>
      <c r="DT38" s="449"/>
      <c r="DU38" s="449"/>
      <c r="DV38" s="449"/>
      <c r="DW38" s="449"/>
      <c r="DX38" s="449"/>
      <c r="DY38" s="449"/>
      <c r="DZ38" s="449"/>
      <c r="EA38" s="449"/>
      <c r="EB38" s="449"/>
      <c r="EC38" s="449"/>
      <c r="ED38" s="449"/>
      <c r="EE38" s="449"/>
      <c r="EF38" s="449"/>
      <c r="EG38" s="449"/>
      <c r="EH38" s="449"/>
      <c r="EI38" s="449"/>
      <c r="EJ38" s="449"/>
      <c r="EK38" s="449"/>
      <c r="EL38" s="449"/>
      <c r="EM38" s="449"/>
      <c r="EN38" s="449"/>
      <c r="EO38" s="449"/>
      <c r="EP38" s="449"/>
      <c r="EQ38" s="449"/>
      <c r="ER38" s="449"/>
      <c r="ES38" s="449"/>
      <c r="ET38" s="449"/>
      <c r="EU38" s="449"/>
      <c r="EV38" s="449"/>
      <c r="EW38" s="449"/>
      <c r="EX38" s="449"/>
      <c r="EY38" s="449"/>
      <c r="EZ38" s="449"/>
      <c r="FA38" s="449"/>
      <c r="FB38" s="449"/>
      <c r="FC38" s="449"/>
      <c r="FD38" s="449"/>
      <c r="FE38" s="449"/>
      <c r="FF38" s="449"/>
      <c r="FG38" s="449"/>
      <c r="FH38" s="449"/>
      <c r="FI38" s="449"/>
      <c r="FJ38" s="449"/>
      <c r="FK38" s="449"/>
      <c r="FL38" s="449"/>
      <c r="FM38" s="449"/>
      <c r="FN38" s="449"/>
      <c r="FO38" s="449"/>
      <c r="FP38" s="449"/>
      <c r="FQ38" s="449"/>
      <c r="FR38" s="449"/>
      <c r="FS38" s="449"/>
      <c r="FT38" s="449"/>
      <c r="FU38" s="449"/>
      <c r="FV38" s="449"/>
      <c r="FW38" s="449"/>
      <c r="FX38" s="449"/>
      <c r="FY38" s="449"/>
      <c r="FZ38" s="449"/>
      <c r="GA38" s="449"/>
      <c r="GB38" s="449"/>
      <c r="GC38" s="449"/>
      <c r="GD38" s="449"/>
      <c r="GE38" s="449"/>
      <c r="GF38" s="449"/>
      <c r="GG38" s="449"/>
      <c r="GH38" s="449"/>
      <c r="GI38" s="449"/>
      <c r="GJ38" s="449"/>
      <c r="GK38" s="449"/>
      <c r="GL38" s="449"/>
      <c r="GM38" s="449"/>
      <c r="GN38" s="449"/>
      <c r="GO38" s="449"/>
      <c r="GP38" s="449"/>
      <c r="GQ38" s="449"/>
      <c r="GR38" s="449"/>
      <c r="GS38" s="449"/>
      <c r="GT38" s="449"/>
      <c r="GU38" s="449"/>
      <c r="GV38" s="449"/>
      <c r="GW38" s="449"/>
      <c r="GX38" s="449"/>
      <c r="GY38" s="449"/>
      <c r="GZ38" s="449"/>
      <c r="HA38" s="449"/>
      <c r="HB38" s="449"/>
      <c r="HC38" s="449"/>
      <c r="HD38" s="449"/>
      <c r="HE38" s="449"/>
      <c r="HF38" s="449"/>
      <c r="HG38" s="449"/>
      <c r="HH38" s="449"/>
      <c r="HI38" s="449"/>
      <c r="HJ38" s="449"/>
      <c r="HK38" s="449"/>
      <c r="HL38" s="449"/>
      <c r="HM38" s="449"/>
      <c r="HN38" s="449"/>
      <c r="HO38" s="449"/>
      <c r="HP38" s="449"/>
      <c r="HQ38" s="449"/>
      <c r="HR38" s="449"/>
      <c r="HS38" s="449"/>
      <c r="HT38" s="449"/>
      <c r="HU38" s="449"/>
      <c r="HV38" s="449"/>
      <c r="HW38" s="449"/>
      <c r="HX38" s="449"/>
      <c r="HY38" s="449"/>
      <c r="HZ38" s="449"/>
      <c r="IA38" s="449"/>
      <c r="IB38" s="449"/>
      <c r="IC38" s="449"/>
      <c r="ID38" s="449"/>
      <c r="IE38" s="449"/>
      <c r="IF38" s="449"/>
      <c r="IG38" s="449"/>
      <c r="IH38" s="449"/>
      <c r="II38" s="449"/>
      <c r="IJ38" s="449"/>
      <c r="IK38" s="449"/>
      <c r="IL38" s="449"/>
      <c r="IM38" s="449"/>
      <c r="IN38" s="449"/>
      <c r="IO38" s="449"/>
      <c r="IP38" s="449"/>
      <c r="IQ38" s="449"/>
      <c r="IR38" s="449"/>
      <c r="IS38" s="449"/>
      <c r="IT38" s="449"/>
      <c r="IU38" s="449"/>
      <c r="IV38" s="449"/>
    </row>
    <row r="39" spans="1:256" ht="16.5" customHeight="1">
      <c r="A39" s="449" t="s">
        <v>926</v>
      </c>
      <c r="B39" s="449"/>
      <c r="C39" s="449"/>
      <c r="D39" s="1679">
        <v>28.405999999999999</v>
      </c>
      <c r="E39" s="1676"/>
      <c r="F39" s="1679">
        <v>7.3789999999999996</v>
      </c>
      <c r="G39" s="1676"/>
      <c r="H39" s="1679">
        <v>7.3810000000000002</v>
      </c>
      <c r="I39" s="1676"/>
      <c r="J39" s="1679">
        <v>0</v>
      </c>
      <c r="K39" s="1677"/>
      <c r="L39" s="1680">
        <f t="shared" si="0"/>
        <v>28.404</v>
      </c>
      <c r="M39" s="456"/>
      <c r="N39" s="449"/>
      <c r="O39" s="455"/>
      <c r="P39" s="449"/>
      <c r="Q39" s="449"/>
      <c r="R39" s="449"/>
      <c r="S39" s="449"/>
      <c r="T39" s="449"/>
      <c r="U39" s="449"/>
      <c r="V39" s="449"/>
      <c r="W39" s="449"/>
      <c r="X39" s="449"/>
      <c r="Y39" s="449"/>
      <c r="Z39" s="449"/>
      <c r="AA39" s="449"/>
      <c r="AB39" s="449"/>
      <c r="AC39" s="449"/>
      <c r="AD39" s="449"/>
      <c r="AE39" s="449"/>
      <c r="AF39" s="449"/>
      <c r="AG39" s="449"/>
      <c r="AH39" s="449"/>
      <c r="AI39" s="449"/>
      <c r="AJ39" s="449"/>
      <c r="AK39" s="449"/>
      <c r="AL39" s="449"/>
      <c r="AM39" s="449"/>
      <c r="AN39" s="449"/>
      <c r="AO39" s="449"/>
      <c r="AP39" s="449"/>
      <c r="AQ39" s="449"/>
      <c r="AR39" s="449"/>
      <c r="AS39" s="449"/>
      <c r="AT39" s="449"/>
      <c r="AU39" s="449"/>
      <c r="AV39" s="449"/>
      <c r="AW39" s="449"/>
      <c r="AX39" s="449"/>
      <c r="AY39" s="449"/>
      <c r="AZ39" s="449"/>
      <c r="BA39" s="449"/>
      <c r="BB39" s="449"/>
      <c r="BC39" s="449"/>
      <c r="BD39" s="449"/>
      <c r="BE39" s="449"/>
      <c r="BF39" s="449"/>
      <c r="BG39" s="449"/>
      <c r="BH39" s="449"/>
      <c r="BI39" s="449"/>
      <c r="BJ39" s="449"/>
      <c r="BK39" s="449"/>
      <c r="BL39" s="449"/>
      <c r="BM39" s="449"/>
      <c r="BN39" s="449"/>
      <c r="BO39" s="449"/>
      <c r="BP39" s="449"/>
      <c r="BQ39" s="449"/>
      <c r="BR39" s="449"/>
      <c r="BS39" s="449"/>
      <c r="BT39" s="449"/>
      <c r="BU39" s="449"/>
      <c r="BV39" s="449"/>
      <c r="BW39" s="449"/>
      <c r="BX39" s="449"/>
      <c r="BY39" s="449"/>
      <c r="BZ39" s="449"/>
      <c r="CA39" s="449"/>
      <c r="CB39" s="449"/>
      <c r="CC39" s="449"/>
      <c r="CD39" s="449"/>
      <c r="CE39" s="449"/>
      <c r="CF39" s="449"/>
      <c r="CG39" s="449"/>
      <c r="CH39" s="449"/>
      <c r="CI39" s="449"/>
      <c r="CJ39" s="449"/>
      <c r="CK39" s="449"/>
      <c r="CL39" s="449"/>
      <c r="CM39" s="449"/>
      <c r="CN39" s="449"/>
      <c r="CO39" s="449"/>
      <c r="CP39" s="449"/>
      <c r="CQ39" s="449"/>
      <c r="CR39" s="449"/>
      <c r="CS39" s="449"/>
      <c r="CT39" s="449"/>
      <c r="CU39" s="449"/>
      <c r="CV39" s="449"/>
      <c r="CW39" s="449"/>
      <c r="CX39" s="449"/>
      <c r="CY39" s="449"/>
      <c r="CZ39" s="449"/>
      <c r="DA39" s="449"/>
      <c r="DB39" s="449"/>
      <c r="DC39" s="449"/>
      <c r="DD39" s="449"/>
      <c r="DE39" s="449"/>
      <c r="DF39" s="449"/>
      <c r="DG39" s="449"/>
      <c r="DH39" s="449"/>
      <c r="DI39" s="449"/>
      <c r="DJ39" s="449"/>
      <c r="DK39" s="449"/>
      <c r="DL39" s="449"/>
      <c r="DM39" s="449"/>
      <c r="DN39" s="449"/>
      <c r="DO39" s="449"/>
      <c r="DP39" s="449"/>
      <c r="DQ39" s="449"/>
      <c r="DR39" s="449"/>
      <c r="DS39" s="449"/>
      <c r="DT39" s="449"/>
      <c r="DU39" s="449"/>
      <c r="DV39" s="449"/>
      <c r="DW39" s="449"/>
      <c r="DX39" s="449"/>
      <c r="DY39" s="449"/>
      <c r="DZ39" s="449"/>
      <c r="EA39" s="449"/>
      <c r="EB39" s="449"/>
      <c r="EC39" s="449"/>
      <c r="ED39" s="449"/>
      <c r="EE39" s="449"/>
      <c r="EF39" s="449"/>
      <c r="EG39" s="449"/>
      <c r="EH39" s="449"/>
      <c r="EI39" s="449"/>
      <c r="EJ39" s="449"/>
      <c r="EK39" s="449"/>
      <c r="EL39" s="449"/>
      <c r="EM39" s="449"/>
      <c r="EN39" s="449"/>
      <c r="EO39" s="449"/>
      <c r="EP39" s="449"/>
      <c r="EQ39" s="449"/>
      <c r="ER39" s="449"/>
      <c r="ES39" s="449"/>
      <c r="ET39" s="449"/>
      <c r="EU39" s="449"/>
      <c r="EV39" s="449"/>
      <c r="EW39" s="449"/>
      <c r="EX39" s="449"/>
      <c r="EY39" s="449"/>
      <c r="EZ39" s="449"/>
      <c r="FA39" s="449"/>
      <c r="FB39" s="449"/>
      <c r="FC39" s="449"/>
      <c r="FD39" s="449"/>
      <c r="FE39" s="449"/>
      <c r="FF39" s="449"/>
      <c r="FG39" s="449"/>
      <c r="FH39" s="449"/>
      <c r="FI39" s="449"/>
      <c r="FJ39" s="449"/>
      <c r="FK39" s="449"/>
      <c r="FL39" s="449"/>
      <c r="FM39" s="449"/>
      <c r="FN39" s="449"/>
      <c r="FO39" s="449"/>
      <c r="FP39" s="449"/>
      <c r="FQ39" s="449"/>
      <c r="FR39" s="449"/>
      <c r="FS39" s="449"/>
      <c r="FT39" s="449"/>
      <c r="FU39" s="449"/>
      <c r="FV39" s="449"/>
      <c r="FW39" s="449"/>
      <c r="FX39" s="449"/>
      <c r="FY39" s="449"/>
      <c r="FZ39" s="449"/>
      <c r="GA39" s="449"/>
      <c r="GB39" s="449"/>
      <c r="GC39" s="449"/>
      <c r="GD39" s="449"/>
      <c r="GE39" s="449"/>
      <c r="GF39" s="449"/>
      <c r="GG39" s="449"/>
      <c r="GH39" s="449"/>
      <c r="GI39" s="449"/>
      <c r="GJ39" s="449"/>
      <c r="GK39" s="449"/>
      <c r="GL39" s="449"/>
      <c r="GM39" s="449"/>
      <c r="GN39" s="449"/>
      <c r="GO39" s="449"/>
      <c r="GP39" s="449"/>
      <c r="GQ39" s="449"/>
      <c r="GR39" s="449"/>
      <c r="GS39" s="449"/>
      <c r="GT39" s="449"/>
      <c r="GU39" s="449"/>
      <c r="GV39" s="449"/>
      <c r="GW39" s="449"/>
      <c r="GX39" s="449"/>
      <c r="GY39" s="449"/>
      <c r="GZ39" s="449"/>
      <c r="HA39" s="449"/>
      <c r="HB39" s="449"/>
      <c r="HC39" s="449"/>
      <c r="HD39" s="449"/>
      <c r="HE39" s="449"/>
      <c r="HF39" s="449"/>
      <c r="HG39" s="449"/>
      <c r="HH39" s="449"/>
      <c r="HI39" s="449"/>
      <c r="HJ39" s="449"/>
      <c r="HK39" s="449"/>
      <c r="HL39" s="449"/>
      <c r="HM39" s="449"/>
      <c r="HN39" s="449"/>
      <c r="HO39" s="449"/>
      <c r="HP39" s="449"/>
      <c r="HQ39" s="449"/>
      <c r="HR39" s="449"/>
      <c r="HS39" s="449"/>
      <c r="HT39" s="449"/>
      <c r="HU39" s="449"/>
      <c r="HV39" s="449"/>
      <c r="HW39" s="449"/>
      <c r="HX39" s="449"/>
      <c r="HY39" s="449"/>
      <c r="HZ39" s="449"/>
      <c r="IA39" s="449"/>
      <c r="IB39" s="449"/>
      <c r="IC39" s="449"/>
      <c r="ID39" s="449"/>
      <c r="IE39" s="449"/>
      <c r="IF39" s="449"/>
      <c r="IG39" s="449"/>
      <c r="IH39" s="449"/>
      <c r="II39" s="449"/>
      <c r="IJ39" s="449"/>
      <c r="IK39" s="449"/>
      <c r="IL39" s="449"/>
      <c r="IM39" s="449"/>
      <c r="IN39" s="449"/>
      <c r="IO39" s="449"/>
      <c r="IP39" s="449"/>
      <c r="IQ39" s="449"/>
      <c r="IR39" s="449"/>
      <c r="IS39" s="449"/>
      <c r="IT39" s="449"/>
      <c r="IU39" s="449"/>
      <c r="IV39" s="449"/>
    </row>
    <row r="40" spans="1:256" ht="16.5" customHeight="1">
      <c r="A40" s="449" t="s">
        <v>927</v>
      </c>
      <c r="B40" s="449"/>
      <c r="C40" s="449"/>
      <c r="D40" s="1679">
        <v>95.465999999999994</v>
      </c>
      <c r="E40" s="1676"/>
      <c r="F40" s="1679">
        <v>7522.6329999999998</v>
      </c>
      <c r="G40" s="1676"/>
      <c r="H40" s="1679">
        <v>7021.04</v>
      </c>
      <c r="I40" s="1676"/>
      <c r="J40" s="1679">
        <v>0</v>
      </c>
      <c r="K40" s="3009"/>
      <c r="L40" s="1680">
        <f t="shared" si="0"/>
        <v>597.05899999999997</v>
      </c>
      <c r="M40" s="456"/>
      <c r="N40" s="449"/>
      <c r="O40" s="455"/>
      <c r="P40" s="449"/>
      <c r="Q40" s="449"/>
      <c r="R40" s="449"/>
      <c r="S40" s="449"/>
      <c r="T40" s="449"/>
      <c r="U40" s="449"/>
      <c r="V40" s="449"/>
      <c r="W40" s="449"/>
      <c r="X40" s="449"/>
      <c r="Y40" s="449"/>
      <c r="Z40" s="449"/>
      <c r="AA40" s="449"/>
      <c r="AB40" s="449"/>
      <c r="AC40" s="449"/>
      <c r="AD40" s="449"/>
      <c r="AE40" s="449"/>
      <c r="AF40" s="449"/>
      <c r="AG40" s="449"/>
      <c r="AH40" s="449"/>
      <c r="AI40" s="449"/>
      <c r="AJ40" s="449"/>
      <c r="AK40" s="449"/>
      <c r="AL40" s="449"/>
      <c r="AM40" s="449"/>
      <c r="AN40" s="449"/>
      <c r="AO40" s="449"/>
      <c r="AP40" s="449"/>
      <c r="AQ40" s="449"/>
      <c r="AR40" s="449"/>
      <c r="AS40" s="449"/>
      <c r="AT40" s="449"/>
      <c r="AU40" s="449"/>
      <c r="AV40" s="449"/>
      <c r="AW40" s="449"/>
      <c r="AX40" s="449"/>
      <c r="AY40" s="449"/>
      <c r="AZ40" s="449"/>
      <c r="BA40" s="449"/>
      <c r="BB40" s="449"/>
      <c r="BC40" s="449"/>
      <c r="BD40" s="449"/>
      <c r="BE40" s="449"/>
      <c r="BF40" s="449"/>
      <c r="BG40" s="449"/>
      <c r="BH40" s="449"/>
      <c r="BI40" s="449"/>
      <c r="BJ40" s="449"/>
      <c r="BK40" s="449"/>
      <c r="BL40" s="449"/>
      <c r="BM40" s="449"/>
      <c r="BN40" s="449"/>
      <c r="BO40" s="449"/>
      <c r="BP40" s="449"/>
      <c r="BQ40" s="449"/>
      <c r="BR40" s="449"/>
      <c r="BS40" s="449"/>
      <c r="BT40" s="449"/>
      <c r="BU40" s="449"/>
      <c r="BV40" s="449"/>
      <c r="BW40" s="449"/>
      <c r="BX40" s="449"/>
      <c r="BY40" s="449"/>
      <c r="BZ40" s="449"/>
      <c r="CA40" s="449"/>
      <c r="CB40" s="449"/>
      <c r="CC40" s="449"/>
      <c r="CD40" s="449"/>
      <c r="CE40" s="449"/>
      <c r="CF40" s="449"/>
      <c r="CG40" s="449"/>
      <c r="CH40" s="449"/>
      <c r="CI40" s="449"/>
      <c r="CJ40" s="449"/>
      <c r="CK40" s="449"/>
      <c r="CL40" s="449"/>
      <c r="CM40" s="449"/>
      <c r="CN40" s="449"/>
      <c r="CO40" s="449"/>
      <c r="CP40" s="449"/>
      <c r="CQ40" s="449"/>
      <c r="CR40" s="449"/>
      <c r="CS40" s="449"/>
      <c r="CT40" s="449"/>
      <c r="CU40" s="449"/>
      <c r="CV40" s="449"/>
      <c r="CW40" s="449"/>
      <c r="CX40" s="449"/>
      <c r="CY40" s="449"/>
      <c r="CZ40" s="449"/>
      <c r="DA40" s="449"/>
      <c r="DB40" s="449"/>
      <c r="DC40" s="449"/>
      <c r="DD40" s="449"/>
      <c r="DE40" s="449"/>
      <c r="DF40" s="449"/>
      <c r="DG40" s="449"/>
      <c r="DH40" s="449"/>
      <c r="DI40" s="449"/>
      <c r="DJ40" s="449"/>
      <c r="DK40" s="449"/>
      <c r="DL40" s="449"/>
      <c r="DM40" s="449"/>
      <c r="DN40" s="449"/>
      <c r="DO40" s="449"/>
      <c r="DP40" s="449"/>
      <c r="DQ40" s="449"/>
      <c r="DR40" s="449"/>
      <c r="DS40" s="449"/>
      <c r="DT40" s="449"/>
      <c r="DU40" s="449"/>
      <c r="DV40" s="449"/>
      <c r="DW40" s="449"/>
      <c r="DX40" s="449"/>
      <c r="DY40" s="449"/>
      <c r="DZ40" s="449"/>
      <c r="EA40" s="449"/>
      <c r="EB40" s="449"/>
      <c r="EC40" s="449"/>
      <c r="ED40" s="449"/>
      <c r="EE40" s="449"/>
      <c r="EF40" s="449"/>
      <c r="EG40" s="449"/>
      <c r="EH40" s="449"/>
      <c r="EI40" s="449"/>
      <c r="EJ40" s="449"/>
      <c r="EK40" s="449"/>
      <c r="EL40" s="449"/>
      <c r="EM40" s="449"/>
      <c r="EN40" s="449"/>
      <c r="EO40" s="449"/>
      <c r="EP40" s="449"/>
      <c r="EQ40" s="449"/>
      <c r="ER40" s="449"/>
      <c r="ES40" s="449"/>
      <c r="ET40" s="449"/>
      <c r="EU40" s="449"/>
      <c r="EV40" s="449"/>
      <c r="EW40" s="449"/>
      <c r="EX40" s="449"/>
      <c r="EY40" s="449"/>
      <c r="EZ40" s="449"/>
      <c r="FA40" s="449"/>
      <c r="FB40" s="449"/>
      <c r="FC40" s="449"/>
      <c r="FD40" s="449"/>
      <c r="FE40" s="449"/>
      <c r="FF40" s="449"/>
      <c r="FG40" s="449"/>
      <c r="FH40" s="449"/>
      <c r="FI40" s="449"/>
      <c r="FJ40" s="449"/>
      <c r="FK40" s="449"/>
      <c r="FL40" s="449"/>
      <c r="FM40" s="449"/>
      <c r="FN40" s="449"/>
      <c r="FO40" s="449"/>
      <c r="FP40" s="449"/>
      <c r="FQ40" s="449"/>
      <c r="FR40" s="449"/>
      <c r="FS40" s="449"/>
      <c r="FT40" s="449"/>
      <c r="FU40" s="449"/>
      <c r="FV40" s="449"/>
      <c r="FW40" s="449"/>
      <c r="FX40" s="449"/>
      <c r="FY40" s="449"/>
      <c r="FZ40" s="449"/>
      <c r="GA40" s="449"/>
      <c r="GB40" s="449"/>
      <c r="GC40" s="449"/>
      <c r="GD40" s="449"/>
      <c r="GE40" s="449"/>
      <c r="GF40" s="449"/>
      <c r="GG40" s="449"/>
      <c r="GH40" s="449"/>
      <c r="GI40" s="449"/>
      <c r="GJ40" s="449"/>
      <c r="GK40" s="449"/>
      <c r="GL40" s="449"/>
      <c r="GM40" s="449"/>
      <c r="GN40" s="449"/>
      <c r="GO40" s="449"/>
      <c r="GP40" s="449"/>
      <c r="GQ40" s="449"/>
      <c r="GR40" s="449"/>
      <c r="GS40" s="449"/>
      <c r="GT40" s="449"/>
      <c r="GU40" s="449"/>
      <c r="GV40" s="449"/>
      <c r="GW40" s="449"/>
      <c r="GX40" s="449"/>
      <c r="GY40" s="449"/>
      <c r="GZ40" s="449"/>
      <c r="HA40" s="449"/>
      <c r="HB40" s="449"/>
      <c r="HC40" s="449"/>
      <c r="HD40" s="449"/>
      <c r="HE40" s="449"/>
      <c r="HF40" s="449"/>
      <c r="HG40" s="449"/>
      <c r="HH40" s="449"/>
      <c r="HI40" s="449"/>
      <c r="HJ40" s="449"/>
      <c r="HK40" s="449"/>
      <c r="HL40" s="449"/>
      <c r="HM40" s="449"/>
      <c r="HN40" s="449"/>
      <c r="HO40" s="449"/>
      <c r="HP40" s="449"/>
      <c r="HQ40" s="449"/>
      <c r="HR40" s="449"/>
      <c r="HS40" s="449"/>
      <c r="HT40" s="449"/>
      <c r="HU40" s="449"/>
      <c r="HV40" s="449"/>
      <c r="HW40" s="449"/>
      <c r="HX40" s="449"/>
      <c r="HY40" s="449"/>
      <c r="HZ40" s="449"/>
      <c r="IA40" s="449"/>
      <c r="IB40" s="449"/>
      <c r="IC40" s="449"/>
      <c r="ID40" s="449"/>
      <c r="IE40" s="449"/>
      <c r="IF40" s="449"/>
      <c r="IG40" s="449"/>
      <c r="IH40" s="449"/>
      <c r="II40" s="449"/>
      <c r="IJ40" s="449"/>
      <c r="IK40" s="449"/>
      <c r="IL40" s="449"/>
      <c r="IM40" s="449"/>
      <c r="IN40" s="449"/>
      <c r="IO40" s="449"/>
      <c r="IP40" s="449"/>
      <c r="IQ40" s="449"/>
      <c r="IR40" s="449"/>
      <c r="IS40" s="449"/>
      <c r="IT40" s="449"/>
      <c r="IU40" s="449"/>
      <c r="IV40" s="449"/>
    </row>
    <row r="41" spans="1:256" ht="15.75" customHeight="1">
      <c r="A41" s="449" t="s">
        <v>381</v>
      </c>
      <c r="B41" s="449"/>
      <c r="C41" s="449"/>
      <c r="D41" s="1679">
        <v>0</v>
      </c>
      <c r="E41" s="1676"/>
      <c r="F41" s="1679">
        <v>0</v>
      </c>
      <c r="G41" s="1676"/>
      <c r="H41" s="1679">
        <v>0</v>
      </c>
      <c r="I41" s="1676"/>
      <c r="J41" s="1679">
        <v>0</v>
      </c>
      <c r="K41" s="1677"/>
      <c r="L41" s="1680">
        <f t="shared" si="0"/>
        <v>0</v>
      </c>
      <c r="M41" s="456"/>
      <c r="N41" s="449"/>
      <c r="O41" s="455"/>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c r="AV41" s="449"/>
      <c r="AW41" s="449"/>
      <c r="AX41" s="449"/>
      <c r="AY41" s="449"/>
      <c r="AZ41" s="449"/>
      <c r="BA41" s="449"/>
      <c r="BB41" s="449"/>
      <c r="BC41" s="449"/>
      <c r="BD41" s="449"/>
      <c r="BE41" s="449"/>
      <c r="BF41" s="449"/>
      <c r="BG41" s="449"/>
      <c r="BH41" s="449"/>
      <c r="BI41" s="449"/>
      <c r="BJ41" s="449"/>
      <c r="BK41" s="449"/>
      <c r="BL41" s="449"/>
      <c r="BM41" s="449"/>
      <c r="BN41" s="449"/>
      <c r="BO41" s="449"/>
      <c r="BP41" s="449"/>
      <c r="BQ41" s="449"/>
      <c r="BR41" s="449"/>
      <c r="BS41" s="449"/>
      <c r="BT41" s="449"/>
      <c r="BU41" s="449"/>
      <c r="BV41" s="449"/>
      <c r="BW41" s="449"/>
      <c r="BX41" s="449"/>
      <c r="BY41" s="449"/>
      <c r="BZ41" s="449"/>
      <c r="CA41" s="449"/>
      <c r="CB41" s="449"/>
      <c r="CC41" s="449"/>
      <c r="CD41" s="449"/>
      <c r="CE41" s="449"/>
      <c r="CF41" s="449"/>
      <c r="CG41" s="449"/>
      <c r="CH41" s="449"/>
      <c r="CI41" s="449"/>
      <c r="CJ41" s="449"/>
      <c r="CK41" s="449"/>
      <c r="CL41" s="449"/>
      <c r="CM41" s="449"/>
      <c r="CN41" s="449"/>
      <c r="CO41" s="449"/>
      <c r="CP41" s="449"/>
      <c r="CQ41" s="449"/>
      <c r="CR41" s="449"/>
      <c r="CS41" s="449"/>
      <c r="CT41" s="449"/>
      <c r="CU41" s="449"/>
      <c r="CV41" s="449"/>
      <c r="CW41" s="449"/>
      <c r="CX41" s="449"/>
      <c r="CY41" s="449"/>
      <c r="CZ41" s="449"/>
      <c r="DA41" s="449"/>
      <c r="DB41" s="449"/>
      <c r="DC41" s="449"/>
      <c r="DD41" s="449"/>
      <c r="DE41" s="449"/>
      <c r="DF41" s="449"/>
      <c r="DG41" s="449"/>
      <c r="DH41" s="449"/>
      <c r="DI41" s="449"/>
      <c r="DJ41" s="449"/>
      <c r="DK41" s="449"/>
      <c r="DL41" s="449"/>
      <c r="DM41" s="449"/>
      <c r="DN41" s="449"/>
      <c r="DO41" s="449"/>
      <c r="DP41" s="449"/>
      <c r="DQ41" s="449"/>
      <c r="DR41" s="449"/>
      <c r="DS41" s="449"/>
      <c r="DT41" s="449"/>
      <c r="DU41" s="449"/>
      <c r="DV41" s="449"/>
      <c r="DW41" s="449"/>
      <c r="DX41" s="449"/>
      <c r="DY41" s="449"/>
      <c r="DZ41" s="449"/>
      <c r="EA41" s="449"/>
      <c r="EB41" s="449"/>
      <c r="EC41" s="449"/>
      <c r="ED41" s="449"/>
      <c r="EE41" s="449"/>
      <c r="EF41" s="449"/>
      <c r="EG41" s="449"/>
      <c r="EH41" s="449"/>
      <c r="EI41" s="449"/>
      <c r="EJ41" s="449"/>
      <c r="EK41" s="449"/>
      <c r="EL41" s="449"/>
      <c r="EM41" s="449"/>
      <c r="EN41" s="449"/>
      <c r="EO41" s="449"/>
      <c r="EP41" s="449"/>
      <c r="EQ41" s="449"/>
      <c r="ER41" s="449"/>
      <c r="ES41" s="449"/>
      <c r="ET41" s="449"/>
      <c r="EU41" s="449"/>
      <c r="EV41" s="449"/>
      <c r="EW41" s="449"/>
      <c r="EX41" s="449"/>
      <c r="EY41" s="449"/>
      <c r="EZ41" s="449"/>
      <c r="FA41" s="449"/>
      <c r="FB41" s="449"/>
      <c r="FC41" s="449"/>
      <c r="FD41" s="449"/>
      <c r="FE41" s="449"/>
      <c r="FF41" s="449"/>
      <c r="FG41" s="449"/>
      <c r="FH41" s="449"/>
      <c r="FI41" s="449"/>
      <c r="FJ41" s="449"/>
      <c r="FK41" s="449"/>
      <c r="FL41" s="449"/>
      <c r="FM41" s="449"/>
      <c r="FN41" s="449"/>
      <c r="FO41" s="449"/>
      <c r="FP41" s="449"/>
      <c r="FQ41" s="449"/>
      <c r="FR41" s="449"/>
      <c r="FS41" s="449"/>
      <c r="FT41" s="449"/>
      <c r="FU41" s="449"/>
      <c r="FV41" s="449"/>
      <c r="FW41" s="449"/>
      <c r="FX41" s="449"/>
      <c r="FY41" s="449"/>
      <c r="FZ41" s="449"/>
      <c r="GA41" s="449"/>
      <c r="GB41" s="449"/>
      <c r="GC41" s="449"/>
      <c r="GD41" s="449"/>
      <c r="GE41" s="449"/>
      <c r="GF41" s="449"/>
      <c r="GG41" s="449"/>
      <c r="GH41" s="449"/>
      <c r="GI41" s="449"/>
      <c r="GJ41" s="449"/>
      <c r="GK41" s="449"/>
      <c r="GL41" s="449"/>
      <c r="GM41" s="449"/>
      <c r="GN41" s="449"/>
      <c r="GO41" s="449"/>
      <c r="GP41" s="449"/>
      <c r="GQ41" s="449"/>
      <c r="GR41" s="449"/>
      <c r="GS41" s="449"/>
      <c r="GT41" s="449"/>
      <c r="GU41" s="449"/>
      <c r="GV41" s="449"/>
      <c r="GW41" s="449"/>
      <c r="GX41" s="449"/>
      <c r="GY41" s="449"/>
      <c r="GZ41" s="449"/>
      <c r="HA41" s="449"/>
      <c r="HB41" s="449"/>
      <c r="HC41" s="449"/>
      <c r="HD41" s="449"/>
      <c r="HE41" s="449"/>
      <c r="HF41" s="449"/>
      <c r="HG41" s="449"/>
      <c r="HH41" s="449"/>
      <c r="HI41" s="449"/>
      <c r="HJ41" s="449"/>
      <c r="HK41" s="449"/>
      <c r="HL41" s="449"/>
      <c r="HM41" s="449"/>
      <c r="HN41" s="449"/>
      <c r="HO41" s="449"/>
      <c r="HP41" s="449"/>
      <c r="HQ41" s="449"/>
      <c r="HR41" s="449"/>
      <c r="HS41" s="449"/>
      <c r="HT41" s="449"/>
      <c r="HU41" s="449"/>
      <c r="HV41" s="449"/>
      <c r="HW41" s="449"/>
      <c r="HX41" s="449"/>
      <c r="HY41" s="449"/>
      <c r="HZ41" s="449"/>
      <c r="IA41" s="449"/>
      <c r="IB41" s="449"/>
      <c r="IC41" s="449"/>
      <c r="ID41" s="449"/>
      <c r="IE41" s="449"/>
      <c r="IF41" s="449"/>
      <c r="IG41" s="449"/>
      <c r="IH41" s="449"/>
      <c r="II41" s="449"/>
      <c r="IJ41" s="449"/>
      <c r="IK41" s="449"/>
      <c r="IL41" s="449"/>
      <c r="IM41" s="449"/>
      <c r="IN41" s="449"/>
      <c r="IO41" s="449"/>
      <c r="IP41" s="449"/>
      <c r="IQ41" s="449"/>
      <c r="IR41" s="449"/>
      <c r="IS41" s="449"/>
      <c r="IT41" s="449"/>
      <c r="IU41" s="449"/>
      <c r="IV41" s="449"/>
    </row>
    <row r="42" spans="1:256" ht="15.75" customHeight="1">
      <c r="A42" s="449" t="s">
        <v>920</v>
      </c>
      <c r="B42" s="449"/>
      <c r="C42" s="449"/>
      <c r="D42" s="1679">
        <v>402.18299999999999</v>
      </c>
      <c r="E42" s="1676"/>
      <c r="F42" s="1679">
        <v>-172.91300000000001</v>
      </c>
      <c r="G42" s="1676"/>
      <c r="H42" s="1679">
        <v>0</v>
      </c>
      <c r="I42" s="1676"/>
      <c r="J42" s="1679">
        <v>0</v>
      </c>
      <c r="K42" s="1677"/>
      <c r="L42" s="1680">
        <f t="shared" si="0"/>
        <v>229.27</v>
      </c>
      <c r="M42" s="456"/>
      <c r="N42" s="449"/>
      <c r="O42" s="455"/>
      <c r="P42" s="449"/>
      <c r="Q42" s="449"/>
      <c r="R42" s="449"/>
      <c r="S42" s="449"/>
      <c r="T42" s="449"/>
      <c r="U42" s="449"/>
      <c r="V42" s="449"/>
      <c r="W42" s="449"/>
      <c r="X42" s="449"/>
      <c r="Y42" s="449"/>
      <c r="Z42" s="449"/>
      <c r="AA42" s="449"/>
      <c r="AB42" s="449"/>
      <c r="AC42" s="449"/>
      <c r="AD42" s="449"/>
      <c r="AE42" s="449"/>
      <c r="AF42" s="449"/>
      <c r="AG42" s="449"/>
      <c r="AH42" s="449"/>
      <c r="AI42" s="449"/>
      <c r="AJ42" s="449"/>
      <c r="AK42" s="449"/>
      <c r="AL42" s="449"/>
      <c r="AM42" s="449"/>
      <c r="AN42" s="449"/>
      <c r="AO42" s="449"/>
      <c r="AP42" s="449"/>
      <c r="AQ42" s="449"/>
      <c r="AR42" s="449"/>
      <c r="AS42" s="449"/>
      <c r="AT42" s="449"/>
      <c r="AU42" s="449"/>
      <c r="AV42" s="449"/>
      <c r="AW42" s="449"/>
      <c r="AX42" s="449"/>
      <c r="AY42" s="449"/>
      <c r="AZ42" s="449"/>
      <c r="BA42" s="449"/>
      <c r="BB42" s="449"/>
      <c r="BC42" s="449"/>
      <c r="BD42" s="449"/>
      <c r="BE42" s="449"/>
      <c r="BF42" s="449"/>
      <c r="BG42" s="449"/>
      <c r="BH42" s="449"/>
      <c r="BI42" s="449"/>
      <c r="BJ42" s="449"/>
      <c r="BK42" s="449"/>
      <c r="BL42" s="449"/>
      <c r="BM42" s="449"/>
      <c r="BN42" s="449"/>
      <c r="BO42" s="449"/>
      <c r="BP42" s="449"/>
      <c r="BQ42" s="449"/>
      <c r="BR42" s="449"/>
      <c r="BS42" s="449"/>
      <c r="BT42" s="449"/>
      <c r="BU42" s="449"/>
      <c r="BV42" s="449"/>
      <c r="BW42" s="449"/>
      <c r="BX42" s="449"/>
      <c r="BY42" s="449"/>
      <c r="BZ42" s="449"/>
      <c r="CA42" s="449"/>
      <c r="CB42" s="449"/>
      <c r="CC42" s="449"/>
      <c r="CD42" s="449"/>
      <c r="CE42" s="449"/>
      <c r="CF42" s="449"/>
      <c r="CG42" s="449"/>
      <c r="CH42" s="449"/>
      <c r="CI42" s="449"/>
      <c r="CJ42" s="449"/>
      <c r="CK42" s="449"/>
      <c r="CL42" s="449"/>
      <c r="CM42" s="449"/>
      <c r="CN42" s="449"/>
      <c r="CO42" s="449"/>
      <c r="CP42" s="449"/>
      <c r="CQ42" s="449"/>
      <c r="CR42" s="449"/>
      <c r="CS42" s="449"/>
      <c r="CT42" s="449"/>
      <c r="CU42" s="449"/>
      <c r="CV42" s="449"/>
      <c r="CW42" s="449"/>
      <c r="CX42" s="449"/>
      <c r="CY42" s="449"/>
      <c r="CZ42" s="449"/>
      <c r="DA42" s="449"/>
      <c r="DB42" s="449"/>
      <c r="DC42" s="449"/>
      <c r="DD42" s="449"/>
      <c r="DE42" s="449"/>
      <c r="DF42" s="449"/>
      <c r="DG42" s="449"/>
      <c r="DH42" s="449"/>
      <c r="DI42" s="449"/>
      <c r="DJ42" s="449"/>
      <c r="DK42" s="449"/>
      <c r="DL42" s="449"/>
      <c r="DM42" s="449"/>
      <c r="DN42" s="449"/>
      <c r="DO42" s="449"/>
      <c r="DP42" s="449"/>
      <c r="DQ42" s="449"/>
      <c r="DR42" s="449"/>
      <c r="DS42" s="449"/>
      <c r="DT42" s="449"/>
      <c r="DU42" s="449"/>
      <c r="DV42" s="449"/>
      <c r="DW42" s="449"/>
      <c r="DX42" s="449"/>
      <c r="DY42" s="449"/>
      <c r="DZ42" s="449"/>
      <c r="EA42" s="449"/>
      <c r="EB42" s="449"/>
      <c r="EC42" s="449"/>
      <c r="ED42" s="449"/>
      <c r="EE42" s="449"/>
      <c r="EF42" s="449"/>
      <c r="EG42" s="449"/>
      <c r="EH42" s="449"/>
      <c r="EI42" s="449"/>
      <c r="EJ42" s="449"/>
      <c r="EK42" s="449"/>
      <c r="EL42" s="449"/>
      <c r="EM42" s="449"/>
      <c r="EN42" s="449"/>
      <c r="EO42" s="449"/>
      <c r="EP42" s="449"/>
      <c r="EQ42" s="449"/>
      <c r="ER42" s="449"/>
      <c r="ES42" s="449"/>
      <c r="ET42" s="449"/>
      <c r="EU42" s="449"/>
      <c r="EV42" s="449"/>
      <c r="EW42" s="449"/>
      <c r="EX42" s="449"/>
      <c r="EY42" s="449"/>
      <c r="EZ42" s="449"/>
      <c r="FA42" s="449"/>
      <c r="FB42" s="449"/>
      <c r="FC42" s="449"/>
      <c r="FD42" s="449"/>
      <c r="FE42" s="449"/>
      <c r="FF42" s="449"/>
      <c r="FG42" s="449"/>
      <c r="FH42" s="449"/>
      <c r="FI42" s="449"/>
      <c r="FJ42" s="449"/>
      <c r="FK42" s="449"/>
      <c r="FL42" s="449"/>
      <c r="FM42" s="449"/>
      <c r="FN42" s="449"/>
      <c r="FO42" s="449"/>
      <c r="FP42" s="449"/>
      <c r="FQ42" s="449"/>
      <c r="FR42" s="449"/>
      <c r="FS42" s="449"/>
      <c r="FT42" s="449"/>
      <c r="FU42" s="449"/>
      <c r="FV42" s="449"/>
      <c r="FW42" s="449"/>
      <c r="FX42" s="449"/>
      <c r="FY42" s="449"/>
      <c r="FZ42" s="449"/>
      <c r="GA42" s="449"/>
      <c r="GB42" s="449"/>
      <c r="GC42" s="449"/>
      <c r="GD42" s="449"/>
      <c r="GE42" s="449"/>
      <c r="GF42" s="449"/>
      <c r="GG42" s="449"/>
      <c r="GH42" s="449"/>
      <c r="GI42" s="449"/>
      <c r="GJ42" s="449"/>
      <c r="GK42" s="449"/>
      <c r="GL42" s="449"/>
      <c r="GM42" s="449"/>
      <c r="GN42" s="449"/>
      <c r="GO42" s="449"/>
      <c r="GP42" s="449"/>
      <c r="GQ42" s="449"/>
      <c r="GR42" s="449"/>
      <c r="GS42" s="449"/>
      <c r="GT42" s="449"/>
      <c r="GU42" s="449"/>
      <c r="GV42" s="449"/>
      <c r="GW42" s="449"/>
      <c r="GX42" s="449"/>
      <c r="GY42" s="449"/>
      <c r="GZ42" s="449"/>
      <c r="HA42" s="449"/>
      <c r="HB42" s="449"/>
      <c r="HC42" s="449"/>
      <c r="HD42" s="449"/>
      <c r="HE42" s="449"/>
      <c r="HF42" s="449"/>
      <c r="HG42" s="449"/>
      <c r="HH42" s="449"/>
      <c r="HI42" s="449"/>
      <c r="HJ42" s="449"/>
      <c r="HK42" s="449"/>
      <c r="HL42" s="449"/>
      <c r="HM42" s="449"/>
      <c r="HN42" s="449"/>
      <c r="HO42" s="449"/>
      <c r="HP42" s="449"/>
      <c r="HQ42" s="449"/>
      <c r="HR42" s="449"/>
      <c r="HS42" s="449"/>
      <c r="HT42" s="449"/>
      <c r="HU42" s="449"/>
      <c r="HV42" s="449"/>
      <c r="HW42" s="449"/>
      <c r="HX42" s="449"/>
      <c r="HY42" s="449"/>
      <c r="HZ42" s="449"/>
      <c r="IA42" s="449"/>
      <c r="IB42" s="449"/>
      <c r="IC42" s="449"/>
      <c r="ID42" s="449"/>
      <c r="IE42" s="449"/>
      <c r="IF42" s="449"/>
      <c r="IG42" s="449"/>
      <c r="IH42" s="449"/>
      <c r="II42" s="449"/>
      <c r="IJ42" s="449"/>
      <c r="IK42" s="449"/>
      <c r="IL42" s="449"/>
      <c r="IM42" s="449"/>
      <c r="IN42" s="449"/>
      <c r="IO42" s="449"/>
      <c r="IP42" s="449"/>
      <c r="IQ42" s="449"/>
      <c r="IR42" s="449"/>
      <c r="IS42" s="449"/>
      <c r="IT42" s="449"/>
      <c r="IU42" s="449"/>
      <c r="IV42" s="449"/>
    </row>
    <row r="43" spans="1:256" ht="15.75" customHeight="1">
      <c r="A43" s="449" t="s">
        <v>921</v>
      </c>
      <c r="B43" s="449"/>
      <c r="C43" s="449"/>
      <c r="D43" s="1679">
        <v>-18.817</v>
      </c>
      <c r="E43" s="1676"/>
      <c r="F43" s="1679">
        <v>149.33699999999999</v>
      </c>
      <c r="G43" s="1676"/>
      <c r="H43" s="1679">
        <v>140.995</v>
      </c>
      <c r="I43" s="1676"/>
      <c r="J43" s="1679">
        <v>0</v>
      </c>
      <c r="K43" s="1677"/>
      <c r="L43" s="1680">
        <f t="shared" si="0"/>
        <v>-10.475</v>
      </c>
      <c r="M43" s="456"/>
      <c r="N43" s="449"/>
      <c r="O43" s="455"/>
      <c r="P43" s="449"/>
      <c r="Q43" s="449"/>
      <c r="R43" s="449"/>
      <c r="S43" s="449"/>
      <c r="T43" s="449"/>
      <c r="U43" s="449"/>
      <c r="V43" s="449"/>
      <c r="W43" s="449"/>
      <c r="X43" s="449"/>
      <c r="Y43" s="449"/>
      <c r="Z43" s="449"/>
      <c r="AA43" s="449"/>
      <c r="AB43" s="449"/>
      <c r="AC43" s="449"/>
      <c r="AD43" s="449"/>
      <c r="AE43" s="449"/>
      <c r="AF43" s="449"/>
      <c r="AG43" s="449"/>
      <c r="AH43" s="449"/>
      <c r="AI43" s="449"/>
      <c r="AJ43" s="449"/>
      <c r="AK43" s="449"/>
      <c r="AL43" s="449"/>
      <c r="AM43" s="449"/>
      <c r="AN43" s="449"/>
      <c r="AO43" s="449"/>
      <c r="AP43" s="449"/>
      <c r="AQ43" s="449"/>
      <c r="AR43" s="449"/>
      <c r="AS43" s="449"/>
      <c r="AT43" s="449"/>
      <c r="AU43" s="449"/>
      <c r="AV43" s="449"/>
      <c r="AW43" s="449"/>
      <c r="AX43" s="449"/>
      <c r="AY43" s="449"/>
      <c r="AZ43" s="449"/>
      <c r="BA43" s="449"/>
      <c r="BB43" s="449"/>
      <c r="BC43" s="449"/>
      <c r="BD43" s="449"/>
      <c r="BE43" s="449"/>
      <c r="BF43" s="449"/>
      <c r="BG43" s="449"/>
      <c r="BH43" s="449"/>
      <c r="BI43" s="449"/>
      <c r="BJ43" s="449"/>
      <c r="BK43" s="449"/>
      <c r="BL43" s="449"/>
      <c r="BM43" s="449"/>
      <c r="BN43" s="449"/>
      <c r="BO43" s="449"/>
      <c r="BP43" s="449"/>
      <c r="BQ43" s="449"/>
      <c r="BR43" s="449"/>
      <c r="BS43" s="449"/>
      <c r="BT43" s="449"/>
      <c r="BU43" s="449"/>
      <c r="BV43" s="449"/>
      <c r="BW43" s="449"/>
      <c r="BX43" s="449"/>
      <c r="BY43" s="449"/>
      <c r="BZ43" s="449"/>
      <c r="CA43" s="449"/>
      <c r="CB43" s="449"/>
      <c r="CC43" s="449"/>
      <c r="CD43" s="449"/>
      <c r="CE43" s="449"/>
      <c r="CF43" s="449"/>
      <c r="CG43" s="449"/>
      <c r="CH43" s="449"/>
      <c r="CI43" s="449"/>
      <c r="CJ43" s="449"/>
      <c r="CK43" s="449"/>
      <c r="CL43" s="449"/>
      <c r="CM43" s="449"/>
      <c r="CN43" s="449"/>
      <c r="CO43" s="449"/>
      <c r="CP43" s="449"/>
      <c r="CQ43" s="449"/>
      <c r="CR43" s="449"/>
      <c r="CS43" s="449"/>
      <c r="CT43" s="449"/>
      <c r="CU43" s="449"/>
      <c r="CV43" s="449"/>
      <c r="CW43" s="449"/>
      <c r="CX43" s="449"/>
      <c r="CY43" s="449"/>
      <c r="CZ43" s="449"/>
      <c r="DA43" s="449"/>
      <c r="DB43" s="449"/>
      <c r="DC43" s="449"/>
      <c r="DD43" s="449"/>
      <c r="DE43" s="449"/>
      <c r="DF43" s="449"/>
      <c r="DG43" s="449"/>
      <c r="DH43" s="449"/>
      <c r="DI43" s="449"/>
      <c r="DJ43" s="449"/>
      <c r="DK43" s="449"/>
      <c r="DL43" s="449"/>
      <c r="DM43" s="449"/>
      <c r="DN43" s="449"/>
      <c r="DO43" s="449"/>
      <c r="DP43" s="449"/>
      <c r="DQ43" s="449"/>
      <c r="DR43" s="449"/>
      <c r="DS43" s="449"/>
      <c r="DT43" s="449"/>
      <c r="DU43" s="449"/>
      <c r="DV43" s="449"/>
      <c r="DW43" s="449"/>
      <c r="DX43" s="449"/>
      <c r="DY43" s="449"/>
      <c r="DZ43" s="449"/>
      <c r="EA43" s="449"/>
      <c r="EB43" s="449"/>
      <c r="EC43" s="449"/>
      <c r="ED43" s="449"/>
      <c r="EE43" s="449"/>
      <c r="EF43" s="449"/>
      <c r="EG43" s="449"/>
      <c r="EH43" s="449"/>
      <c r="EI43" s="449"/>
      <c r="EJ43" s="449"/>
      <c r="EK43" s="449"/>
      <c r="EL43" s="449"/>
      <c r="EM43" s="449"/>
      <c r="EN43" s="449"/>
      <c r="EO43" s="449"/>
      <c r="EP43" s="449"/>
      <c r="EQ43" s="449"/>
      <c r="ER43" s="449"/>
      <c r="ES43" s="449"/>
      <c r="ET43" s="449"/>
      <c r="EU43" s="449"/>
      <c r="EV43" s="449"/>
      <c r="EW43" s="449"/>
      <c r="EX43" s="449"/>
      <c r="EY43" s="449"/>
      <c r="EZ43" s="449"/>
      <c r="FA43" s="449"/>
      <c r="FB43" s="449"/>
      <c r="FC43" s="449"/>
      <c r="FD43" s="449"/>
      <c r="FE43" s="449"/>
      <c r="FF43" s="449"/>
      <c r="FG43" s="449"/>
      <c r="FH43" s="449"/>
      <c r="FI43" s="449"/>
      <c r="FJ43" s="449"/>
      <c r="FK43" s="449"/>
      <c r="FL43" s="449"/>
      <c r="FM43" s="449"/>
      <c r="FN43" s="449"/>
      <c r="FO43" s="449"/>
      <c r="FP43" s="449"/>
      <c r="FQ43" s="449"/>
      <c r="FR43" s="449"/>
      <c r="FS43" s="449"/>
      <c r="FT43" s="449"/>
      <c r="FU43" s="449"/>
      <c r="FV43" s="449"/>
      <c r="FW43" s="449"/>
      <c r="FX43" s="449"/>
      <c r="FY43" s="449"/>
      <c r="FZ43" s="449"/>
      <c r="GA43" s="449"/>
      <c r="GB43" s="449"/>
      <c r="GC43" s="449"/>
      <c r="GD43" s="449"/>
      <c r="GE43" s="449"/>
      <c r="GF43" s="449"/>
      <c r="GG43" s="449"/>
      <c r="GH43" s="449"/>
      <c r="GI43" s="449"/>
      <c r="GJ43" s="449"/>
      <c r="GK43" s="449"/>
      <c r="GL43" s="449"/>
      <c r="GM43" s="449"/>
      <c r="GN43" s="449"/>
      <c r="GO43" s="449"/>
      <c r="GP43" s="449"/>
      <c r="GQ43" s="449"/>
      <c r="GR43" s="449"/>
      <c r="GS43" s="449"/>
      <c r="GT43" s="449"/>
      <c r="GU43" s="449"/>
      <c r="GV43" s="449"/>
      <c r="GW43" s="449"/>
      <c r="GX43" s="449"/>
      <c r="GY43" s="449"/>
      <c r="GZ43" s="449"/>
      <c r="HA43" s="449"/>
      <c r="HB43" s="449"/>
      <c r="HC43" s="449"/>
      <c r="HD43" s="449"/>
      <c r="HE43" s="449"/>
      <c r="HF43" s="449"/>
      <c r="HG43" s="449"/>
      <c r="HH43" s="449"/>
      <c r="HI43" s="449"/>
      <c r="HJ43" s="449"/>
      <c r="HK43" s="449"/>
      <c r="HL43" s="449"/>
      <c r="HM43" s="449"/>
      <c r="HN43" s="449"/>
      <c r="HO43" s="449"/>
      <c r="HP43" s="449"/>
      <c r="HQ43" s="449"/>
      <c r="HR43" s="449"/>
      <c r="HS43" s="449"/>
      <c r="HT43" s="449"/>
      <c r="HU43" s="449"/>
      <c r="HV43" s="449"/>
      <c r="HW43" s="449"/>
      <c r="HX43" s="449"/>
      <c r="HY43" s="449"/>
      <c r="HZ43" s="449"/>
      <c r="IA43" s="449"/>
      <c r="IB43" s="449"/>
      <c r="IC43" s="449"/>
      <c r="ID43" s="449"/>
      <c r="IE43" s="449"/>
      <c r="IF43" s="449"/>
      <c r="IG43" s="449"/>
      <c r="IH43" s="449"/>
      <c r="II43" s="449"/>
      <c r="IJ43" s="449"/>
      <c r="IK43" s="449"/>
      <c r="IL43" s="449"/>
      <c r="IM43" s="449"/>
      <c r="IN43" s="449"/>
      <c r="IO43" s="449"/>
      <c r="IP43" s="449"/>
      <c r="IQ43" s="449"/>
      <c r="IR43" s="449"/>
      <c r="IS43" s="449"/>
      <c r="IT43" s="449"/>
      <c r="IU43" s="449"/>
      <c r="IV43" s="449"/>
    </row>
    <row r="44" spans="1:256" ht="18" customHeight="1">
      <c r="A44" s="449" t="s">
        <v>1119</v>
      </c>
      <c r="B44" s="449"/>
      <c r="C44" s="449"/>
      <c r="D44" s="1679">
        <v>0</v>
      </c>
      <c r="E44" s="1676"/>
      <c r="F44" s="1679">
        <v>0</v>
      </c>
      <c r="G44" s="1676"/>
      <c r="H44" s="1679">
        <v>0</v>
      </c>
      <c r="I44" s="1676"/>
      <c r="J44" s="1679">
        <v>0</v>
      </c>
      <c r="K44" s="1677"/>
      <c r="L44" s="1680">
        <f t="shared" si="0"/>
        <v>0</v>
      </c>
      <c r="M44" s="456"/>
      <c r="N44" s="449"/>
      <c r="O44" s="455"/>
      <c r="P44" s="462"/>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c r="AV44" s="449"/>
      <c r="AW44" s="449"/>
      <c r="AX44" s="449"/>
      <c r="AY44" s="449"/>
      <c r="AZ44" s="449"/>
      <c r="BA44" s="449"/>
      <c r="BB44" s="449"/>
      <c r="BC44" s="449"/>
      <c r="BD44" s="449"/>
      <c r="BE44" s="449"/>
      <c r="BF44" s="449"/>
      <c r="BG44" s="449"/>
      <c r="BH44" s="449"/>
      <c r="BI44" s="449"/>
      <c r="BJ44" s="449"/>
      <c r="BK44" s="449"/>
      <c r="BL44" s="449"/>
      <c r="BM44" s="449"/>
      <c r="BN44" s="449"/>
      <c r="BO44" s="449"/>
      <c r="BP44" s="449"/>
      <c r="BQ44" s="449"/>
      <c r="BR44" s="449"/>
      <c r="BS44" s="449"/>
      <c r="BT44" s="449"/>
      <c r="BU44" s="449"/>
      <c r="BV44" s="449"/>
      <c r="BW44" s="449"/>
      <c r="BX44" s="449"/>
      <c r="BY44" s="449"/>
      <c r="BZ44" s="449"/>
      <c r="CA44" s="449"/>
      <c r="CB44" s="449"/>
      <c r="CC44" s="449"/>
      <c r="CD44" s="449"/>
      <c r="CE44" s="449"/>
      <c r="CF44" s="449"/>
      <c r="CG44" s="449"/>
      <c r="CH44" s="449"/>
      <c r="CI44" s="449"/>
      <c r="CJ44" s="449"/>
      <c r="CK44" s="449"/>
      <c r="CL44" s="449"/>
      <c r="CM44" s="449"/>
      <c r="CN44" s="449"/>
      <c r="CO44" s="449"/>
      <c r="CP44" s="449"/>
      <c r="CQ44" s="449"/>
      <c r="CR44" s="449"/>
      <c r="CS44" s="449"/>
      <c r="CT44" s="449"/>
      <c r="CU44" s="449"/>
      <c r="CV44" s="449"/>
      <c r="CW44" s="449"/>
      <c r="CX44" s="449"/>
      <c r="CY44" s="449"/>
      <c r="CZ44" s="449"/>
      <c r="DA44" s="449"/>
      <c r="DB44" s="449"/>
      <c r="DC44" s="449"/>
      <c r="DD44" s="449"/>
      <c r="DE44" s="449"/>
      <c r="DF44" s="449"/>
      <c r="DG44" s="449"/>
      <c r="DH44" s="449"/>
      <c r="DI44" s="449"/>
      <c r="DJ44" s="449"/>
      <c r="DK44" s="449"/>
      <c r="DL44" s="449"/>
      <c r="DM44" s="449"/>
      <c r="DN44" s="449"/>
      <c r="DO44" s="449"/>
      <c r="DP44" s="449"/>
      <c r="DQ44" s="449"/>
      <c r="DR44" s="449"/>
      <c r="DS44" s="449"/>
      <c r="DT44" s="449"/>
      <c r="DU44" s="449"/>
      <c r="DV44" s="449"/>
      <c r="DW44" s="449"/>
      <c r="DX44" s="449"/>
      <c r="DY44" s="449"/>
      <c r="DZ44" s="449"/>
      <c r="EA44" s="449"/>
      <c r="EB44" s="449"/>
      <c r="EC44" s="449"/>
      <c r="ED44" s="449"/>
      <c r="EE44" s="449"/>
      <c r="EF44" s="449"/>
      <c r="EG44" s="449"/>
      <c r="EH44" s="449"/>
      <c r="EI44" s="449"/>
      <c r="EJ44" s="449"/>
      <c r="EK44" s="449"/>
      <c r="EL44" s="449"/>
      <c r="EM44" s="449"/>
      <c r="EN44" s="449"/>
      <c r="EO44" s="449"/>
      <c r="EP44" s="449"/>
      <c r="EQ44" s="449"/>
      <c r="ER44" s="449"/>
      <c r="ES44" s="449"/>
      <c r="ET44" s="449"/>
      <c r="EU44" s="449"/>
      <c r="EV44" s="449"/>
      <c r="EW44" s="449"/>
      <c r="EX44" s="449"/>
      <c r="EY44" s="449"/>
      <c r="EZ44" s="449"/>
      <c r="FA44" s="449"/>
      <c r="FB44" s="449"/>
      <c r="FC44" s="449"/>
      <c r="FD44" s="449"/>
      <c r="FE44" s="449"/>
      <c r="FF44" s="449"/>
      <c r="FG44" s="449"/>
      <c r="FH44" s="449"/>
      <c r="FI44" s="449"/>
      <c r="FJ44" s="449"/>
      <c r="FK44" s="449"/>
      <c r="FL44" s="449"/>
      <c r="FM44" s="449"/>
      <c r="FN44" s="449"/>
      <c r="FO44" s="449"/>
      <c r="FP44" s="449"/>
      <c r="FQ44" s="449"/>
      <c r="FR44" s="449"/>
      <c r="FS44" s="449"/>
      <c r="FT44" s="449"/>
      <c r="FU44" s="449"/>
      <c r="FV44" s="449"/>
      <c r="FW44" s="449"/>
      <c r="FX44" s="449"/>
      <c r="FY44" s="449"/>
      <c r="FZ44" s="449"/>
      <c r="GA44" s="449"/>
      <c r="GB44" s="449"/>
      <c r="GC44" s="449"/>
      <c r="GD44" s="449"/>
      <c r="GE44" s="449"/>
      <c r="GF44" s="449"/>
      <c r="GG44" s="449"/>
      <c r="GH44" s="449"/>
      <c r="GI44" s="449"/>
      <c r="GJ44" s="449"/>
      <c r="GK44" s="449"/>
      <c r="GL44" s="449"/>
      <c r="GM44" s="449"/>
      <c r="GN44" s="449"/>
      <c r="GO44" s="449"/>
      <c r="GP44" s="449"/>
      <c r="GQ44" s="449"/>
      <c r="GR44" s="449"/>
      <c r="GS44" s="449"/>
      <c r="GT44" s="449"/>
      <c r="GU44" s="449"/>
      <c r="GV44" s="449"/>
      <c r="GW44" s="449"/>
      <c r="GX44" s="449"/>
      <c r="GY44" s="449"/>
      <c r="GZ44" s="449"/>
      <c r="HA44" s="449"/>
      <c r="HB44" s="449"/>
      <c r="HC44" s="449"/>
      <c r="HD44" s="449"/>
      <c r="HE44" s="449"/>
      <c r="HF44" s="449"/>
      <c r="HG44" s="449"/>
      <c r="HH44" s="449"/>
      <c r="HI44" s="449"/>
      <c r="HJ44" s="449"/>
      <c r="HK44" s="449"/>
      <c r="HL44" s="449"/>
      <c r="HM44" s="449"/>
      <c r="HN44" s="449"/>
      <c r="HO44" s="449"/>
      <c r="HP44" s="449"/>
      <c r="HQ44" s="449"/>
      <c r="HR44" s="449"/>
      <c r="HS44" s="449"/>
      <c r="HT44" s="449"/>
      <c r="HU44" s="449"/>
      <c r="HV44" s="449"/>
      <c r="HW44" s="449"/>
      <c r="HX44" s="449"/>
      <c r="HY44" s="449"/>
      <c r="HZ44" s="449"/>
      <c r="IA44" s="449"/>
      <c r="IB44" s="449"/>
      <c r="IC44" s="449"/>
      <c r="ID44" s="449"/>
      <c r="IE44" s="449"/>
      <c r="IF44" s="449"/>
      <c r="IG44" s="449"/>
      <c r="IH44" s="449"/>
      <c r="II44" s="449"/>
      <c r="IJ44" s="449"/>
      <c r="IK44" s="449"/>
      <c r="IL44" s="449"/>
      <c r="IM44" s="449"/>
      <c r="IN44" s="449"/>
      <c r="IO44" s="449"/>
      <c r="IP44" s="449"/>
      <c r="IQ44" s="449"/>
      <c r="IR44" s="449"/>
      <c r="IS44" s="449"/>
      <c r="IT44" s="449"/>
      <c r="IU44" s="449"/>
      <c r="IV44" s="449"/>
    </row>
    <row r="45" spans="1:256" ht="17.25" customHeight="1">
      <c r="A45" s="445" t="s">
        <v>1114</v>
      </c>
      <c r="B45" s="449"/>
      <c r="C45" s="449"/>
      <c r="D45" s="696">
        <f>ROUND(SUM(D29:D44),3)</f>
        <v>3223.509</v>
      </c>
      <c r="E45" s="688"/>
      <c r="F45" s="696">
        <f>ROUND(SUM(F29:F44),3)</f>
        <v>10029.352000000001</v>
      </c>
      <c r="G45" s="688"/>
      <c r="H45" s="696">
        <f>ROUND(SUM(H29:H44),3)</f>
        <v>9624.598</v>
      </c>
      <c r="I45" s="688"/>
      <c r="J45" s="696">
        <f>ROUND(SUM(J29:J44),3)</f>
        <v>0</v>
      </c>
      <c r="K45" s="688"/>
      <c r="L45" s="696">
        <f>ROUND(SUM(L29:L44),3)</f>
        <v>3628.2629999999999</v>
      </c>
      <c r="M45" s="457"/>
      <c r="N45" s="395"/>
      <c r="O45" s="455"/>
      <c r="P45" s="449"/>
      <c r="Q45" s="449"/>
      <c r="R45" s="449"/>
      <c r="S45" s="449"/>
      <c r="T45" s="449"/>
      <c r="U45" s="449"/>
      <c r="V45" s="449"/>
      <c r="W45" s="449"/>
      <c r="X45" s="449"/>
      <c r="Y45" s="449"/>
      <c r="Z45" s="449"/>
      <c r="AA45" s="449"/>
      <c r="AB45" s="449"/>
      <c r="AC45" s="449"/>
      <c r="AD45" s="449"/>
      <c r="AE45" s="449"/>
      <c r="AF45" s="449"/>
      <c r="AG45" s="449"/>
      <c r="AH45" s="449"/>
      <c r="AI45" s="449"/>
      <c r="AJ45" s="449"/>
      <c r="AK45" s="449"/>
      <c r="AL45" s="449"/>
      <c r="AM45" s="449"/>
      <c r="AN45" s="449"/>
      <c r="AO45" s="449"/>
      <c r="AP45" s="449"/>
      <c r="AQ45" s="449"/>
      <c r="AR45" s="449"/>
      <c r="AS45" s="449"/>
      <c r="AT45" s="449"/>
      <c r="AU45" s="449"/>
      <c r="AV45" s="449"/>
      <c r="AW45" s="449"/>
      <c r="AX45" s="449"/>
      <c r="AY45" s="449"/>
      <c r="AZ45" s="449"/>
      <c r="BA45" s="449"/>
      <c r="BB45" s="449"/>
      <c r="BC45" s="449"/>
      <c r="BD45" s="449"/>
      <c r="BE45" s="449"/>
      <c r="BF45" s="449"/>
      <c r="BG45" s="449"/>
      <c r="BH45" s="449"/>
      <c r="BI45" s="449"/>
      <c r="BJ45" s="449"/>
      <c r="BK45" s="449"/>
      <c r="BL45" s="449"/>
      <c r="BM45" s="449"/>
      <c r="BN45" s="449"/>
      <c r="BO45" s="449"/>
      <c r="BP45" s="449"/>
      <c r="BQ45" s="449"/>
      <c r="BR45" s="449"/>
      <c r="BS45" s="449"/>
      <c r="BT45" s="449"/>
      <c r="BU45" s="449"/>
      <c r="BV45" s="449"/>
      <c r="BW45" s="449"/>
      <c r="BX45" s="449"/>
      <c r="BY45" s="449"/>
      <c r="BZ45" s="449"/>
      <c r="CA45" s="449"/>
      <c r="CB45" s="449"/>
      <c r="CC45" s="449"/>
      <c r="CD45" s="449"/>
      <c r="CE45" s="449"/>
      <c r="CF45" s="449"/>
      <c r="CG45" s="449"/>
      <c r="CH45" s="449"/>
      <c r="CI45" s="449"/>
      <c r="CJ45" s="449"/>
      <c r="CK45" s="449"/>
      <c r="CL45" s="449"/>
      <c r="CM45" s="449"/>
      <c r="CN45" s="449"/>
      <c r="CO45" s="449"/>
      <c r="CP45" s="449"/>
      <c r="CQ45" s="449"/>
      <c r="CR45" s="449"/>
      <c r="CS45" s="449"/>
      <c r="CT45" s="449"/>
      <c r="CU45" s="449"/>
      <c r="CV45" s="449"/>
      <c r="CW45" s="449"/>
      <c r="CX45" s="449"/>
      <c r="CY45" s="449"/>
      <c r="CZ45" s="449"/>
      <c r="DA45" s="449"/>
      <c r="DB45" s="449"/>
      <c r="DC45" s="449"/>
      <c r="DD45" s="449"/>
      <c r="DE45" s="449"/>
      <c r="DF45" s="449"/>
      <c r="DG45" s="449"/>
      <c r="DH45" s="449"/>
      <c r="DI45" s="449"/>
      <c r="DJ45" s="449"/>
      <c r="DK45" s="449"/>
      <c r="DL45" s="449"/>
      <c r="DM45" s="449"/>
      <c r="DN45" s="449"/>
      <c r="DO45" s="449"/>
      <c r="DP45" s="449"/>
      <c r="DQ45" s="449"/>
      <c r="DR45" s="449"/>
      <c r="DS45" s="449"/>
      <c r="DT45" s="449"/>
      <c r="DU45" s="449"/>
      <c r="DV45" s="449"/>
      <c r="DW45" s="449"/>
      <c r="DX45" s="449"/>
      <c r="DY45" s="449"/>
      <c r="DZ45" s="449"/>
      <c r="EA45" s="449"/>
      <c r="EB45" s="449"/>
      <c r="EC45" s="449"/>
      <c r="ED45" s="449"/>
      <c r="EE45" s="449"/>
      <c r="EF45" s="449"/>
      <c r="EG45" s="449"/>
      <c r="EH45" s="449"/>
      <c r="EI45" s="449"/>
      <c r="EJ45" s="449"/>
      <c r="EK45" s="449"/>
      <c r="EL45" s="449"/>
      <c r="EM45" s="449"/>
      <c r="EN45" s="449"/>
      <c r="EO45" s="449"/>
      <c r="EP45" s="449"/>
      <c r="EQ45" s="449"/>
      <c r="ER45" s="449"/>
      <c r="ES45" s="449"/>
      <c r="ET45" s="449"/>
      <c r="EU45" s="449"/>
      <c r="EV45" s="449"/>
      <c r="EW45" s="449"/>
      <c r="EX45" s="449"/>
      <c r="EY45" s="449"/>
      <c r="EZ45" s="449"/>
      <c r="FA45" s="449"/>
      <c r="FB45" s="449"/>
      <c r="FC45" s="449"/>
      <c r="FD45" s="449"/>
      <c r="FE45" s="449"/>
      <c r="FF45" s="449"/>
      <c r="FG45" s="449"/>
      <c r="FH45" s="449"/>
      <c r="FI45" s="449"/>
      <c r="FJ45" s="449"/>
      <c r="FK45" s="449"/>
      <c r="FL45" s="449"/>
      <c r="FM45" s="449"/>
      <c r="FN45" s="449"/>
      <c r="FO45" s="449"/>
      <c r="FP45" s="449"/>
      <c r="FQ45" s="449"/>
      <c r="FR45" s="449"/>
      <c r="FS45" s="449"/>
      <c r="FT45" s="449"/>
      <c r="FU45" s="449"/>
      <c r="FV45" s="449"/>
      <c r="FW45" s="449"/>
      <c r="FX45" s="449"/>
      <c r="FY45" s="449"/>
      <c r="FZ45" s="449"/>
      <c r="GA45" s="449"/>
      <c r="GB45" s="449"/>
      <c r="GC45" s="449"/>
      <c r="GD45" s="449"/>
      <c r="GE45" s="449"/>
      <c r="GF45" s="449"/>
      <c r="GG45" s="449"/>
      <c r="GH45" s="449"/>
      <c r="GI45" s="449"/>
      <c r="GJ45" s="449"/>
      <c r="GK45" s="449"/>
      <c r="GL45" s="449"/>
      <c r="GM45" s="449"/>
      <c r="GN45" s="449"/>
      <c r="GO45" s="449"/>
      <c r="GP45" s="449"/>
      <c r="GQ45" s="449"/>
      <c r="GR45" s="449"/>
      <c r="GS45" s="449"/>
      <c r="GT45" s="449"/>
      <c r="GU45" s="449"/>
      <c r="GV45" s="449"/>
      <c r="GW45" s="449"/>
      <c r="GX45" s="449"/>
      <c r="GY45" s="449"/>
      <c r="GZ45" s="449"/>
      <c r="HA45" s="449"/>
      <c r="HB45" s="449"/>
      <c r="HC45" s="449"/>
      <c r="HD45" s="449"/>
      <c r="HE45" s="449"/>
      <c r="HF45" s="449"/>
      <c r="HG45" s="449"/>
      <c r="HH45" s="449"/>
      <c r="HI45" s="449"/>
      <c r="HJ45" s="449"/>
      <c r="HK45" s="449"/>
      <c r="HL45" s="449"/>
      <c r="HM45" s="449"/>
      <c r="HN45" s="449"/>
      <c r="HO45" s="449"/>
      <c r="HP45" s="449"/>
      <c r="HQ45" s="449"/>
      <c r="HR45" s="449"/>
      <c r="HS45" s="449"/>
      <c r="HT45" s="449"/>
      <c r="HU45" s="449"/>
      <c r="HV45" s="449"/>
      <c r="HW45" s="449"/>
      <c r="HX45" s="449"/>
      <c r="HY45" s="449"/>
      <c r="HZ45" s="449"/>
      <c r="IA45" s="449"/>
      <c r="IB45" s="449"/>
      <c r="IC45" s="449"/>
      <c r="ID45" s="449"/>
      <c r="IE45" s="449"/>
      <c r="IF45" s="449"/>
      <c r="IG45" s="449"/>
      <c r="IH45" s="449"/>
      <c r="II45" s="449"/>
      <c r="IJ45" s="449"/>
      <c r="IK45" s="449"/>
      <c r="IL45" s="449"/>
      <c r="IM45" s="449"/>
      <c r="IN45" s="449"/>
      <c r="IO45" s="449"/>
      <c r="IP45" s="449"/>
      <c r="IQ45" s="449"/>
      <c r="IR45" s="449"/>
      <c r="IS45" s="449"/>
      <c r="IT45" s="449"/>
      <c r="IU45" s="449"/>
      <c r="IV45" s="449"/>
    </row>
    <row r="46" spans="1:256" ht="12" customHeight="1">
      <c r="A46" s="445"/>
      <c r="B46" s="449"/>
      <c r="C46" s="449"/>
      <c r="D46" s="690" t="s">
        <v>14</v>
      </c>
      <c r="E46" s="442"/>
      <c r="F46" s="690" t="s">
        <v>14</v>
      </c>
      <c r="G46" s="442"/>
      <c r="H46" s="690" t="s">
        <v>14</v>
      </c>
      <c r="I46" s="442"/>
      <c r="J46" s="443" t="s">
        <v>14</v>
      </c>
      <c r="K46" s="442"/>
      <c r="L46" s="690" t="s">
        <v>14</v>
      </c>
      <c r="M46" s="456"/>
      <c r="N46" s="449"/>
      <c r="O46" s="455"/>
      <c r="P46" s="462"/>
      <c r="Q46" s="449"/>
      <c r="R46" s="449"/>
      <c r="S46" s="449"/>
      <c r="T46" s="449"/>
      <c r="U46" s="449"/>
      <c r="V46" s="449"/>
      <c r="W46" s="449"/>
      <c r="X46" s="449"/>
      <c r="Y46" s="449"/>
      <c r="Z46" s="449"/>
      <c r="AA46" s="449"/>
      <c r="AB46" s="449"/>
      <c r="AC46" s="449"/>
      <c r="AD46" s="449"/>
      <c r="AE46" s="449"/>
      <c r="AF46" s="449"/>
      <c r="AG46" s="449"/>
      <c r="AH46" s="449"/>
      <c r="AI46" s="449"/>
      <c r="AJ46" s="449"/>
      <c r="AK46" s="449"/>
      <c r="AL46" s="449"/>
      <c r="AM46" s="449"/>
      <c r="AN46" s="449"/>
      <c r="AO46" s="449"/>
      <c r="AP46" s="449"/>
      <c r="AQ46" s="449"/>
      <c r="AR46" s="449"/>
      <c r="AS46" s="449"/>
      <c r="AT46" s="449"/>
      <c r="AU46" s="449"/>
      <c r="AV46" s="449"/>
      <c r="AW46" s="449"/>
      <c r="AX46" s="449"/>
      <c r="AY46" s="449"/>
      <c r="AZ46" s="449"/>
      <c r="BA46" s="449"/>
      <c r="BB46" s="449"/>
      <c r="BC46" s="449"/>
      <c r="BD46" s="449"/>
      <c r="BE46" s="449"/>
      <c r="BF46" s="449"/>
      <c r="BG46" s="449"/>
      <c r="BH46" s="449"/>
      <c r="BI46" s="449"/>
      <c r="BJ46" s="449"/>
      <c r="BK46" s="449"/>
      <c r="BL46" s="449"/>
      <c r="BM46" s="449"/>
      <c r="BN46" s="449"/>
      <c r="BO46" s="449"/>
      <c r="BP46" s="449"/>
      <c r="BQ46" s="449"/>
      <c r="BR46" s="449"/>
      <c r="BS46" s="449"/>
      <c r="BT46" s="449"/>
      <c r="BU46" s="449"/>
      <c r="BV46" s="449"/>
      <c r="BW46" s="449"/>
      <c r="BX46" s="449"/>
      <c r="BY46" s="449"/>
      <c r="BZ46" s="449"/>
      <c r="CA46" s="449"/>
      <c r="CB46" s="449"/>
      <c r="CC46" s="449"/>
      <c r="CD46" s="449"/>
      <c r="CE46" s="449"/>
      <c r="CF46" s="449"/>
      <c r="CG46" s="449"/>
      <c r="CH46" s="449"/>
      <c r="CI46" s="449"/>
      <c r="CJ46" s="449"/>
      <c r="CK46" s="449"/>
      <c r="CL46" s="449"/>
      <c r="CM46" s="449"/>
      <c r="CN46" s="449"/>
      <c r="CO46" s="449"/>
      <c r="CP46" s="449"/>
      <c r="CQ46" s="449"/>
      <c r="CR46" s="449"/>
      <c r="CS46" s="449"/>
      <c r="CT46" s="449"/>
      <c r="CU46" s="449"/>
      <c r="CV46" s="449"/>
      <c r="CW46" s="449"/>
      <c r="CX46" s="449"/>
      <c r="CY46" s="449"/>
      <c r="CZ46" s="449"/>
      <c r="DA46" s="449"/>
      <c r="DB46" s="449"/>
      <c r="DC46" s="449"/>
      <c r="DD46" s="449"/>
      <c r="DE46" s="449"/>
      <c r="DF46" s="449"/>
      <c r="DG46" s="449"/>
      <c r="DH46" s="449"/>
      <c r="DI46" s="449"/>
      <c r="DJ46" s="449"/>
      <c r="DK46" s="449"/>
      <c r="DL46" s="449"/>
      <c r="DM46" s="449"/>
      <c r="DN46" s="449"/>
      <c r="DO46" s="449"/>
      <c r="DP46" s="449"/>
      <c r="DQ46" s="449"/>
      <c r="DR46" s="449"/>
      <c r="DS46" s="449"/>
      <c r="DT46" s="449"/>
      <c r="DU46" s="449"/>
      <c r="DV46" s="449"/>
      <c r="DW46" s="449"/>
      <c r="DX46" s="449"/>
      <c r="DY46" s="449"/>
      <c r="DZ46" s="449"/>
      <c r="EA46" s="449"/>
      <c r="EB46" s="449"/>
      <c r="EC46" s="449"/>
      <c r="ED46" s="449"/>
      <c r="EE46" s="449"/>
      <c r="EF46" s="449"/>
      <c r="EG46" s="449"/>
      <c r="EH46" s="449"/>
      <c r="EI46" s="449"/>
      <c r="EJ46" s="449"/>
      <c r="EK46" s="449"/>
      <c r="EL46" s="449"/>
      <c r="EM46" s="449"/>
      <c r="EN46" s="449"/>
      <c r="EO46" s="449"/>
      <c r="EP46" s="449"/>
      <c r="EQ46" s="449"/>
      <c r="ER46" s="449"/>
      <c r="ES46" s="449"/>
      <c r="ET46" s="449"/>
      <c r="EU46" s="449"/>
      <c r="EV46" s="449"/>
      <c r="EW46" s="449"/>
      <c r="EX46" s="449"/>
      <c r="EY46" s="449"/>
      <c r="EZ46" s="449"/>
      <c r="FA46" s="449"/>
      <c r="FB46" s="449"/>
      <c r="FC46" s="449"/>
      <c r="FD46" s="449"/>
      <c r="FE46" s="449"/>
      <c r="FF46" s="449"/>
      <c r="FG46" s="449"/>
      <c r="FH46" s="449"/>
      <c r="FI46" s="449"/>
      <c r="FJ46" s="449"/>
      <c r="FK46" s="449"/>
      <c r="FL46" s="449"/>
      <c r="FM46" s="449"/>
      <c r="FN46" s="449"/>
      <c r="FO46" s="449"/>
      <c r="FP46" s="449"/>
      <c r="FQ46" s="449"/>
      <c r="FR46" s="449"/>
      <c r="FS46" s="449"/>
      <c r="FT46" s="449"/>
      <c r="FU46" s="449"/>
      <c r="FV46" s="449"/>
      <c r="FW46" s="449"/>
      <c r="FX46" s="449"/>
      <c r="FY46" s="449"/>
      <c r="FZ46" s="449"/>
      <c r="GA46" s="449"/>
      <c r="GB46" s="449"/>
      <c r="GC46" s="449"/>
      <c r="GD46" s="449"/>
      <c r="GE46" s="449"/>
      <c r="GF46" s="449"/>
      <c r="GG46" s="449"/>
      <c r="GH46" s="449"/>
      <c r="GI46" s="449"/>
      <c r="GJ46" s="449"/>
      <c r="GK46" s="449"/>
      <c r="GL46" s="449"/>
      <c r="GM46" s="449"/>
      <c r="GN46" s="449"/>
      <c r="GO46" s="449"/>
      <c r="GP46" s="449"/>
      <c r="GQ46" s="449"/>
      <c r="GR46" s="449"/>
      <c r="GS46" s="449"/>
      <c r="GT46" s="449"/>
      <c r="GU46" s="449"/>
      <c r="GV46" s="449"/>
      <c r="GW46" s="449"/>
      <c r="GX46" s="449"/>
      <c r="GY46" s="449"/>
      <c r="GZ46" s="449"/>
      <c r="HA46" s="449"/>
      <c r="HB46" s="449"/>
      <c r="HC46" s="449"/>
      <c r="HD46" s="449"/>
      <c r="HE46" s="449"/>
      <c r="HF46" s="449"/>
      <c r="HG46" s="449"/>
      <c r="HH46" s="449"/>
      <c r="HI46" s="449"/>
      <c r="HJ46" s="449"/>
      <c r="HK46" s="449"/>
      <c r="HL46" s="449"/>
      <c r="HM46" s="449"/>
      <c r="HN46" s="449"/>
      <c r="HO46" s="449"/>
      <c r="HP46" s="449"/>
      <c r="HQ46" s="449"/>
      <c r="HR46" s="449"/>
      <c r="HS46" s="449"/>
      <c r="HT46" s="449"/>
      <c r="HU46" s="449"/>
      <c r="HV46" s="449"/>
      <c r="HW46" s="449"/>
      <c r="HX46" s="449"/>
      <c r="HY46" s="449"/>
      <c r="HZ46" s="449"/>
      <c r="IA46" s="449"/>
      <c r="IB46" s="449"/>
      <c r="IC46" s="449"/>
      <c r="ID46" s="449"/>
      <c r="IE46" s="449"/>
      <c r="IF46" s="449"/>
      <c r="IG46" s="449"/>
      <c r="IH46" s="449"/>
      <c r="II46" s="449"/>
      <c r="IJ46" s="449"/>
      <c r="IK46" s="449"/>
      <c r="IL46" s="449"/>
      <c r="IM46" s="449"/>
      <c r="IN46" s="449"/>
      <c r="IO46" s="449"/>
      <c r="IP46" s="449"/>
      <c r="IQ46" s="449"/>
      <c r="IR46" s="449"/>
      <c r="IS46" s="449"/>
      <c r="IT46" s="449"/>
      <c r="IU46" s="449"/>
      <c r="IV46" s="449"/>
    </row>
    <row r="47" spans="1:256" ht="3" customHeight="1">
      <c r="A47" s="445"/>
      <c r="B47" s="449"/>
      <c r="C47" s="449"/>
      <c r="D47" s="697"/>
      <c r="E47" s="697"/>
      <c r="F47" s="697"/>
      <c r="G47" s="697"/>
      <c r="H47" s="697"/>
      <c r="I47" s="697"/>
      <c r="J47" s="697"/>
      <c r="K47" s="697"/>
      <c r="L47" s="697"/>
      <c r="M47" s="456"/>
      <c r="N47" s="449"/>
      <c r="O47" s="455"/>
      <c r="P47" s="462"/>
      <c r="Q47" s="449"/>
      <c r="R47" s="449"/>
      <c r="S47" s="449"/>
      <c r="T47" s="449"/>
      <c r="U47" s="449"/>
      <c r="V47" s="449"/>
      <c r="W47" s="449"/>
      <c r="X47" s="449"/>
      <c r="Y47" s="449"/>
      <c r="Z47" s="449"/>
      <c r="AA47" s="449"/>
      <c r="AB47" s="449"/>
      <c r="AC47" s="449"/>
      <c r="AD47" s="449"/>
      <c r="AE47" s="449"/>
      <c r="AF47" s="449"/>
      <c r="AG47" s="449"/>
      <c r="AH47" s="449"/>
      <c r="AI47" s="449"/>
      <c r="AJ47" s="449"/>
      <c r="AK47" s="449"/>
      <c r="AL47" s="449"/>
      <c r="AM47" s="449"/>
      <c r="AN47" s="449"/>
      <c r="AO47" s="449"/>
      <c r="AP47" s="449"/>
      <c r="AQ47" s="449"/>
      <c r="AR47" s="449"/>
      <c r="AS47" s="449"/>
      <c r="AT47" s="449"/>
      <c r="AU47" s="449"/>
      <c r="AV47" s="449"/>
      <c r="AW47" s="449"/>
      <c r="AX47" s="449"/>
      <c r="AY47" s="449"/>
      <c r="AZ47" s="449"/>
      <c r="BA47" s="449"/>
      <c r="BB47" s="449"/>
      <c r="BC47" s="449"/>
      <c r="BD47" s="449"/>
      <c r="BE47" s="449"/>
      <c r="BF47" s="449"/>
      <c r="BG47" s="449"/>
      <c r="BH47" s="449"/>
      <c r="BI47" s="449"/>
      <c r="BJ47" s="449"/>
      <c r="BK47" s="449"/>
      <c r="BL47" s="449"/>
      <c r="BM47" s="449"/>
      <c r="BN47" s="449"/>
      <c r="BO47" s="449"/>
      <c r="BP47" s="449"/>
      <c r="BQ47" s="449"/>
      <c r="BR47" s="449"/>
      <c r="BS47" s="449"/>
      <c r="BT47" s="449"/>
      <c r="BU47" s="449"/>
      <c r="BV47" s="449"/>
      <c r="BW47" s="449"/>
      <c r="BX47" s="449"/>
      <c r="BY47" s="449"/>
      <c r="BZ47" s="449"/>
      <c r="CA47" s="449"/>
      <c r="CB47" s="449"/>
      <c r="CC47" s="449"/>
      <c r="CD47" s="449"/>
      <c r="CE47" s="449"/>
      <c r="CF47" s="449"/>
      <c r="CG47" s="449"/>
      <c r="CH47" s="449"/>
      <c r="CI47" s="449"/>
      <c r="CJ47" s="449"/>
      <c r="CK47" s="449"/>
      <c r="CL47" s="449"/>
      <c r="CM47" s="449"/>
      <c r="CN47" s="449"/>
      <c r="CO47" s="449"/>
      <c r="CP47" s="449"/>
      <c r="CQ47" s="449"/>
      <c r="CR47" s="449"/>
      <c r="CS47" s="449"/>
      <c r="CT47" s="449"/>
      <c r="CU47" s="449"/>
      <c r="CV47" s="449"/>
      <c r="CW47" s="449"/>
      <c r="CX47" s="449"/>
      <c r="CY47" s="449"/>
      <c r="CZ47" s="449"/>
      <c r="DA47" s="449"/>
      <c r="DB47" s="449"/>
      <c r="DC47" s="449"/>
      <c r="DD47" s="449"/>
      <c r="DE47" s="449"/>
      <c r="DF47" s="449"/>
      <c r="DG47" s="449"/>
      <c r="DH47" s="449"/>
      <c r="DI47" s="449"/>
      <c r="DJ47" s="449"/>
      <c r="DK47" s="449"/>
      <c r="DL47" s="449"/>
      <c r="DM47" s="449"/>
      <c r="DN47" s="449"/>
      <c r="DO47" s="449"/>
      <c r="DP47" s="449"/>
      <c r="DQ47" s="449"/>
      <c r="DR47" s="449"/>
      <c r="DS47" s="449"/>
      <c r="DT47" s="449"/>
      <c r="DU47" s="449"/>
      <c r="DV47" s="449"/>
      <c r="DW47" s="449"/>
      <c r="DX47" s="449"/>
      <c r="DY47" s="449"/>
      <c r="DZ47" s="449"/>
      <c r="EA47" s="449"/>
      <c r="EB47" s="449"/>
      <c r="EC47" s="449"/>
      <c r="ED47" s="449"/>
      <c r="EE47" s="449"/>
      <c r="EF47" s="449"/>
      <c r="EG47" s="449"/>
      <c r="EH47" s="449"/>
      <c r="EI47" s="449"/>
      <c r="EJ47" s="449"/>
      <c r="EK47" s="449"/>
      <c r="EL47" s="449"/>
      <c r="EM47" s="449"/>
      <c r="EN47" s="449"/>
      <c r="EO47" s="449"/>
      <c r="EP47" s="449"/>
      <c r="EQ47" s="449"/>
      <c r="ER47" s="449"/>
      <c r="ES47" s="449"/>
      <c r="ET47" s="449"/>
      <c r="EU47" s="449"/>
      <c r="EV47" s="449"/>
      <c r="EW47" s="449"/>
      <c r="EX47" s="449"/>
      <c r="EY47" s="449"/>
      <c r="EZ47" s="449"/>
      <c r="FA47" s="449"/>
      <c r="FB47" s="449"/>
      <c r="FC47" s="449"/>
      <c r="FD47" s="449"/>
      <c r="FE47" s="449"/>
      <c r="FF47" s="449"/>
      <c r="FG47" s="449"/>
      <c r="FH47" s="449"/>
      <c r="FI47" s="449"/>
      <c r="FJ47" s="449"/>
      <c r="FK47" s="449"/>
      <c r="FL47" s="449"/>
      <c r="FM47" s="449"/>
      <c r="FN47" s="449"/>
      <c r="FO47" s="449"/>
      <c r="FP47" s="449"/>
      <c r="FQ47" s="449"/>
      <c r="FR47" s="449"/>
      <c r="FS47" s="449"/>
      <c r="FT47" s="449"/>
      <c r="FU47" s="449"/>
      <c r="FV47" s="449"/>
      <c r="FW47" s="449"/>
      <c r="FX47" s="449"/>
      <c r="FY47" s="449"/>
      <c r="FZ47" s="449"/>
      <c r="GA47" s="449"/>
      <c r="GB47" s="449"/>
      <c r="GC47" s="449"/>
      <c r="GD47" s="449"/>
      <c r="GE47" s="449"/>
      <c r="GF47" s="449"/>
      <c r="GG47" s="449"/>
      <c r="GH47" s="449"/>
      <c r="GI47" s="449"/>
      <c r="GJ47" s="449"/>
      <c r="GK47" s="449"/>
      <c r="GL47" s="449"/>
      <c r="GM47" s="449"/>
      <c r="GN47" s="449"/>
      <c r="GO47" s="449"/>
      <c r="GP47" s="449"/>
      <c r="GQ47" s="449"/>
      <c r="GR47" s="449"/>
      <c r="GS47" s="449"/>
      <c r="GT47" s="449"/>
      <c r="GU47" s="449"/>
      <c r="GV47" s="449"/>
      <c r="GW47" s="449"/>
      <c r="GX47" s="449"/>
      <c r="GY47" s="449"/>
      <c r="GZ47" s="449"/>
      <c r="HA47" s="449"/>
      <c r="HB47" s="449"/>
      <c r="HC47" s="449"/>
      <c r="HD47" s="449"/>
      <c r="HE47" s="449"/>
      <c r="HF47" s="449"/>
      <c r="HG47" s="449"/>
      <c r="HH47" s="449"/>
      <c r="HI47" s="449"/>
      <c r="HJ47" s="449"/>
      <c r="HK47" s="449"/>
      <c r="HL47" s="449"/>
      <c r="HM47" s="449"/>
      <c r="HN47" s="449"/>
      <c r="HO47" s="449"/>
      <c r="HP47" s="449"/>
      <c r="HQ47" s="449"/>
      <c r="HR47" s="449"/>
      <c r="HS47" s="449"/>
      <c r="HT47" s="449"/>
      <c r="HU47" s="449"/>
      <c r="HV47" s="449"/>
      <c r="HW47" s="449"/>
      <c r="HX47" s="449"/>
      <c r="HY47" s="449"/>
      <c r="HZ47" s="449"/>
      <c r="IA47" s="449"/>
      <c r="IB47" s="449"/>
      <c r="IC47" s="449"/>
      <c r="ID47" s="449"/>
      <c r="IE47" s="449"/>
      <c r="IF47" s="449"/>
      <c r="IG47" s="449"/>
      <c r="IH47" s="449"/>
      <c r="II47" s="449"/>
      <c r="IJ47" s="449"/>
      <c r="IK47" s="449"/>
      <c r="IL47" s="449"/>
      <c r="IM47" s="449"/>
      <c r="IN47" s="449"/>
      <c r="IO47" s="449"/>
      <c r="IP47" s="449"/>
      <c r="IQ47" s="449"/>
      <c r="IR47" s="449"/>
      <c r="IS47" s="449"/>
      <c r="IT47" s="449"/>
      <c r="IU47" s="449"/>
      <c r="IV47" s="449"/>
    </row>
    <row r="48" spans="1:256" ht="18.5" thickBot="1">
      <c r="A48" s="445" t="s">
        <v>1115</v>
      </c>
      <c r="B48" s="449"/>
      <c r="C48" s="467"/>
      <c r="D48" s="698">
        <f>ROUND(D17+D25+D45,3)</f>
        <v>3263.895</v>
      </c>
      <c r="E48" s="699"/>
      <c r="F48" s="698">
        <f>ROUND(F17+F25+F45,3)</f>
        <v>10044.204</v>
      </c>
      <c r="G48" s="699"/>
      <c r="H48" s="698">
        <f>ROUND(H17+H25+H45,3)</f>
        <v>9637.277</v>
      </c>
      <c r="I48" s="700"/>
      <c r="J48" s="698">
        <f>ROUND(J17+J25+J45,3)</f>
        <v>0</v>
      </c>
      <c r="K48" s="699"/>
      <c r="L48" s="698">
        <f>ROUND(L17+L25+L45,3)</f>
        <v>3670.8220000000001</v>
      </c>
      <c r="M48" s="457"/>
      <c r="N48" s="460"/>
      <c r="O48" s="455"/>
      <c r="P48" s="462"/>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49"/>
      <c r="BC48" s="449"/>
      <c r="BD48" s="449"/>
      <c r="BE48" s="449"/>
      <c r="BF48" s="449"/>
      <c r="BG48" s="449"/>
      <c r="BH48" s="449"/>
      <c r="BI48" s="449"/>
      <c r="BJ48" s="449"/>
      <c r="BK48" s="449"/>
      <c r="BL48" s="449"/>
      <c r="BM48" s="449"/>
      <c r="BN48" s="449"/>
      <c r="BO48" s="449"/>
      <c r="BP48" s="449"/>
      <c r="BQ48" s="449"/>
      <c r="BR48" s="449"/>
      <c r="BS48" s="449"/>
      <c r="BT48" s="449"/>
      <c r="BU48" s="449"/>
      <c r="BV48" s="449"/>
      <c r="BW48" s="449"/>
      <c r="BX48" s="449"/>
      <c r="BY48" s="449"/>
      <c r="BZ48" s="449"/>
      <c r="CA48" s="449"/>
      <c r="CB48" s="449"/>
      <c r="CC48" s="449"/>
      <c r="CD48" s="449"/>
      <c r="CE48" s="449"/>
      <c r="CF48" s="449"/>
      <c r="CG48" s="449"/>
      <c r="CH48" s="449"/>
      <c r="CI48" s="449"/>
      <c r="CJ48" s="449"/>
      <c r="CK48" s="449"/>
      <c r="CL48" s="449"/>
      <c r="CM48" s="449"/>
      <c r="CN48" s="449"/>
      <c r="CO48" s="449"/>
      <c r="CP48" s="449"/>
      <c r="CQ48" s="449"/>
      <c r="CR48" s="449"/>
      <c r="CS48" s="449"/>
      <c r="CT48" s="449"/>
      <c r="CU48" s="449"/>
      <c r="CV48" s="449"/>
      <c r="CW48" s="449"/>
      <c r="CX48" s="449"/>
      <c r="CY48" s="449"/>
      <c r="CZ48" s="449"/>
      <c r="DA48" s="449"/>
      <c r="DB48" s="449"/>
      <c r="DC48" s="449"/>
      <c r="DD48" s="449"/>
      <c r="DE48" s="449"/>
      <c r="DF48" s="449"/>
      <c r="DG48" s="449"/>
      <c r="DH48" s="449"/>
      <c r="DI48" s="449"/>
      <c r="DJ48" s="449"/>
      <c r="DK48" s="449"/>
      <c r="DL48" s="449"/>
      <c r="DM48" s="449"/>
      <c r="DN48" s="449"/>
      <c r="DO48" s="449"/>
      <c r="DP48" s="449"/>
      <c r="DQ48" s="449"/>
      <c r="DR48" s="449"/>
      <c r="DS48" s="449"/>
      <c r="DT48" s="449"/>
      <c r="DU48" s="449"/>
      <c r="DV48" s="449"/>
      <c r="DW48" s="449"/>
      <c r="DX48" s="449"/>
      <c r="DY48" s="449"/>
      <c r="DZ48" s="449"/>
      <c r="EA48" s="449"/>
      <c r="EB48" s="449"/>
      <c r="EC48" s="449"/>
      <c r="ED48" s="449"/>
      <c r="EE48" s="449"/>
      <c r="EF48" s="449"/>
      <c r="EG48" s="449"/>
      <c r="EH48" s="449"/>
      <c r="EI48" s="449"/>
      <c r="EJ48" s="449"/>
      <c r="EK48" s="449"/>
      <c r="EL48" s="449"/>
      <c r="EM48" s="449"/>
      <c r="EN48" s="449"/>
      <c r="EO48" s="449"/>
      <c r="EP48" s="449"/>
      <c r="EQ48" s="449"/>
      <c r="ER48" s="449"/>
      <c r="ES48" s="449"/>
      <c r="ET48" s="449"/>
      <c r="EU48" s="449"/>
      <c r="EV48" s="449"/>
      <c r="EW48" s="449"/>
      <c r="EX48" s="449"/>
      <c r="EY48" s="449"/>
      <c r="EZ48" s="449"/>
      <c r="FA48" s="449"/>
      <c r="FB48" s="449"/>
      <c r="FC48" s="449"/>
      <c r="FD48" s="449"/>
      <c r="FE48" s="449"/>
      <c r="FF48" s="449"/>
      <c r="FG48" s="449"/>
      <c r="FH48" s="449"/>
      <c r="FI48" s="449"/>
      <c r="FJ48" s="449"/>
      <c r="FK48" s="449"/>
      <c r="FL48" s="449"/>
      <c r="FM48" s="449"/>
      <c r="FN48" s="449"/>
      <c r="FO48" s="449"/>
      <c r="FP48" s="449"/>
      <c r="FQ48" s="449"/>
      <c r="FR48" s="449"/>
      <c r="FS48" s="449"/>
      <c r="FT48" s="449"/>
      <c r="FU48" s="449"/>
      <c r="FV48" s="449"/>
      <c r="FW48" s="449"/>
      <c r="FX48" s="449"/>
      <c r="FY48" s="449"/>
      <c r="FZ48" s="449"/>
      <c r="GA48" s="449"/>
      <c r="GB48" s="449"/>
      <c r="GC48" s="449"/>
      <c r="GD48" s="449"/>
      <c r="GE48" s="449"/>
      <c r="GF48" s="449"/>
      <c r="GG48" s="449"/>
      <c r="GH48" s="449"/>
      <c r="GI48" s="449"/>
      <c r="GJ48" s="449"/>
      <c r="GK48" s="449"/>
      <c r="GL48" s="449"/>
      <c r="GM48" s="449"/>
      <c r="GN48" s="449"/>
      <c r="GO48" s="449"/>
      <c r="GP48" s="449"/>
      <c r="GQ48" s="449"/>
      <c r="GR48" s="449"/>
      <c r="GS48" s="449"/>
      <c r="GT48" s="449"/>
      <c r="GU48" s="449"/>
      <c r="GV48" s="449"/>
      <c r="GW48" s="449"/>
      <c r="GX48" s="449"/>
      <c r="GY48" s="449"/>
      <c r="GZ48" s="449"/>
      <c r="HA48" s="449"/>
      <c r="HB48" s="449"/>
      <c r="HC48" s="449"/>
      <c r="HD48" s="449"/>
      <c r="HE48" s="449"/>
      <c r="HF48" s="449"/>
      <c r="HG48" s="449"/>
      <c r="HH48" s="449"/>
      <c r="HI48" s="449"/>
      <c r="HJ48" s="449"/>
      <c r="HK48" s="449"/>
      <c r="HL48" s="449"/>
      <c r="HM48" s="449"/>
      <c r="HN48" s="449"/>
      <c r="HO48" s="449"/>
      <c r="HP48" s="449"/>
      <c r="HQ48" s="449"/>
      <c r="HR48" s="449"/>
      <c r="HS48" s="449"/>
      <c r="HT48" s="449"/>
      <c r="HU48" s="449"/>
      <c r="HV48" s="449"/>
      <c r="HW48" s="449"/>
      <c r="HX48" s="449"/>
      <c r="HY48" s="449"/>
      <c r="HZ48" s="449"/>
      <c r="IA48" s="449"/>
      <c r="IB48" s="449"/>
      <c r="IC48" s="449"/>
      <c r="ID48" s="449"/>
      <c r="IE48" s="449"/>
      <c r="IF48" s="449"/>
      <c r="IG48" s="449"/>
      <c r="IH48" s="449"/>
      <c r="II48" s="449"/>
      <c r="IJ48" s="449"/>
      <c r="IK48" s="449"/>
      <c r="IL48" s="449"/>
      <c r="IM48" s="449"/>
      <c r="IN48" s="449"/>
      <c r="IO48" s="449"/>
      <c r="IP48" s="449"/>
      <c r="IQ48" s="449"/>
      <c r="IR48" s="449"/>
      <c r="IS48" s="449"/>
      <c r="IT48" s="449"/>
      <c r="IU48" s="449"/>
      <c r="IV48" s="449"/>
    </row>
    <row r="49" spans="1:256" ht="12" customHeight="1" thickTop="1">
      <c r="A49" s="449"/>
      <c r="B49" s="449"/>
      <c r="C49" s="449"/>
      <c r="D49" s="701" t="s">
        <v>14</v>
      </c>
      <c r="E49" s="684"/>
      <c r="F49" s="701" t="s">
        <v>14</v>
      </c>
      <c r="G49" s="684"/>
      <c r="H49" s="701" t="s">
        <v>14</v>
      </c>
      <c r="I49" s="684"/>
      <c r="J49" s="683" t="s">
        <v>14</v>
      </c>
      <c r="K49" s="684"/>
      <c r="L49" s="701" t="s">
        <v>14</v>
      </c>
      <c r="M49" s="456"/>
      <c r="N49" s="449"/>
      <c r="O49" s="462"/>
      <c r="P49" s="462"/>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49"/>
      <c r="AN49" s="449"/>
      <c r="AO49" s="449"/>
      <c r="AP49" s="449"/>
      <c r="AQ49" s="449"/>
      <c r="AR49" s="449"/>
      <c r="AS49" s="449"/>
      <c r="AT49" s="449"/>
      <c r="AU49" s="449"/>
      <c r="AV49" s="449"/>
      <c r="AW49" s="449"/>
      <c r="AX49" s="449"/>
      <c r="AY49" s="449"/>
      <c r="AZ49" s="449"/>
      <c r="BA49" s="449"/>
      <c r="BB49" s="449"/>
      <c r="BC49" s="449"/>
      <c r="BD49" s="449"/>
      <c r="BE49" s="449"/>
      <c r="BF49" s="449"/>
      <c r="BG49" s="449"/>
      <c r="BH49" s="449"/>
      <c r="BI49" s="449"/>
      <c r="BJ49" s="449"/>
      <c r="BK49" s="449"/>
      <c r="BL49" s="449"/>
      <c r="BM49" s="449"/>
      <c r="BN49" s="449"/>
      <c r="BO49" s="449"/>
      <c r="BP49" s="449"/>
      <c r="BQ49" s="449"/>
      <c r="BR49" s="449"/>
      <c r="BS49" s="449"/>
      <c r="BT49" s="449"/>
      <c r="BU49" s="449"/>
      <c r="BV49" s="449"/>
      <c r="BW49" s="449"/>
      <c r="BX49" s="449"/>
      <c r="BY49" s="449"/>
      <c r="BZ49" s="449"/>
      <c r="CA49" s="449"/>
      <c r="CB49" s="449"/>
      <c r="CC49" s="449"/>
      <c r="CD49" s="449"/>
      <c r="CE49" s="449"/>
      <c r="CF49" s="449"/>
      <c r="CG49" s="449"/>
      <c r="CH49" s="449"/>
      <c r="CI49" s="449"/>
      <c r="CJ49" s="449"/>
      <c r="CK49" s="449"/>
      <c r="CL49" s="449"/>
      <c r="CM49" s="449"/>
      <c r="CN49" s="449"/>
      <c r="CO49" s="449"/>
      <c r="CP49" s="449"/>
      <c r="CQ49" s="449"/>
      <c r="CR49" s="449"/>
      <c r="CS49" s="449"/>
      <c r="CT49" s="449"/>
      <c r="CU49" s="449"/>
      <c r="CV49" s="449"/>
      <c r="CW49" s="449"/>
      <c r="CX49" s="449"/>
      <c r="CY49" s="449"/>
      <c r="CZ49" s="449"/>
      <c r="DA49" s="449"/>
      <c r="DB49" s="449"/>
      <c r="DC49" s="449"/>
      <c r="DD49" s="449"/>
      <c r="DE49" s="449"/>
      <c r="DF49" s="449"/>
      <c r="DG49" s="449"/>
      <c r="DH49" s="449"/>
      <c r="DI49" s="449"/>
      <c r="DJ49" s="449"/>
      <c r="DK49" s="449"/>
      <c r="DL49" s="449"/>
      <c r="DM49" s="449"/>
      <c r="DN49" s="449"/>
      <c r="DO49" s="449"/>
      <c r="DP49" s="449"/>
      <c r="DQ49" s="449"/>
      <c r="DR49" s="449"/>
      <c r="DS49" s="449"/>
      <c r="DT49" s="449"/>
      <c r="DU49" s="449"/>
      <c r="DV49" s="449"/>
      <c r="DW49" s="449"/>
      <c r="DX49" s="449"/>
      <c r="DY49" s="449"/>
      <c r="DZ49" s="449"/>
      <c r="EA49" s="449"/>
      <c r="EB49" s="449"/>
      <c r="EC49" s="449"/>
      <c r="ED49" s="449"/>
      <c r="EE49" s="449"/>
      <c r="EF49" s="449"/>
      <c r="EG49" s="449"/>
      <c r="EH49" s="449"/>
      <c r="EI49" s="449"/>
      <c r="EJ49" s="449"/>
      <c r="EK49" s="449"/>
      <c r="EL49" s="449"/>
      <c r="EM49" s="449"/>
      <c r="EN49" s="449"/>
      <c r="EO49" s="449"/>
      <c r="EP49" s="449"/>
      <c r="EQ49" s="449"/>
      <c r="ER49" s="449"/>
      <c r="ES49" s="449"/>
      <c r="ET49" s="449"/>
      <c r="EU49" s="449"/>
      <c r="EV49" s="449"/>
      <c r="EW49" s="449"/>
      <c r="EX49" s="449"/>
      <c r="EY49" s="449"/>
      <c r="EZ49" s="449"/>
      <c r="FA49" s="449"/>
      <c r="FB49" s="449"/>
      <c r="FC49" s="449"/>
      <c r="FD49" s="449"/>
      <c r="FE49" s="449"/>
      <c r="FF49" s="449"/>
      <c r="FG49" s="449"/>
      <c r="FH49" s="449"/>
      <c r="FI49" s="449"/>
      <c r="FJ49" s="449"/>
      <c r="FK49" s="449"/>
      <c r="FL49" s="449"/>
      <c r="FM49" s="449"/>
      <c r="FN49" s="449"/>
      <c r="FO49" s="449"/>
      <c r="FP49" s="449"/>
      <c r="FQ49" s="449"/>
      <c r="FR49" s="449"/>
      <c r="FS49" s="449"/>
      <c r="FT49" s="449"/>
      <c r="FU49" s="449"/>
      <c r="FV49" s="449"/>
      <c r="FW49" s="449"/>
      <c r="FX49" s="449"/>
      <c r="FY49" s="449"/>
      <c r="FZ49" s="449"/>
      <c r="GA49" s="449"/>
      <c r="GB49" s="449"/>
      <c r="GC49" s="449"/>
      <c r="GD49" s="449"/>
      <c r="GE49" s="449"/>
      <c r="GF49" s="449"/>
      <c r="GG49" s="449"/>
      <c r="GH49" s="449"/>
      <c r="GI49" s="449"/>
      <c r="GJ49" s="449"/>
      <c r="GK49" s="449"/>
      <c r="GL49" s="449"/>
      <c r="GM49" s="449"/>
      <c r="GN49" s="449"/>
      <c r="GO49" s="449"/>
      <c r="GP49" s="449"/>
      <c r="GQ49" s="449"/>
      <c r="GR49" s="449"/>
      <c r="GS49" s="449"/>
      <c r="GT49" s="449"/>
      <c r="GU49" s="449"/>
      <c r="GV49" s="449"/>
      <c r="GW49" s="449"/>
      <c r="GX49" s="449"/>
      <c r="GY49" s="449"/>
      <c r="GZ49" s="449"/>
      <c r="HA49" s="449"/>
      <c r="HB49" s="449"/>
      <c r="HC49" s="449"/>
      <c r="HD49" s="449"/>
      <c r="HE49" s="449"/>
      <c r="HF49" s="449"/>
      <c r="HG49" s="449"/>
      <c r="HH49" s="449"/>
      <c r="HI49" s="449"/>
      <c r="HJ49" s="449"/>
      <c r="HK49" s="449"/>
      <c r="HL49" s="449"/>
      <c r="HM49" s="449"/>
      <c r="HN49" s="449"/>
      <c r="HO49" s="449"/>
      <c r="HP49" s="449"/>
      <c r="HQ49" s="449"/>
      <c r="HR49" s="449"/>
      <c r="HS49" s="449"/>
      <c r="HT49" s="449"/>
      <c r="HU49" s="449"/>
      <c r="HV49" s="449"/>
      <c r="HW49" s="449"/>
      <c r="HX49" s="449"/>
      <c r="HY49" s="449"/>
      <c r="HZ49" s="449"/>
      <c r="IA49" s="449"/>
      <c r="IB49" s="449"/>
      <c r="IC49" s="449"/>
      <c r="ID49" s="449"/>
      <c r="IE49" s="449"/>
      <c r="IF49" s="449"/>
      <c r="IG49" s="449"/>
      <c r="IH49" s="449"/>
      <c r="II49" s="449"/>
      <c r="IJ49" s="449"/>
      <c r="IK49" s="449"/>
      <c r="IL49" s="449"/>
      <c r="IM49" s="449"/>
      <c r="IN49" s="449"/>
      <c r="IO49" s="449"/>
      <c r="IP49" s="449"/>
      <c r="IQ49" s="449"/>
      <c r="IR49" s="449"/>
      <c r="IS49" s="449"/>
      <c r="IT49" s="449"/>
      <c r="IU49" s="449"/>
      <c r="IV49" s="449"/>
    </row>
    <row r="50" spans="1:256" ht="15.75" customHeight="1">
      <c r="A50" s="702"/>
      <c r="B50" s="449"/>
      <c r="C50" s="449"/>
      <c r="D50" s="449"/>
      <c r="E50" s="449"/>
      <c r="F50" s="449"/>
      <c r="G50" s="449"/>
      <c r="H50" s="449"/>
      <c r="I50" s="449"/>
      <c r="J50" s="449" t="s">
        <v>14</v>
      </c>
      <c r="K50" s="449"/>
      <c r="L50" s="449"/>
      <c r="M50" s="449"/>
      <c r="N50" s="449"/>
      <c r="O50" s="462"/>
      <c r="P50" s="462"/>
      <c r="Q50" s="449"/>
      <c r="R50" s="449"/>
      <c r="S50" s="449"/>
      <c r="T50" s="449"/>
      <c r="U50" s="449"/>
      <c r="V50" s="449"/>
      <c r="W50" s="449"/>
      <c r="X50" s="449"/>
      <c r="Y50" s="449"/>
      <c r="Z50" s="449"/>
      <c r="AA50" s="449"/>
      <c r="AB50" s="449"/>
      <c r="AC50" s="449"/>
      <c r="AD50" s="449"/>
      <c r="AE50" s="449"/>
      <c r="AF50" s="449"/>
      <c r="AG50" s="449"/>
      <c r="AH50" s="449"/>
      <c r="AI50" s="449"/>
      <c r="AJ50" s="449"/>
      <c r="AK50" s="449"/>
      <c r="AL50" s="449"/>
      <c r="AM50" s="449"/>
      <c r="AN50" s="449"/>
      <c r="AO50" s="449"/>
      <c r="AP50" s="449"/>
      <c r="AQ50" s="449"/>
      <c r="AR50" s="449"/>
      <c r="AS50" s="449"/>
      <c r="AT50" s="449"/>
      <c r="AU50" s="449"/>
      <c r="AV50" s="449"/>
      <c r="AW50" s="449"/>
      <c r="AX50" s="449"/>
      <c r="AY50" s="449"/>
      <c r="AZ50" s="449"/>
      <c r="BA50" s="449"/>
      <c r="BB50" s="449"/>
      <c r="BC50" s="449"/>
      <c r="BD50" s="449"/>
      <c r="BE50" s="449"/>
      <c r="BF50" s="449"/>
      <c r="BG50" s="449"/>
      <c r="BH50" s="449"/>
      <c r="BI50" s="449"/>
      <c r="BJ50" s="449"/>
      <c r="BK50" s="449"/>
      <c r="BL50" s="449"/>
      <c r="BM50" s="449"/>
      <c r="BN50" s="449"/>
      <c r="BO50" s="449"/>
      <c r="BP50" s="449"/>
      <c r="BQ50" s="449"/>
      <c r="BR50" s="449"/>
      <c r="BS50" s="449"/>
      <c r="BT50" s="449"/>
      <c r="BU50" s="449"/>
      <c r="BV50" s="449"/>
      <c r="BW50" s="449"/>
      <c r="BX50" s="449"/>
      <c r="BY50" s="449"/>
      <c r="BZ50" s="449"/>
      <c r="CA50" s="449"/>
      <c r="CB50" s="449"/>
      <c r="CC50" s="449"/>
      <c r="CD50" s="449"/>
      <c r="CE50" s="449"/>
      <c r="CF50" s="449"/>
      <c r="CG50" s="449"/>
      <c r="CH50" s="449"/>
      <c r="CI50" s="449"/>
      <c r="CJ50" s="449"/>
      <c r="CK50" s="449"/>
      <c r="CL50" s="449"/>
      <c r="CM50" s="449"/>
      <c r="CN50" s="449"/>
      <c r="CO50" s="449"/>
      <c r="CP50" s="449"/>
      <c r="CQ50" s="449"/>
      <c r="CR50" s="449"/>
      <c r="CS50" s="449"/>
      <c r="CT50" s="449"/>
      <c r="CU50" s="449"/>
      <c r="CV50" s="449"/>
      <c r="CW50" s="449"/>
      <c r="CX50" s="449"/>
      <c r="CY50" s="449"/>
      <c r="CZ50" s="449"/>
      <c r="DA50" s="449"/>
      <c r="DB50" s="449"/>
      <c r="DC50" s="449"/>
      <c r="DD50" s="449"/>
      <c r="DE50" s="449"/>
      <c r="DF50" s="449"/>
      <c r="DG50" s="449"/>
      <c r="DH50" s="449"/>
      <c r="DI50" s="449"/>
      <c r="DJ50" s="449"/>
      <c r="DK50" s="449"/>
      <c r="DL50" s="449"/>
      <c r="DM50" s="449"/>
      <c r="DN50" s="449"/>
      <c r="DO50" s="449"/>
      <c r="DP50" s="449"/>
      <c r="DQ50" s="449"/>
      <c r="DR50" s="449"/>
      <c r="DS50" s="449"/>
      <c r="DT50" s="449"/>
      <c r="DU50" s="449"/>
      <c r="DV50" s="449"/>
      <c r="DW50" s="449"/>
      <c r="DX50" s="449"/>
      <c r="DY50" s="449"/>
      <c r="DZ50" s="449"/>
      <c r="EA50" s="449"/>
      <c r="EB50" s="449"/>
      <c r="EC50" s="449"/>
      <c r="ED50" s="449"/>
      <c r="EE50" s="449"/>
      <c r="EF50" s="449"/>
      <c r="EG50" s="449"/>
      <c r="EH50" s="449"/>
      <c r="EI50" s="449"/>
      <c r="EJ50" s="449"/>
      <c r="EK50" s="449"/>
      <c r="EL50" s="449"/>
      <c r="EM50" s="449"/>
      <c r="EN50" s="449"/>
      <c r="EO50" s="449"/>
      <c r="EP50" s="449"/>
      <c r="EQ50" s="449"/>
      <c r="ER50" s="449"/>
      <c r="ES50" s="449"/>
      <c r="ET50" s="449"/>
      <c r="EU50" s="449"/>
      <c r="EV50" s="449"/>
      <c r="EW50" s="449"/>
      <c r="EX50" s="449"/>
      <c r="EY50" s="449"/>
      <c r="EZ50" s="449"/>
      <c r="FA50" s="449"/>
      <c r="FB50" s="449"/>
      <c r="FC50" s="449"/>
      <c r="FD50" s="449"/>
      <c r="FE50" s="449"/>
      <c r="FF50" s="449"/>
      <c r="FG50" s="449"/>
      <c r="FH50" s="449"/>
      <c r="FI50" s="449"/>
      <c r="FJ50" s="449"/>
      <c r="FK50" s="449"/>
      <c r="FL50" s="449"/>
      <c r="FM50" s="449"/>
      <c r="FN50" s="449"/>
      <c r="FO50" s="449"/>
      <c r="FP50" s="449"/>
      <c r="FQ50" s="449"/>
      <c r="FR50" s="449"/>
      <c r="FS50" s="449"/>
      <c r="FT50" s="449"/>
      <c r="FU50" s="449"/>
      <c r="FV50" s="449"/>
      <c r="FW50" s="449"/>
      <c r="FX50" s="449"/>
      <c r="FY50" s="449"/>
      <c r="FZ50" s="449"/>
      <c r="GA50" s="449"/>
      <c r="GB50" s="449"/>
      <c r="GC50" s="449"/>
      <c r="GD50" s="449"/>
      <c r="GE50" s="449"/>
      <c r="GF50" s="449"/>
      <c r="GG50" s="449"/>
      <c r="GH50" s="449"/>
      <c r="GI50" s="449"/>
      <c r="GJ50" s="449"/>
      <c r="GK50" s="449"/>
      <c r="GL50" s="449"/>
      <c r="GM50" s="449"/>
      <c r="GN50" s="449"/>
      <c r="GO50" s="449"/>
      <c r="GP50" s="449"/>
      <c r="GQ50" s="449"/>
      <c r="GR50" s="449"/>
      <c r="GS50" s="449"/>
      <c r="GT50" s="449"/>
      <c r="GU50" s="449"/>
      <c r="GV50" s="449"/>
      <c r="GW50" s="449"/>
      <c r="GX50" s="449"/>
      <c r="GY50" s="449"/>
      <c r="GZ50" s="449"/>
      <c r="HA50" s="449"/>
      <c r="HB50" s="449"/>
      <c r="HC50" s="449"/>
      <c r="HD50" s="449"/>
      <c r="HE50" s="449"/>
      <c r="HF50" s="449"/>
      <c r="HG50" s="449"/>
      <c r="HH50" s="449"/>
      <c r="HI50" s="449"/>
      <c r="HJ50" s="449"/>
      <c r="HK50" s="449"/>
      <c r="HL50" s="449"/>
      <c r="HM50" s="449"/>
      <c r="HN50" s="449"/>
      <c r="HO50" s="449"/>
      <c r="HP50" s="449"/>
      <c r="HQ50" s="449"/>
      <c r="HR50" s="449"/>
      <c r="HS50" s="449"/>
      <c r="HT50" s="449"/>
      <c r="HU50" s="449"/>
      <c r="HV50" s="449"/>
      <c r="HW50" s="449"/>
      <c r="HX50" s="449"/>
      <c r="HY50" s="449"/>
      <c r="HZ50" s="449"/>
      <c r="IA50" s="449"/>
      <c r="IB50" s="449"/>
      <c r="IC50" s="449"/>
      <c r="ID50" s="449"/>
      <c r="IE50" s="449"/>
      <c r="IF50" s="449"/>
      <c r="IG50" s="449"/>
      <c r="IH50" s="449"/>
      <c r="II50" s="449"/>
      <c r="IJ50" s="449"/>
      <c r="IK50" s="449"/>
      <c r="IL50" s="449"/>
      <c r="IM50" s="449"/>
      <c r="IN50" s="449"/>
      <c r="IO50" s="449"/>
      <c r="IP50" s="449"/>
      <c r="IQ50" s="449"/>
      <c r="IR50" s="449"/>
      <c r="IS50" s="449"/>
      <c r="IT50" s="449"/>
      <c r="IU50" s="449"/>
      <c r="IV50" s="449"/>
    </row>
    <row r="51" spans="1:256" ht="18">
      <c r="A51" s="449"/>
      <c r="B51" s="449"/>
      <c r="C51" s="449"/>
      <c r="D51" s="460"/>
      <c r="E51" s="449"/>
      <c r="F51" s="1679" t="s">
        <v>14</v>
      </c>
      <c r="G51" s="449"/>
      <c r="H51" s="449"/>
      <c r="I51" s="449"/>
      <c r="J51" s="449" t="s">
        <v>14</v>
      </c>
      <c r="K51" s="449"/>
      <c r="L51" s="463"/>
      <c r="M51" s="449"/>
      <c r="N51" s="449"/>
      <c r="O51" s="462"/>
      <c r="P51" s="462"/>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49"/>
      <c r="AN51" s="449"/>
      <c r="AO51" s="449"/>
      <c r="AP51" s="449"/>
      <c r="AQ51" s="449"/>
      <c r="AR51" s="449"/>
      <c r="AS51" s="449"/>
      <c r="AT51" s="449"/>
      <c r="AU51" s="449"/>
      <c r="AV51" s="449"/>
      <c r="AW51" s="449"/>
      <c r="AX51" s="449"/>
      <c r="AY51" s="449"/>
      <c r="AZ51" s="449"/>
      <c r="BA51" s="449"/>
      <c r="BB51" s="449"/>
      <c r="BC51" s="449"/>
      <c r="BD51" s="449"/>
      <c r="BE51" s="449"/>
      <c r="BF51" s="449"/>
      <c r="BG51" s="449"/>
      <c r="BH51" s="449"/>
      <c r="BI51" s="449"/>
      <c r="BJ51" s="449"/>
      <c r="BK51" s="449"/>
      <c r="BL51" s="449"/>
      <c r="BM51" s="449"/>
      <c r="BN51" s="449"/>
      <c r="BO51" s="449"/>
      <c r="BP51" s="449"/>
      <c r="BQ51" s="449"/>
      <c r="BR51" s="449"/>
      <c r="BS51" s="449"/>
      <c r="BT51" s="449"/>
      <c r="BU51" s="449"/>
      <c r="BV51" s="449"/>
      <c r="BW51" s="449"/>
      <c r="BX51" s="449"/>
      <c r="BY51" s="449"/>
      <c r="BZ51" s="449"/>
      <c r="CA51" s="449"/>
      <c r="CB51" s="449"/>
      <c r="CC51" s="449"/>
      <c r="CD51" s="449"/>
      <c r="CE51" s="449"/>
      <c r="CF51" s="449"/>
      <c r="CG51" s="449"/>
      <c r="CH51" s="449"/>
      <c r="CI51" s="449"/>
      <c r="CJ51" s="449"/>
      <c r="CK51" s="449"/>
      <c r="CL51" s="449"/>
      <c r="CM51" s="449"/>
      <c r="CN51" s="449"/>
      <c r="CO51" s="449"/>
      <c r="CP51" s="449"/>
      <c r="CQ51" s="449"/>
      <c r="CR51" s="449"/>
      <c r="CS51" s="449"/>
      <c r="CT51" s="449"/>
      <c r="CU51" s="449"/>
      <c r="CV51" s="449"/>
      <c r="CW51" s="449"/>
      <c r="CX51" s="449"/>
      <c r="CY51" s="449"/>
      <c r="CZ51" s="449"/>
      <c r="DA51" s="449"/>
      <c r="DB51" s="449"/>
      <c r="DC51" s="449"/>
      <c r="DD51" s="449"/>
      <c r="DE51" s="449"/>
      <c r="DF51" s="449"/>
      <c r="DG51" s="449"/>
      <c r="DH51" s="449"/>
      <c r="DI51" s="449"/>
      <c r="DJ51" s="449"/>
      <c r="DK51" s="449"/>
      <c r="DL51" s="449"/>
      <c r="DM51" s="449"/>
      <c r="DN51" s="449"/>
      <c r="DO51" s="449"/>
      <c r="DP51" s="449"/>
      <c r="DQ51" s="449"/>
      <c r="DR51" s="449"/>
      <c r="DS51" s="449"/>
      <c r="DT51" s="449"/>
      <c r="DU51" s="449"/>
      <c r="DV51" s="449"/>
      <c r="DW51" s="449"/>
      <c r="DX51" s="449"/>
      <c r="DY51" s="449"/>
      <c r="DZ51" s="449"/>
      <c r="EA51" s="449"/>
      <c r="EB51" s="449"/>
      <c r="EC51" s="449"/>
      <c r="ED51" s="449"/>
      <c r="EE51" s="449"/>
      <c r="EF51" s="449"/>
      <c r="EG51" s="449"/>
      <c r="EH51" s="449"/>
      <c r="EI51" s="449"/>
      <c r="EJ51" s="449"/>
      <c r="EK51" s="449"/>
      <c r="EL51" s="449"/>
      <c r="EM51" s="449"/>
      <c r="EN51" s="449"/>
      <c r="EO51" s="449"/>
      <c r="EP51" s="449"/>
      <c r="EQ51" s="449"/>
      <c r="ER51" s="449"/>
      <c r="ES51" s="449"/>
      <c r="ET51" s="449"/>
      <c r="EU51" s="449"/>
      <c r="EV51" s="449"/>
      <c r="EW51" s="449"/>
      <c r="EX51" s="449"/>
      <c r="EY51" s="449"/>
      <c r="EZ51" s="449"/>
      <c r="FA51" s="449"/>
      <c r="FB51" s="449"/>
      <c r="FC51" s="449"/>
      <c r="FD51" s="449"/>
      <c r="FE51" s="449"/>
      <c r="FF51" s="449"/>
      <c r="FG51" s="449"/>
      <c r="FH51" s="449"/>
      <c r="FI51" s="449"/>
      <c r="FJ51" s="449"/>
      <c r="FK51" s="449"/>
      <c r="FL51" s="449"/>
      <c r="FM51" s="449"/>
      <c r="FN51" s="449"/>
      <c r="FO51" s="449"/>
      <c r="FP51" s="449"/>
      <c r="FQ51" s="449"/>
      <c r="FR51" s="449"/>
      <c r="FS51" s="449"/>
      <c r="FT51" s="449"/>
      <c r="FU51" s="449"/>
      <c r="FV51" s="449"/>
      <c r="FW51" s="449"/>
      <c r="FX51" s="449"/>
      <c r="FY51" s="449"/>
      <c r="FZ51" s="449"/>
      <c r="GA51" s="449"/>
      <c r="GB51" s="449"/>
      <c r="GC51" s="449"/>
      <c r="GD51" s="449"/>
      <c r="GE51" s="449"/>
      <c r="GF51" s="449"/>
      <c r="GG51" s="449"/>
      <c r="GH51" s="449"/>
      <c r="GI51" s="449"/>
      <c r="GJ51" s="449"/>
      <c r="GK51" s="449"/>
      <c r="GL51" s="449"/>
      <c r="GM51" s="449"/>
      <c r="GN51" s="449"/>
      <c r="GO51" s="449"/>
      <c r="GP51" s="449"/>
      <c r="GQ51" s="449"/>
      <c r="GR51" s="449"/>
      <c r="GS51" s="449"/>
      <c r="GT51" s="449"/>
      <c r="GU51" s="449"/>
      <c r="GV51" s="449"/>
      <c r="GW51" s="449"/>
      <c r="GX51" s="449"/>
      <c r="GY51" s="449"/>
      <c r="GZ51" s="449"/>
      <c r="HA51" s="449"/>
      <c r="HB51" s="449"/>
      <c r="HC51" s="449"/>
      <c r="HD51" s="449"/>
      <c r="HE51" s="449"/>
      <c r="HF51" s="449"/>
      <c r="HG51" s="449"/>
      <c r="HH51" s="449"/>
      <c r="HI51" s="449"/>
      <c r="HJ51" s="449"/>
      <c r="HK51" s="449"/>
      <c r="HL51" s="449"/>
      <c r="HM51" s="449"/>
      <c r="HN51" s="449"/>
      <c r="HO51" s="449"/>
      <c r="HP51" s="449"/>
      <c r="HQ51" s="449"/>
      <c r="HR51" s="449"/>
      <c r="HS51" s="449"/>
      <c r="HT51" s="449"/>
      <c r="HU51" s="449"/>
      <c r="HV51" s="449"/>
      <c r="HW51" s="449"/>
      <c r="HX51" s="449"/>
      <c r="HY51" s="449"/>
      <c r="HZ51" s="449"/>
      <c r="IA51" s="449"/>
      <c r="IB51" s="449"/>
      <c r="IC51" s="449"/>
      <c r="ID51" s="449"/>
      <c r="IE51" s="449"/>
      <c r="IF51" s="449"/>
      <c r="IG51" s="449"/>
      <c r="IH51" s="449"/>
      <c r="II51" s="449"/>
      <c r="IJ51" s="449"/>
      <c r="IK51" s="449"/>
      <c r="IL51" s="449"/>
      <c r="IM51" s="449"/>
      <c r="IN51" s="449"/>
      <c r="IO51" s="449"/>
      <c r="IP51" s="449"/>
      <c r="IQ51" s="449"/>
      <c r="IR51" s="449"/>
      <c r="IS51" s="449"/>
      <c r="IT51" s="449"/>
      <c r="IU51" s="449"/>
      <c r="IV51" s="449"/>
    </row>
    <row r="52" spans="1:256" ht="18">
      <c r="A52" s="460"/>
      <c r="B52" s="449"/>
      <c r="C52" s="449"/>
      <c r="D52" s="449"/>
      <c r="E52" s="449"/>
      <c r="F52" s="449"/>
      <c r="G52" s="449"/>
      <c r="H52" s="449"/>
      <c r="I52" s="449"/>
      <c r="J52" s="449" t="s">
        <v>14</v>
      </c>
      <c r="K52" s="449"/>
      <c r="L52" s="449"/>
      <c r="M52" s="449"/>
      <c r="N52" s="449"/>
      <c r="O52" s="462"/>
      <c r="P52" s="462"/>
      <c r="Q52" s="449"/>
      <c r="R52" s="449"/>
      <c r="S52" s="449"/>
      <c r="T52" s="449"/>
      <c r="U52" s="449"/>
      <c r="V52" s="449"/>
      <c r="W52" s="449"/>
      <c r="X52" s="449"/>
      <c r="Y52" s="449"/>
      <c r="Z52" s="449"/>
      <c r="AA52" s="449"/>
      <c r="AB52" s="449"/>
      <c r="AC52" s="449"/>
      <c r="AD52" s="449"/>
      <c r="AE52" s="449"/>
      <c r="AF52" s="449"/>
      <c r="AG52" s="449"/>
      <c r="AH52" s="449"/>
      <c r="AI52" s="449"/>
      <c r="AJ52" s="449"/>
      <c r="AK52" s="449"/>
      <c r="AL52" s="449"/>
      <c r="AM52" s="449"/>
      <c r="AN52" s="449"/>
      <c r="AO52" s="449"/>
      <c r="AP52" s="449"/>
      <c r="AQ52" s="449"/>
      <c r="AR52" s="449"/>
      <c r="AS52" s="449"/>
      <c r="AT52" s="449"/>
      <c r="AU52" s="449"/>
      <c r="AV52" s="449"/>
      <c r="AW52" s="449"/>
      <c r="AX52" s="449"/>
      <c r="AY52" s="449"/>
      <c r="AZ52" s="449"/>
      <c r="BA52" s="449"/>
      <c r="BB52" s="449"/>
      <c r="BC52" s="449"/>
      <c r="BD52" s="449"/>
      <c r="BE52" s="449"/>
      <c r="BF52" s="449"/>
      <c r="BG52" s="449"/>
      <c r="BH52" s="449"/>
      <c r="BI52" s="449"/>
      <c r="BJ52" s="449"/>
      <c r="BK52" s="449"/>
      <c r="BL52" s="449"/>
      <c r="BM52" s="449"/>
      <c r="BN52" s="449"/>
      <c r="BO52" s="449"/>
      <c r="BP52" s="449"/>
      <c r="BQ52" s="449"/>
      <c r="BR52" s="449"/>
      <c r="BS52" s="449"/>
      <c r="BT52" s="449"/>
      <c r="BU52" s="449"/>
      <c r="BV52" s="449"/>
      <c r="BW52" s="449"/>
      <c r="BX52" s="449"/>
      <c r="BY52" s="449"/>
      <c r="BZ52" s="449"/>
      <c r="CA52" s="449"/>
      <c r="CB52" s="449"/>
      <c r="CC52" s="449"/>
      <c r="CD52" s="449"/>
      <c r="CE52" s="449"/>
      <c r="CF52" s="449"/>
      <c r="CG52" s="449"/>
      <c r="CH52" s="449"/>
      <c r="CI52" s="449"/>
      <c r="CJ52" s="449"/>
      <c r="CK52" s="449"/>
      <c r="CL52" s="449"/>
      <c r="CM52" s="449"/>
      <c r="CN52" s="449"/>
      <c r="CO52" s="449"/>
      <c r="CP52" s="449"/>
      <c r="CQ52" s="449"/>
      <c r="CR52" s="449"/>
      <c r="CS52" s="449"/>
      <c r="CT52" s="449"/>
      <c r="CU52" s="449"/>
      <c r="CV52" s="449"/>
      <c r="CW52" s="449"/>
      <c r="CX52" s="449"/>
      <c r="CY52" s="449"/>
      <c r="CZ52" s="449"/>
      <c r="DA52" s="449"/>
      <c r="DB52" s="449"/>
      <c r="DC52" s="449"/>
      <c r="DD52" s="449"/>
      <c r="DE52" s="449"/>
      <c r="DF52" s="449"/>
      <c r="DG52" s="449"/>
      <c r="DH52" s="449"/>
      <c r="DI52" s="449"/>
      <c r="DJ52" s="449"/>
      <c r="DK52" s="449"/>
      <c r="DL52" s="449"/>
      <c r="DM52" s="449"/>
      <c r="DN52" s="449"/>
      <c r="DO52" s="449"/>
      <c r="DP52" s="449"/>
      <c r="DQ52" s="449"/>
      <c r="DR52" s="449"/>
      <c r="DS52" s="449"/>
      <c r="DT52" s="449"/>
      <c r="DU52" s="449"/>
      <c r="DV52" s="449"/>
      <c r="DW52" s="449"/>
      <c r="DX52" s="449"/>
      <c r="DY52" s="449"/>
      <c r="DZ52" s="449"/>
      <c r="EA52" s="449"/>
      <c r="EB52" s="449"/>
      <c r="EC52" s="449"/>
      <c r="ED52" s="449"/>
      <c r="EE52" s="449"/>
      <c r="EF52" s="449"/>
      <c r="EG52" s="449"/>
      <c r="EH52" s="449"/>
      <c r="EI52" s="449"/>
      <c r="EJ52" s="449"/>
      <c r="EK52" s="449"/>
      <c r="EL52" s="449"/>
      <c r="EM52" s="449"/>
      <c r="EN52" s="449"/>
      <c r="EO52" s="449"/>
      <c r="EP52" s="449"/>
      <c r="EQ52" s="449"/>
      <c r="ER52" s="449"/>
      <c r="ES52" s="449"/>
      <c r="ET52" s="449"/>
      <c r="EU52" s="449"/>
      <c r="EV52" s="449"/>
      <c r="EW52" s="449"/>
      <c r="EX52" s="449"/>
      <c r="EY52" s="449"/>
      <c r="EZ52" s="449"/>
      <c r="FA52" s="449"/>
      <c r="FB52" s="449"/>
      <c r="FC52" s="449"/>
      <c r="FD52" s="449"/>
      <c r="FE52" s="449"/>
      <c r="FF52" s="449"/>
      <c r="FG52" s="449"/>
      <c r="FH52" s="449"/>
      <c r="FI52" s="449"/>
      <c r="FJ52" s="449"/>
      <c r="FK52" s="449"/>
      <c r="FL52" s="449"/>
      <c r="FM52" s="449"/>
      <c r="FN52" s="449"/>
      <c r="FO52" s="449"/>
      <c r="FP52" s="449"/>
      <c r="FQ52" s="449"/>
      <c r="FR52" s="449"/>
      <c r="FS52" s="449"/>
      <c r="FT52" s="449"/>
      <c r="FU52" s="449"/>
      <c r="FV52" s="449"/>
      <c r="FW52" s="449"/>
      <c r="FX52" s="449"/>
      <c r="FY52" s="449"/>
      <c r="FZ52" s="449"/>
      <c r="GA52" s="449"/>
      <c r="GB52" s="449"/>
      <c r="GC52" s="449"/>
      <c r="GD52" s="449"/>
      <c r="GE52" s="449"/>
      <c r="GF52" s="449"/>
      <c r="GG52" s="449"/>
      <c r="GH52" s="449"/>
      <c r="GI52" s="449"/>
      <c r="GJ52" s="449"/>
      <c r="GK52" s="449"/>
      <c r="GL52" s="449"/>
      <c r="GM52" s="449"/>
      <c r="GN52" s="449"/>
      <c r="GO52" s="449"/>
      <c r="GP52" s="449"/>
      <c r="GQ52" s="449"/>
      <c r="GR52" s="449"/>
      <c r="GS52" s="449"/>
      <c r="GT52" s="449"/>
      <c r="GU52" s="449"/>
      <c r="GV52" s="449"/>
      <c r="GW52" s="449"/>
      <c r="GX52" s="449"/>
      <c r="GY52" s="449"/>
      <c r="GZ52" s="449"/>
      <c r="HA52" s="449"/>
      <c r="HB52" s="449"/>
      <c r="HC52" s="449"/>
      <c r="HD52" s="449"/>
      <c r="HE52" s="449"/>
      <c r="HF52" s="449"/>
      <c r="HG52" s="449"/>
      <c r="HH52" s="449"/>
      <c r="HI52" s="449"/>
      <c r="HJ52" s="449"/>
      <c r="HK52" s="449"/>
      <c r="HL52" s="449"/>
      <c r="HM52" s="449"/>
      <c r="HN52" s="449"/>
      <c r="HO52" s="449"/>
      <c r="HP52" s="449"/>
      <c r="HQ52" s="449"/>
      <c r="HR52" s="449"/>
      <c r="HS52" s="449"/>
      <c r="HT52" s="449"/>
      <c r="HU52" s="449"/>
      <c r="HV52" s="449"/>
      <c r="HW52" s="449"/>
      <c r="HX52" s="449"/>
      <c r="HY52" s="449"/>
      <c r="HZ52" s="449"/>
      <c r="IA52" s="449"/>
      <c r="IB52" s="449"/>
      <c r="IC52" s="449"/>
      <c r="ID52" s="449"/>
      <c r="IE52" s="449"/>
      <c r="IF52" s="449"/>
      <c r="IG52" s="449"/>
      <c r="IH52" s="449"/>
      <c r="II52" s="449"/>
      <c r="IJ52" s="449"/>
      <c r="IK52" s="449"/>
      <c r="IL52" s="449"/>
      <c r="IM52" s="449"/>
      <c r="IN52" s="449"/>
      <c r="IO52" s="449"/>
      <c r="IP52" s="449"/>
      <c r="IQ52" s="449"/>
      <c r="IR52" s="449"/>
      <c r="IS52" s="449"/>
      <c r="IT52" s="449"/>
      <c r="IU52" s="449"/>
      <c r="IV52" s="449"/>
    </row>
    <row r="53" spans="1:256" ht="18">
      <c r="A53" s="460"/>
      <c r="B53" s="449"/>
      <c r="C53" s="449"/>
      <c r="D53" s="449"/>
      <c r="E53" s="449"/>
      <c r="F53" s="449"/>
      <c r="G53" s="449"/>
      <c r="H53" s="449"/>
      <c r="I53" s="449"/>
      <c r="J53" s="449"/>
      <c r="K53" s="449"/>
      <c r="L53" s="449"/>
      <c r="M53" s="449"/>
      <c r="N53" s="449"/>
      <c r="O53" s="462"/>
      <c r="P53" s="462"/>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49"/>
      <c r="AN53" s="449"/>
      <c r="AO53" s="449"/>
      <c r="AP53" s="449"/>
      <c r="AQ53" s="449"/>
      <c r="AR53" s="449"/>
      <c r="AS53" s="449"/>
      <c r="AT53" s="449"/>
      <c r="AU53" s="449"/>
      <c r="AV53" s="449"/>
      <c r="AW53" s="449"/>
      <c r="AX53" s="449"/>
      <c r="AY53" s="449"/>
      <c r="AZ53" s="449"/>
      <c r="BA53" s="449"/>
      <c r="BB53" s="449"/>
      <c r="BC53" s="449"/>
      <c r="BD53" s="449"/>
      <c r="BE53" s="449"/>
      <c r="BF53" s="449"/>
      <c r="BG53" s="449"/>
      <c r="BH53" s="449"/>
      <c r="BI53" s="449"/>
      <c r="BJ53" s="449"/>
      <c r="BK53" s="449"/>
      <c r="BL53" s="449"/>
      <c r="BM53" s="449"/>
      <c r="BN53" s="449"/>
      <c r="BO53" s="449"/>
      <c r="BP53" s="449"/>
      <c r="BQ53" s="449"/>
      <c r="BR53" s="449"/>
      <c r="BS53" s="449"/>
      <c r="BT53" s="449"/>
      <c r="BU53" s="449"/>
      <c r="BV53" s="449"/>
      <c r="BW53" s="449"/>
      <c r="BX53" s="449"/>
      <c r="BY53" s="449"/>
      <c r="BZ53" s="449"/>
      <c r="CA53" s="449"/>
      <c r="CB53" s="449"/>
      <c r="CC53" s="449"/>
      <c r="CD53" s="449"/>
      <c r="CE53" s="449"/>
      <c r="CF53" s="449"/>
      <c r="CG53" s="449"/>
      <c r="CH53" s="449"/>
      <c r="CI53" s="449"/>
      <c r="CJ53" s="449"/>
      <c r="CK53" s="449"/>
      <c r="CL53" s="449"/>
      <c r="CM53" s="449"/>
      <c r="CN53" s="449"/>
      <c r="CO53" s="449"/>
      <c r="CP53" s="449"/>
      <c r="CQ53" s="449"/>
      <c r="CR53" s="449"/>
      <c r="CS53" s="449"/>
      <c r="CT53" s="449"/>
      <c r="CU53" s="449"/>
      <c r="CV53" s="449"/>
      <c r="CW53" s="449"/>
      <c r="CX53" s="449"/>
      <c r="CY53" s="449"/>
      <c r="CZ53" s="449"/>
      <c r="DA53" s="449"/>
      <c r="DB53" s="449"/>
      <c r="DC53" s="449"/>
      <c r="DD53" s="449"/>
      <c r="DE53" s="449"/>
      <c r="DF53" s="449"/>
      <c r="DG53" s="449"/>
      <c r="DH53" s="449"/>
      <c r="DI53" s="449"/>
      <c r="DJ53" s="449"/>
      <c r="DK53" s="449"/>
      <c r="DL53" s="449"/>
      <c r="DM53" s="449"/>
      <c r="DN53" s="449"/>
      <c r="DO53" s="449"/>
      <c r="DP53" s="449"/>
      <c r="DQ53" s="449"/>
      <c r="DR53" s="449"/>
      <c r="DS53" s="449"/>
      <c r="DT53" s="449"/>
      <c r="DU53" s="449"/>
      <c r="DV53" s="449"/>
      <c r="DW53" s="449"/>
      <c r="DX53" s="449"/>
      <c r="DY53" s="449"/>
      <c r="DZ53" s="449"/>
      <c r="EA53" s="449"/>
      <c r="EB53" s="449"/>
      <c r="EC53" s="449"/>
      <c r="ED53" s="449"/>
      <c r="EE53" s="449"/>
      <c r="EF53" s="449"/>
      <c r="EG53" s="449"/>
      <c r="EH53" s="449"/>
      <c r="EI53" s="449"/>
      <c r="EJ53" s="449"/>
      <c r="EK53" s="449"/>
      <c r="EL53" s="449"/>
      <c r="EM53" s="449"/>
      <c r="EN53" s="449"/>
      <c r="EO53" s="449"/>
      <c r="EP53" s="449"/>
      <c r="EQ53" s="449"/>
      <c r="ER53" s="449"/>
      <c r="ES53" s="449"/>
      <c r="ET53" s="449"/>
      <c r="EU53" s="449"/>
      <c r="EV53" s="449"/>
      <c r="EW53" s="449"/>
      <c r="EX53" s="449"/>
      <c r="EY53" s="449"/>
      <c r="EZ53" s="449"/>
      <c r="FA53" s="449"/>
      <c r="FB53" s="449"/>
      <c r="FC53" s="449"/>
      <c r="FD53" s="449"/>
      <c r="FE53" s="449"/>
      <c r="FF53" s="449"/>
      <c r="FG53" s="449"/>
      <c r="FH53" s="449"/>
      <c r="FI53" s="449"/>
      <c r="FJ53" s="449"/>
      <c r="FK53" s="449"/>
      <c r="FL53" s="449"/>
      <c r="FM53" s="449"/>
      <c r="FN53" s="449"/>
      <c r="FO53" s="449"/>
      <c r="FP53" s="449"/>
      <c r="FQ53" s="449"/>
      <c r="FR53" s="449"/>
      <c r="FS53" s="449"/>
      <c r="FT53" s="449"/>
      <c r="FU53" s="449"/>
      <c r="FV53" s="449"/>
      <c r="FW53" s="449"/>
      <c r="FX53" s="449"/>
      <c r="FY53" s="449"/>
      <c r="FZ53" s="449"/>
      <c r="GA53" s="449"/>
      <c r="GB53" s="449"/>
      <c r="GC53" s="449"/>
      <c r="GD53" s="449"/>
      <c r="GE53" s="449"/>
      <c r="GF53" s="449"/>
      <c r="GG53" s="449"/>
      <c r="GH53" s="449"/>
      <c r="GI53" s="449"/>
      <c r="GJ53" s="449"/>
      <c r="GK53" s="449"/>
      <c r="GL53" s="449"/>
      <c r="GM53" s="449"/>
      <c r="GN53" s="449"/>
      <c r="GO53" s="449"/>
      <c r="GP53" s="449"/>
      <c r="GQ53" s="449"/>
      <c r="GR53" s="449"/>
      <c r="GS53" s="449"/>
      <c r="GT53" s="449"/>
      <c r="GU53" s="449"/>
      <c r="GV53" s="449"/>
      <c r="GW53" s="449"/>
      <c r="GX53" s="449"/>
      <c r="GY53" s="449"/>
      <c r="GZ53" s="449"/>
      <c r="HA53" s="449"/>
      <c r="HB53" s="449"/>
      <c r="HC53" s="449"/>
      <c r="HD53" s="449"/>
      <c r="HE53" s="449"/>
      <c r="HF53" s="449"/>
      <c r="HG53" s="449"/>
      <c r="HH53" s="449"/>
      <c r="HI53" s="449"/>
      <c r="HJ53" s="449"/>
      <c r="HK53" s="449"/>
      <c r="HL53" s="449"/>
      <c r="HM53" s="449"/>
      <c r="HN53" s="449"/>
      <c r="HO53" s="449"/>
      <c r="HP53" s="449"/>
      <c r="HQ53" s="449"/>
      <c r="HR53" s="449"/>
      <c r="HS53" s="449"/>
      <c r="HT53" s="449"/>
      <c r="HU53" s="449"/>
      <c r="HV53" s="449"/>
      <c r="HW53" s="449"/>
      <c r="HX53" s="449"/>
      <c r="HY53" s="449"/>
      <c r="HZ53" s="449"/>
      <c r="IA53" s="449"/>
      <c r="IB53" s="449"/>
      <c r="IC53" s="449"/>
      <c r="ID53" s="449"/>
      <c r="IE53" s="449"/>
      <c r="IF53" s="449"/>
      <c r="IG53" s="449"/>
      <c r="IH53" s="449"/>
      <c r="II53" s="449"/>
      <c r="IJ53" s="449"/>
      <c r="IK53" s="449"/>
      <c r="IL53" s="449"/>
      <c r="IM53" s="449"/>
      <c r="IN53" s="449"/>
      <c r="IO53" s="449"/>
      <c r="IP53" s="449"/>
      <c r="IQ53" s="449"/>
      <c r="IR53" s="449"/>
      <c r="IS53" s="449"/>
      <c r="IT53" s="449"/>
      <c r="IU53" s="449"/>
      <c r="IV53" s="449"/>
    </row>
    <row r="54" spans="1:256" ht="18">
      <c r="A54" s="460"/>
      <c r="B54" s="449"/>
      <c r="C54" s="449"/>
      <c r="D54" s="449"/>
      <c r="E54" s="449"/>
      <c r="F54" s="449"/>
      <c r="G54" s="449"/>
      <c r="H54" s="449"/>
      <c r="I54" s="449"/>
      <c r="J54" s="449"/>
      <c r="K54" s="449"/>
      <c r="L54" s="449"/>
      <c r="M54" s="449"/>
      <c r="N54" s="449"/>
      <c r="O54" s="462"/>
      <c r="P54" s="462"/>
      <c r="Q54" s="449"/>
      <c r="R54" s="449"/>
      <c r="S54" s="449"/>
      <c r="T54" s="449"/>
      <c r="U54" s="449"/>
      <c r="V54" s="449"/>
      <c r="W54" s="449"/>
      <c r="X54" s="449"/>
      <c r="Y54" s="449"/>
      <c r="Z54" s="449"/>
      <c r="AA54" s="449"/>
      <c r="AB54" s="449"/>
      <c r="AC54" s="449"/>
      <c r="AD54" s="449"/>
      <c r="AE54" s="449"/>
      <c r="AF54" s="449"/>
      <c r="AG54" s="449"/>
      <c r="AH54" s="449"/>
      <c r="AI54" s="449"/>
      <c r="AJ54" s="449"/>
      <c r="AK54" s="449"/>
      <c r="AL54" s="449"/>
      <c r="AM54" s="449"/>
      <c r="AN54" s="449"/>
      <c r="AO54" s="449"/>
      <c r="AP54" s="449"/>
      <c r="AQ54" s="449"/>
      <c r="AR54" s="449"/>
      <c r="AS54" s="449"/>
      <c r="AT54" s="449"/>
      <c r="AU54" s="449"/>
      <c r="AV54" s="449"/>
      <c r="AW54" s="449"/>
      <c r="AX54" s="449"/>
      <c r="AY54" s="449"/>
      <c r="AZ54" s="449"/>
      <c r="BA54" s="449"/>
      <c r="BB54" s="449"/>
      <c r="BC54" s="449"/>
      <c r="BD54" s="449"/>
      <c r="BE54" s="449"/>
      <c r="BF54" s="449"/>
      <c r="BG54" s="449"/>
      <c r="BH54" s="449"/>
      <c r="BI54" s="449"/>
      <c r="BJ54" s="449"/>
      <c r="BK54" s="449"/>
      <c r="BL54" s="449"/>
      <c r="BM54" s="449"/>
      <c r="BN54" s="449"/>
      <c r="BO54" s="449"/>
      <c r="BP54" s="449"/>
      <c r="BQ54" s="449"/>
      <c r="BR54" s="449"/>
      <c r="BS54" s="449"/>
      <c r="BT54" s="449"/>
      <c r="BU54" s="449"/>
      <c r="BV54" s="449"/>
      <c r="BW54" s="449"/>
      <c r="BX54" s="449"/>
      <c r="BY54" s="449"/>
      <c r="BZ54" s="449"/>
      <c r="CA54" s="449"/>
      <c r="CB54" s="449"/>
      <c r="CC54" s="449"/>
      <c r="CD54" s="449"/>
      <c r="CE54" s="449"/>
      <c r="CF54" s="449"/>
      <c r="CG54" s="449"/>
      <c r="CH54" s="449"/>
      <c r="CI54" s="449"/>
      <c r="CJ54" s="449"/>
      <c r="CK54" s="449"/>
      <c r="CL54" s="449"/>
      <c r="CM54" s="449"/>
      <c r="CN54" s="449"/>
      <c r="CO54" s="449"/>
      <c r="CP54" s="449"/>
      <c r="CQ54" s="449"/>
      <c r="CR54" s="449"/>
      <c r="CS54" s="449"/>
      <c r="CT54" s="449"/>
      <c r="CU54" s="449"/>
      <c r="CV54" s="449"/>
      <c r="CW54" s="449"/>
      <c r="CX54" s="449"/>
      <c r="CY54" s="449"/>
      <c r="CZ54" s="449"/>
      <c r="DA54" s="449"/>
      <c r="DB54" s="449"/>
      <c r="DC54" s="449"/>
      <c r="DD54" s="449"/>
      <c r="DE54" s="449"/>
      <c r="DF54" s="449"/>
      <c r="DG54" s="449"/>
      <c r="DH54" s="449"/>
      <c r="DI54" s="449"/>
      <c r="DJ54" s="449"/>
      <c r="DK54" s="449"/>
      <c r="DL54" s="449"/>
      <c r="DM54" s="449"/>
      <c r="DN54" s="449"/>
      <c r="DO54" s="449"/>
      <c r="DP54" s="449"/>
      <c r="DQ54" s="449"/>
      <c r="DR54" s="449"/>
      <c r="DS54" s="449"/>
      <c r="DT54" s="449"/>
      <c r="DU54" s="449"/>
      <c r="DV54" s="449"/>
      <c r="DW54" s="449"/>
      <c r="DX54" s="449"/>
      <c r="DY54" s="449"/>
      <c r="DZ54" s="449"/>
      <c r="EA54" s="449"/>
      <c r="EB54" s="449"/>
      <c r="EC54" s="449"/>
      <c r="ED54" s="449"/>
      <c r="EE54" s="449"/>
      <c r="EF54" s="449"/>
      <c r="EG54" s="449"/>
      <c r="EH54" s="449"/>
      <c r="EI54" s="449"/>
      <c r="EJ54" s="449"/>
      <c r="EK54" s="449"/>
      <c r="EL54" s="449"/>
      <c r="EM54" s="449"/>
      <c r="EN54" s="449"/>
      <c r="EO54" s="449"/>
      <c r="EP54" s="449"/>
      <c r="EQ54" s="449"/>
      <c r="ER54" s="449"/>
      <c r="ES54" s="449"/>
      <c r="ET54" s="449"/>
      <c r="EU54" s="449"/>
      <c r="EV54" s="449"/>
      <c r="EW54" s="449"/>
      <c r="EX54" s="449"/>
      <c r="EY54" s="449"/>
      <c r="EZ54" s="449"/>
      <c r="FA54" s="449"/>
      <c r="FB54" s="449"/>
      <c r="FC54" s="449"/>
      <c r="FD54" s="449"/>
      <c r="FE54" s="449"/>
      <c r="FF54" s="449"/>
      <c r="FG54" s="449"/>
      <c r="FH54" s="449"/>
      <c r="FI54" s="449"/>
      <c r="FJ54" s="449"/>
      <c r="FK54" s="449"/>
      <c r="FL54" s="449"/>
      <c r="FM54" s="449"/>
      <c r="FN54" s="449"/>
      <c r="FO54" s="449"/>
      <c r="FP54" s="449"/>
      <c r="FQ54" s="449"/>
      <c r="FR54" s="449"/>
      <c r="FS54" s="449"/>
      <c r="FT54" s="449"/>
      <c r="FU54" s="449"/>
      <c r="FV54" s="449"/>
      <c r="FW54" s="449"/>
      <c r="FX54" s="449"/>
      <c r="FY54" s="449"/>
      <c r="FZ54" s="449"/>
      <c r="GA54" s="449"/>
      <c r="GB54" s="449"/>
      <c r="GC54" s="449"/>
      <c r="GD54" s="449"/>
      <c r="GE54" s="449"/>
      <c r="GF54" s="449"/>
      <c r="GG54" s="449"/>
      <c r="GH54" s="449"/>
      <c r="GI54" s="449"/>
      <c r="GJ54" s="449"/>
      <c r="GK54" s="449"/>
      <c r="GL54" s="449"/>
      <c r="GM54" s="449"/>
      <c r="GN54" s="449"/>
      <c r="GO54" s="449"/>
      <c r="GP54" s="449"/>
      <c r="GQ54" s="449"/>
      <c r="GR54" s="449"/>
      <c r="GS54" s="449"/>
      <c r="GT54" s="449"/>
      <c r="GU54" s="449"/>
      <c r="GV54" s="449"/>
      <c r="GW54" s="449"/>
      <c r="GX54" s="449"/>
      <c r="GY54" s="449"/>
      <c r="GZ54" s="449"/>
      <c r="HA54" s="449"/>
      <c r="HB54" s="449"/>
      <c r="HC54" s="449"/>
      <c r="HD54" s="449"/>
      <c r="HE54" s="449"/>
      <c r="HF54" s="449"/>
      <c r="HG54" s="449"/>
      <c r="HH54" s="449"/>
      <c r="HI54" s="449"/>
      <c r="HJ54" s="449"/>
      <c r="HK54" s="449"/>
      <c r="HL54" s="449"/>
      <c r="HM54" s="449"/>
      <c r="HN54" s="449"/>
      <c r="HO54" s="449"/>
      <c r="HP54" s="449"/>
      <c r="HQ54" s="449"/>
      <c r="HR54" s="449"/>
      <c r="HS54" s="449"/>
      <c r="HT54" s="449"/>
      <c r="HU54" s="449"/>
      <c r="HV54" s="449"/>
      <c r="HW54" s="449"/>
      <c r="HX54" s="449"/>
      <c r="HY54" s="449"/>
      <c r="HZ54" s="449"/>
      <c r="IA54" s="449"/>
      <c r="IB54" s="449"/>
      <c r="IC54" s="449"/>
      <c r="ID54" s="449"/>
      <c r="IE54" s="449"/>
      <c r="IF54" s="449"/>
      <c r="IG54" s="449"/>
      <c r="IH54" s="449"/>
      <c r="II54" s="449"/>
      <c r="IJ54" s="449"/>
      <c r="IK54" s="449"/>
      <c r="IL54" s="449"/>
      <c r="IM54" s="449"/>
      <c r="IN54" s="449"/>
      <c r="IO54" s="449"/>
      <c r="IP54" s="449"/>
      <c r="IQ54" s="449"/>
      <c r="IR54" s="449"/>
      <c r="IS54" s="449"/>
      <c r="IT54" s="449"/>
      <c r="IU54" s="449"/>
      <c r="IV54" s="449"/>
    </row>
    <row r="55" spans="1:256" ht="18">
      <c r="A55" s="460"/>
      <c r="B55" s="449"/>
      <c r="C55" s="449"/>
      <c r="D55" s="449"/>
      <c r="E55" s="449"/>
      <c r="F55" s="449"/>
      <c r="G55" s="449"/>
      <c r="H55" s="449"/>
      <c r="I55" s="449"/>
      <c r="J55" s="449"/>
      <c r="K55" s="449"/>
      <c r="L55" s="449"/>
      <c r="M55" s="449"/>
      <c r="N55" s="449"/>
      <c r="O55" s="462"/>
      <c r="P55" s="462"/>
      <c r="Q55" s="449"/>
      <c r="R55" s="449"/>
      <c r="S55" s="449"/>
      <c r="T55" s="449"/>
      <c r="U55" s="449"/>
      <c r="V55" s="449"/>
      <c r="W55" s="449"/>
      <c r="X55" s="449"/>
      <c r="Y55" s="449"/>
      <c r="Z55" s="449"/>
      <c r="AA55" s="449"/>
      <c r="AB55" s="449"/>
      <c r="AC55" s="449"/>
      <c r="AD55" s="449"/>
      <c r="AE55" s="449"/>
      <c r="AF55" s="449"/>
      <c r="AG55" s="449"/>
      <c r="AH55" s="449"/>
      <c r="AI55" s="449"/>
      <c r="AJ55" s="449"/>
      <c r="AK55" s="449"/>
      <c r="AL55" s="449"/>
      <c r="AM55" s="449"/>
      <c r="AN55" s="449"/>
      <c r="AO55" s="449"/>
      <c r="AP55" s="449"/>
      <c r="AQ55" s="449"/>
      <c r="AR55" s="449"/>
      <c r="AS55" s="449"/>
      <c r="AT55" s="449"/>
      <c r="AU55" s="449"/>
      <c r="AV55" s="449"/>
      <c r="AW55" s="449"/>
      <c r="AX55" s="449"/>
      <c r="AY55" s="449"/>
      <c r="AZ55" s="449"/>
      <c r="BA55" s="449"/>
      <c r="BB55" s="449"/>
      <c r="BC55" s="449"/>
      <c r="BD55" s="449"/>
      <c r="BE55" s="449"/>
      <c r="BF55" s="449"/>
      <c r="BG55" s="449"/>
      <c r="BH55" s="449"/>
      <c r="BI55" s="449"/>
      <c r="BJ55" s="449"/>
      <c r="BK55" s="449"/>
      <c r="BL55" s="449"/>
      <c r="BM55" s="449"/>
      <c r="BN55" s="449"/>
      <c r="BO55" s="449"/>
      <c r="BP55" s="449"/>
      <c r="BQ55" s="449"/>
      <c r="BR55" s="449"/>
      <c r="BS55" s="449"/>
      <c r="BT55" s="449"/>
      <c r="BU55" s="449"/>
      <c r="BV55" s="449"/>
      <c r="BW55" s="449"/>
      <c r="BX55" s="449"/>
      <c r="BY55" s="449"/>
      <c r="BZ55" s="449"/>
      <c r="CA55" s="449"/>
      <c r="CB55" s="449"/>
      <c r="CC55" s="449"/>
      <c r="CD55" s="449"/>
      <c r="CE55" s="449"/>
      <c r="CF55" s="449"/>
      <c r="CG55" s="449"/>
      <c r="CH55" s="449"/>
      <c r="CI55" s="449"/>
      <c r="CJ55" s="449"/>
      <c r="CK55" s="449"/>
      <c r="CL55" s="449"/>
      <c r="CM55" s="449"/>
      <c r="CN55" s="449"/>
      <c r="CO55" s="449"/>
      <c r="CP55" s="449"/>
      <c r="CQ55" s="449"/>
      <c r="CR55" s="449"/>
      <c r="CS55" s="449"/>
      <c r="CT55" s="449"/>
      <c r="CU55" s="449"/>
      <c r="CV55" s="449"/>
      <c r="CW55" s="449"/>
      <c r="CX55" s="449"/>
      <c r="CY55" s="449"/>
      <c r="CZ55" s="449"/>
      <c r="DA55" s="449"/>
      <c r="DB55" s="449"/>
      <c r="DC55" s="449"/>
      <c r="DD55" s="449"/>
      <c r="DE55" s="449"/>
      <c r="DF55" s="449"/>
      <c r="DG55" s="449"/>
      <c r="DH55" s="449"/>
      <c r="DI55" s="449"/>
      <c r="DJ55" s="449"/>
      <c r="DK55" s="449"/>
      <c r="DL55" s="449"/>
      <c r="DM55" s="449"/>
      <c r="DN55" s="449"/>
      <c r="DO55" s="449"/>
      <c r="DP55" s="449"/>
      <c r="DQ55" s="449"/>
      <c r="DR55" s="449"/>
      <c r="DS55" s="449"/>
      <c r="DT55" s="449"/>
      <c r="DU55" s="449"/>
      <c r="DV55" s="449"/>
      <c r="DW55" s="449"/>
      <c r="DX55" s="449"/>
      <c r="DY55" s="449"/>
      <c r="DZ55" s="449"/>
      <c r="EA55" s="449"/>
      <c r="EB55" s="449"/>
      <c r="EC55" s="449"/>
      <c r="ED55" s="449"/>
      <c r="EE55" s="449"/>
      <c r="EF55" s="449"/>
      <c r="EG55" s="449"/>
      <c r="EH55" s="449"/>
      <c r="EI55" s="449"/>
      <c r="EJ55" s="449"/>
      <c r="EK55" s="449"/>
      <c r="EL55" s="449"/>
      <c r="EM55" s="449"/>
      <c r="EN55" s="449"/>
      <c r="EO55" s="449"/>
      <c r="EP55" s="449"/>
      <c r="EQ55" s="449"/>
      <c r="ER55" s="449"/>
      <c r="ES55" s="449"/>
      <c r="ET55" s="449"/>
      <c r="EU55" s="449"/>
      <c r="EV55" s="449"/>
      <c r="EW55" s="449"/>
      <c r="EX55" s="449"/>
      <c r="EY55" s="449"/>
      <c r="EZ55" s="449"/>
      <c r="FA55" s="449"/>
      <c r="FB55" s="449"/>
      <c r="FC55" s="449"/>
      <c r="FD55" s="449"/>
      <c r="FE55" s="449"/>
      <c r="FF55" s="449"/>
      <c r="FG55" s="449"/>
      <c r="FH55" s="449"/>
      <c r="FI55" s="449"/>
      <c r="FJ55" s="449"/>
      <c r="FK55" s="449"/>
      <c r="FL55" s="449"/>
      <c r="FM55" s="449"/>
      <c r="FN55" s="449"/>
      <c r="FO55" s="449"/>
      <c r="FP55" s="449"/>
      <c r="FQ55" s="449"/>
      <c r="FR55" s="449"/>
      <c r="FS55" s="449"/>
      <c r="FT55" s="449"/>
      <c r="FU55" s="449"/>
      <c r="FV55" s="449"/>
      <c r="FW55" s="449"/>
      <c r="FX55" s="449"/>
      <c r="FY55" s="449"/>
      <c r="FZ55" s="449"/>
      <c r="GA55" s="449"/>
      <c r="GB55" s="449"/>
      <c r="GC55" s="449"/>
      <c r="GD55" s="449"/>
      <c r="GE55" s="449"/>
      <c r="GF55" s="449"/>
      <c r="GG55" s="449"/>
      <c r="GH55" s="449"/>
      <c r="GI55" s="449"/>
      <c r="GJ55" s="449"/>
      <c r="GK55" s="449"/>
      <c r="GL55" s="449"/>
      <c r="GM55" s="449"/>
      <c r="GN55" s="449"/>
      <c r="GO55" s="449"/>
      <c r="GP55" s="449"/>
      <c r="GQ55" s="449"/>
      <c r="GR55" s="449"/>
      <c r="GS55" s="449"/>
      <c r="GT55" s="449"/>
      <c r="GU55" s="449"/>
      <c r="GV55" s="449"/>
      <c r="GW55" s="449"/>
      <c r="GX55" s="449"/>
      <c r="GY55" s="449"/>
      <c r="GZ55" s="449"/>
      <c r="HA55" s="449"/>
      <c r="HB55" s="449"/>
      <c r="HC55" s="449"/>
      <c r="HD55" s="449"/>
      <c r="HE55" s="449"/>
      <c r="HF55" s="449"/>
      <c r="HG55" s="449"/>
      <c r="HH55" s="449"/>
      <c r="HI55" s="449"/>
      <c r="HJ55" s="449"/>
      <c r="HK55" s="449"/>
      <c r="HL55" s="449"/>
      <c r="HM55" s="449"/>
      <c r="HN55" s="449"/>
      <c r="HO55" s="449"/>
      <c r="HP55" s="449"/>
      <c r="HQ55" s="449"/>
      <c r="HR55" s="449"/>
      <c r="HS55" s="449"/>
      <c r="HT55" s="449"/>
      <c r="HU55" s="449"/>
      <c r="HV55" s="449"/>
      <c r="HW55" s="449"/>
      <c r="HX55" s="449"/>
      <c r="HY55" s="449"/>
      <c r="HZ55" s="449"/>
      <c r="IA55" s="449"/>
      <c r="IB55" s="449"/>
      <c r="IC55" s="449"/>
      <c r="ID55" s="449"/>
      <c r="IE55" s="449"/>
      <c r="IF55" s="449"/>
      <c r="IG55" s="449"/>
      <c r="IH55" s="449"/>
      <c r="II55" s="449"/>
      <c r="IJ55" s="449"/>
      <c r="IK55" s="449"/>
      <c r="IL55" s="449"/>
      <c r="IM55" s="449"/>
      <c r="IN55" s="449"/>
      <c r="IO55" s="449"/>
      <c r="IP55" s="449"/>
      <c r="IQ55" s="449"/>
      <c r="IR55" s="449"/>
      <c r="IS55" s="449"/>
      <c r="IT55" s="449"/>
      <c r="IU55" s="449"/>
      <c r="IV55" s="449"/>
    </row>
    <row r="56" spans="1:256" ht="18">
      <c r="A56" s="460"/>
      <c r="B56" s="449"/>
      <c r="C56" s="449"/>
      <c r="D56" s="449"/>
      <c r="E56" s="449"/>
      <c r="F56" s="449"/>
      <c r="G56" s="449"/>
      <c r="H56" s="449"/>
      <c r="I56" s="449"/>
      <c r="J56" s="449"/>
      <c r="K56" s="449"/>
      <c r="L56" s="449"/>
      <c r="M56" s="449"/>
      <c r="N56" s="449"/>
      <c r="O56" s="462"/>
      <c r="P56" s="462"/>
      <c r="Q56" s="449"/>
      <c r="R56" s="449"/>
      <c r="S56" s="449"/>
      <c r="T56" s="449"/>
      <c r="U56" s="449"/>
      <c r="V56" s="449"/>
      <c r="W56" s="449"/>
      <c r="X56" s="449"/>
      <c r="Y56" s="449"/>
      <c r="Z56" s="449"/>
      <c r="AA56" s="449"/>
      <c r="AB56" s="449"/>
      <c r="AC56" s="449"/>
      <c r="AD56" s="449"/>
      <c r="AE56" s="449"/>
      <c r="AF56" s="449"/>
      <c r="AG56" s="449"/>
      <c r="AH56" s="449"/>
      <c r="AI56" s="449"/>
      <c r="AJ56" s="449"/>
      <c r="AK56" s="449"/>
      <c r="AL56" s="449"/>
      <c r="AM56" s="449"/>
      <c r="AN56" s="449"/>
      <c r="AO56" s="449"/>
      <c r="AP56" s="449"/>
      <c r="AQ56" s="449"/>
      <c r="AR56" s="449"/>
      <c r="AS56" s="449"/>
      <c r="AT56" s="449"/>
      <c r="AU56" s="449"/>
      <c r="AV56" s="449"/>
      <c r="AW56" s="449"/>
      <c r="AX56" s="449"/>
      <c r="AY56" s="449"/>
      <c r="AZ56" s="449"/>
      <c r="BA56" s="449"/>
      <c r="BB56" s="449"/>
      <c r="BC56" s="449"/>
      <c r="BD56" s="449"/>
      <c r="BE56" s="449"/>
      <c r="BF56" s="449"/>
      <c r="BG56" s="449"/>
      <c r="BH56" s="449"/>
      <c r="BI56" s="449"/>
      <c r="BJ56" s="449"/>
      <c r="BK56" s="449"/>
      <c r="BL56" s="449"/>
      <c r="BM56" s="449"/>
      <c r="BN56" s="449"/>
      <c r="BO56" s="449"/>
      <c r="BP56" s="449"/>
      <c r="BQ56" s="449"/>
      <c r="BR56" s="449"/>
      <c r="BS56" s="449"/>
      <c r="BT56" s="449"/>
      <c r="BU56" s="449"/>
      <c r="BV56" s="449"/>
      <c r="BW56" s="449"/>
      <c r="BX56" s="449"/>
      <c r="BY56" s="449"/>
      <c r="BZ56" s="449"/>
      <c r="CA56" s="449"/>
      <c r="CB56" s="449"/>
      <c r="CC56" s="449"/>
      <c r="CD56" s="449"/>
      <c r="CE56" s="449"/>
      <c r="CF56" s="449"/>
      <c r="CG56" s="449"/>
      <c r="CH56" s="449"/>
      <c r="CI56" s="449"/>
      <c r="CJ56" s="449"/>
      <c r="CK56" s="449"/>
      <c r="CL56" s="449"/>
      <c r="CM56" s="449"/>
      <c r="CN56" s="449"/>
      <c r="CO56" s="449"/>
      <c r="CP56" s="449"/>
      <c r="CQ56" s="449"/>
      <c r="CR56" s="449"/>
      <c r="CS56" s="449"/>
      <c r="CT56" s="449"/>
      <c r="CU56" s="449"/>
      <c r="CV56" s="449"/>
      <c r="CW56" s="449"/>
      <c r="CX56" s="449"/>
      <c r="CY56" s="449"/>
      <c r="CZ56" s="449"/>
      <c r="DA56" s="449"/>
      <c r="DB56" s="449"/>
      <c r="DC56" s="449"/>
      <c r="DD56" s="449"/>
      <c r="DE56" s="449"/>
      <c r="DF56" s="449"/>
      <c r="DG56" s="449"/>
      <c r="DH56" s="449"/>
      <c r="DI56" s="449"/>
      <c r="DJ56" s="449"/>
      <c r="DK56" s="449"/>
      <c r="DL56" s="449"/>
      <c r="DM56" s="449"/>
      <c r="DN56" s="449"/>
      <c r="DO56" s="449"/>
      <c r="DP56" s="449"/>
      <c r="DQ56" s="449"/>
      <c r="DR56" s="449"/>
      <c r="DS56" s="449"/>
      <c r="DT56" s="449"/>
      <c r="DU56" s="449"/>
      <c r="DV56" s="449"/>
      <c r="DW56" s="449"/>
      <c r="DX56" s="449"/>
      <c r="DY56" s="449"/>
      <c r="DZ56" s="449"/>
      <c r="EA56" s="449"/>
      <c r="EB56" s="449"/>
      <c r="EC56" s="449"/>
      <c r="ED56" s="449"/>
      <c r="EE56" s="449"/>
      <c r="EF56" s="449"/>
      <c r="EG56" s="449"/>
      <c r="EH56" s="449"/>
      <c r="EI56" s="449"/>
      <c r="EJ56" s="449"/>
      <c r="EK56" s="449"/>
      <c r="EL56" s="449"/>
      <c r="EM56" s="449"/>
      <c r="EN56" s="449"/>
      <c r="EO56" s="449"/>
      <c r="EP56" s="449"/>
      <c r="EQ56" s="449"/>
      <c r="ER56" s="449"/>
      <c r="ES56" s="449"/>
      <c r="ET56" s="449"/>
      <c r="EU56" s="449"/>
      <c r="EV56" s="449"/>
      <c r="EW56" s="449"/>
      <c r="EX56" s="449"/>
      <c r="EY56" s="449"/>
      <c r="EZ56" s="449"/>
      <c r="FA56" s="449"/>
      <c r="FB56" s="449"/>
      <c r="FC56" s="449"/>
      <c r="FD56" s="449"/>
      <c r="FE56" s="449"/>
      <c r="FF56" s="449"/>
      <c r="FG56" s="449"/>
      <c r="FH56" s="449"/>
      <c r="FI56" s="449"/>
      <c r="FJ56" s="449"/>
      <c r="FK56" s="449"/>
      <c r="FL56" s="449"/>
      <c r="FM56" s="449"/>
      <c r="FN56" s="449"/>
      <c r="FO56" s="449"/>
      <c r="FP56" s="449"/>
      <c r="FQ56" s="449"/>
      <c r="FR56" s="449"/>
      <c r="FS56" s="449"/>
      <c r="FT56" s="449"/>
      <c r="FU56" s="449"/>
      <c r="FV56" s="449"/>
      <c r="FW56" s="449"/>
      <c r="FX56" s="449"/>
      <c r="FY56" s="449"/>
      <c r="FZ56" s="449"/>
      <c r="GA56" s="449"/>
      <c r="GB56" s="449"/>
      <c r="GC56" s="449"/>
      <c r="GD56" s="449"/>
      <c r="GE56" s="449"/>
      <c r="GF56" s="449"/>
      <c r="GG56" s="449"/>
      <c r="GH56" s="449"/>
      <c r="GI56" s="449"/>
      <c r="GJ56" s="449"/>
      <c r="GK56" s="449"/>
      <c r="GL56" s="449"/>
      <c r="GM56" s="449"/>
      <c r="GN56" s="449"/>
      <c r="GO56" s="449"/>
      <c r="GP56" s="449"/>
      <c r="GQ56" s="449"/>
      <c r="GR56" s="449"/>
      <c r="GS56" s="449"/>
      <c r="GT56" s="449"/>
      <c r="GU56" s="449"/>
      <c r="GV56" s="449"/>
      <c r="GW56" s="449"/>
      <c r="GX56" s="449"/>
      <c r="GY56" s="449"/>
      <c r="GZ56" s="449"/>
      <c r="HA56" s="449"/>
      <c r="HB56" s="449"/>
      <c r="HC56" s="449"/>
      <c r="HD56" s="449"/>
      <c r="HE56" s="449"/>
      <c r="HF56" s="449"/>
      <c r="HG56" s="449"/>
      <c r="HH56" s="449"/>
      <c r="HI56" s="449"/>
      <c r="HJ56" s="449"/>
      <c r="HK56" s="449"/>
      <c r="HL56" s="449"/>
      <c r="HM56" s="449"/>
      <c r="HN56" s="449"/>
      <c r="HO56" s="449"/>
      <c r="HP56" s="449"/>
      <c r="HQ56" s="449"/>
      <c r="HR56" s="449"/>
      <c r="HS56" s="449"/>
      <c r="HT56" s="449"/>
      <c r="HU56" s="449"/>
      <c r="HV56" s="449"/>
      <c r="HW56" s="449"/>
      <c r="HX56" s="449"/>
      <c r="HY56" s="449"/>
      <c r="HZ56" s="449"/>
      <c r="IA56" s="449"/>
      <c r="IB56" s="449"/>
      <c r="IC56" s="449"/>
      <c r="ID56" s="449"/>
      <c r="IE56" s="449"/>
      <c r="IF56" s="449"/>
      <c r="IG56" s="449"/>
      <c r="IH56" s="449"/>
      <c r="II56" s="449"/>
      <c r="IJ56" s="449"/>
      <c r="IK56" s="449"/>
      <c r="IL56" s="449"/>
      <c r="IM56" s="449"/>
      <c r="IN56" s="449"/>
      <c r="IO56" s="449"/>
      <c r="IP56" s="449"/>
      <c r="IQ56" s="449"/>
      <c r="IR56" s="449"/>
      <c r="IS56" s="449"/>
      <c r="IT56" s="449"/>
      <c r="IU56" s="449"/>
      <c r="IV56" s="449"/>
    </row>
    <row r="57" spans="1:256" ht="17.5">
      <c r="A57" s="449"/>
      <c r="B57" s="449"/>
      <c r="C57" s="449"/>
      <c r="D57" s="449"/>
      <c r="E57" s="449"/>
      <c r="F57" s="449"/>
      <c r="G57" s="449"/>
      <c r="H57" s="449"/>
      <c r="I57" s="449"/>
      <c r="J57" s="449"/>
      <c r="K57" s="449"/>
      <c r="L57" s="449"/>
      <c r="M57" s="449"/>
      <c r="N57" s="449"/>
      <c r="O57" s="462"/>
      <c r="P57" s="462"/>
      <c r="Q57" s="449"/>
      <c r="R57" s="449"/>
      <c r="S57" s="449"/>
      <c r="T57" s="449"/>
      <c r="U57" s="449"/>
      <c r="V57" s="449"/>
      <c r="W57" s="449"/>
      <c r="X57" s="449"/>
      <c r="Y57" s="449"/>
      <c r="Z57" s="449"/>
      <c r="AA57" s="449"/>
      <c r="AB57" s="449"/>
      <c r="AC57" s="449"/>
      <c r="AD57" s="449"/>
      <c r="AE57" s="449"/>
      <c r="AF57" s="449"/>
      <c r="AG57" s="449"/>
      <c r="AH57" s="449"/>
      <c r="AI57" s="449"/>
      <c r="AJ57" s="449"/>
      <c r="AK57" s="449"/>
      <c r="AL57" s="449"/>
      <c r="AM57" s="449"/>
      <c r="AN57" s="449"/>
      <c r="AO57" s="449"/>
      <c r="AP57" s="449"/>
      <c r="AQ57" s="449"/>
      <c r="AR57" s="449"/>
      <c r="AS57" s="449"/>
      <c r="AT57" s="449"/>
      <c r="AU57" s="449"/>
      <c r="AV57" s="449"/>
      <c r="AW57" s="449"/>
      <c r="AX57" s="449"/>
      <c r="AY57" s="449"/>
      <c r="AZ57" s="449"/>
      <c r="BA57" s="449"/>
      <c r="BB57" s="449"/>
      <c r="BC57" s="449"/>
      <c r="BD57" s="449"/>
      <c r="BE57" s="449"/>
      <c r="BF57" s="449"/>
      <c r="BG57" s="449"/>
      <c r="BH57" s="449"/>
      <c r="BI57" s="449"/>
      <c r="BJ57" s="449"/>
      <c r="BK57" s="449"/>
      <c r="BL57" s="449"/>
      <c r="BM57" s="449"/>
      <c r="BN57" s="449"/>
      <c r="BO57" s="449"/>
      <c r="BP57" s="449"/>
      <c r="BQ57" s="449"/>
      <c r="BR57" s="449"/>
      <c r="BS57" s="449"/>
      <c r="BT57" s="449"/>
      <c r="BU57" s="449"/>
      <c r="BV57" s="449"/>
      <c r="BW57" s="449"/>
      <c r="BX57" s="449"/>
      <c r="BY57" s="449"/>
      <c r="BZ57" s="449"/>
      <c r="CA57" s="449"/>
      <c r="CB57" s="449"/>
      <c r="CC57" s="449"/>
      <c r="CD57" s="449"/>
      <c r="CE57" s="449"/>
      <c r="CF57" s="449"/>
      <c r="CG57" s="449"/>
      <c r="CH57" s="449"/>
      <c r="CI57" s="449"/>
      <c r="CJ57" s="449"/>
      <c r="CK57" s="449"/>
      <c r="CL57" s="449"/>
      <c r="CM57" s="449"/>
      <c r="CN57" s="449"/>
      <c r="CO57" s="449"/>
      <c r="CP57" s="449"/>
      <c r="CQ57" s="449"/>
      <c r="CR57" s="449"/>
      <c r="CS57" s="449"/>
      <c r="CT57" s="449"/>
      <c r="CU57" s="449"/>
      <c r="CV57" s="449"/>
      <c r="CW57" s="449"/>
      <c r="CX57" s="449"/>
      <c r="CY57" s="449"/>
      <c r="CZ57" s="449"/>
      <c r="DA57" s="449"/>
      <c r="DB57" s="449"/>
      <c r="DC57" s="449"/>
      <c r="DD57" s="449"/>
      <c r="DE57" s="449"/>
      <c r="DF57" s="449"/>
      <c r="DG57" s="449"/>
      <c r="DH57" s="449"/>
      <c r="DI57" s="449"/>
      <c r="DJ57" s="449"/>
      <c r="DK57" s="449"/>
      <c r="DL57" s="449"/>
      <c r="DM57" s="449"/>
      <c r="DN57" s="449"/>
      <c r="DO57" s="449"/>
      <c r="DP57" s="449"/>
      <c r="DQ57" s="449"/>
      <c r="DR57" s="449"/>
      <c r="DS57" s="449"/>
      <c r="DT57" s="449"/>
      <c r="DU57" s="449"/>
      <c r="DV57" s="449"/>
      <c r="DW57" s="449"/>
      <c r="DX57" s="449"/>
      <c r="DY57" s="449"/>
      <c r="DZ57" s="449"/>
      <c r="EA57" s="449"/>
      <c r="EB57" s="449"/>
      <c r="EC57" s="449"/>
      <c r="ED57" s="449"/>
      <c r="EE57" s="449"/>
      <c r="EF57" s="449"/>
      <c r="EG57" s="449"/>
      <c r="EH57" s="449"/>
      <c r="EI57" s="449"/>
      <c r="EJ57" s="449"/>
      <c r="EK57" s="449"/>
      <c r="EL57" s="449"/>
      <c r="EM57" s="449"/>
      <c r="EN57" s="449"/>
      <c r="EO57" s="449"/>
      <c r="EP57" s="449"/>
      <c r="EQ57" s="449"/>
      <c r="ER57" s="449"/>
      <c r="ES57" s="449"/>
      <c r="ET57" s="449"/>
      <c r="EU57" s="449"/>
      <c r="EV57" s="449"/>
      <c r="EW57" s="449"/>
      <c r="EX57" s="449"/>
      <c r="EY57" s="449"/>
      <c r="EZ57" s="449"/>
      <c r="FA57" s="449"/>
      <c r="FB57" s="449"/>
      <c r="FC57" s="449"/>
      <c r="FD57" s="449"/>
      <c r="FE57" s="449"/>
      <c r="FF57" s="449"/>
      <c r="FG57" s="449"/>
      <c r="FH57" s="449"/>
      <c r="FI57" s="449"/>
      <c r="FJ57" s="449"/>
      <c r="FK57" s="449"/>
      <c r="FL57" s="449"/>
      <c r="FM57" s="449"/>
      <c r="FN57" s="449"/>
      <c r="FO57" s="449"/>
      <c r="FP57" s="449"/>
      <c r="FQ57" s="449"/>
      <c r="FR57" s="449"/>
      <c r="FS57" s="449"/>
      <c r="FT57" s="449"/>
      <c r="FU57" s="449"/>
      <c r="FV57" s="449"/>
      <c r="FW57" s="449"/>
      <c r="FX57" s="449"/>
      <c r="FY57" s="449"/>
      <c r="FZ57" s="449"/>
      <c r="GA57" s="449"/>
      <c r="GB57" s="449"/>
      <c r="GC57" s="449"/>
      <c r="GD57" s="449"/>
      <c r="GE57" s="449"/>
      <c r="GF57" s="449"/>
      <c r="GG57" s="449"/>
      <c r="GH57" s="449"/>
      <c r="GI57" s="449"/>
      <c r="GJ57" s="449"/>
      <c r="GK57" s="449"/>
      <c r="GL57" s="449"/>
      <c r="GM57" s="449"/>
      <c r="GN57" s="449"/>
      <c r="GO57" s="449"/>
      <c r="GP57" s="449"/>
      <c r="GQ57" s="449"/>
      <c r="GR57" s="449"/>
      <c r="GS57" s="449"/>
      <c r="GT57" s="449"/>
      <c r="GU57" s="449"/>
      <c r="GV57" s="449"/>
      <c r="GW57" s="449"/>
      <c r="GX57" s="449"/>
      <c r="GY57" s="449"/>
      <c r="GZ57" s="449"/>
      <c r="HA57" s="449"/>
      <c r="HB57" s="449"/>
      <c r="HC57" s="449"/>
      <c r="HD57" s="449"/>
      <c r="HE57" s="449"/>
      <c r="HF57" s="449"/>
      <c r="HG57" s="449"/>
      <c r="HH57" s="449"/>
      <c r="HI57" s="449"/>
      <c r="HJ57" s="449"/>
      <c r="HK57" s="449"/>
      <c r="HL57" s="449"/>
      <c r="HM57" s="449"/>
      <c r="HN57" s="449"/>
      <c r="HO57" s="449"/>
      <c r="HP57" s="449"/>
      <c r="HQ57" s="449"/>
      <c r="HR57" s="449"/>
      <c r="HS57" s="449"/>
      <c r="HT57" s="449"/>
      <c r="HU57" s="449"/>
      <c r="HV57" s="449"/>
      <c r="HW57" s="449"/>
      <c r="HX57" s="449"/>
      <c r="HY57" s="449"/>
      <c r="HZ57" s="449"/>
      <c r="IA57" s="449"/>
      <c r="IB57" s="449"/>
      <c r="IC57" s="449"/>
      <c r="ID57" s="449"/>
      <c r="IE57" s="449"/>
      <c r="IF57" s="449"/>
      <c r="IG57" s="449"/>
      <c r="IH57" s="449"/>
      <c r="II57" s="449"/>
      <c r="IJ57" s="449"/>
      <c r="IK57" s="449"/>
      <c r="IL57" s="449"/>
      <c r="IM57" s="449"/>
      <c r="IN57" s="449"/>
      <c r="IO57" s="449"/>
      <c r="IP57" s="449"/>
      <c r="IQ57" s="449"/>
      <c r="IR57" s="449"/>
      <c r="IS57" s="449"/>
      <c r="IT57" s="449"/>
      <c r="IU57" s="449"/>
      <c r="IV57" s="449"/>
    </row>
    <row r="58" spans="1:256" ht="17.5">
      <c r="A58" s="449"/>
      <c r="B58" s="449"/>
      <c r="C58" s="449"/>
      <c r="D58" s="449"/>
      <c r="E58" s="449"/>
      <c r="F58" s="449"/>
      <c r="G58" s="449"/>
      <c r="H58" s="449"/>
      <c r="I58" s="449"/>
      <c r="J58" s="449"/>
      <c r="K58" s="449"/>
      <c r="L58" s="449"/>
      <c r="M58" s="449"/>
      <c r="N58" s="449"/>
      <c r="O58" s="462"/>
      <c r="P58" s="462"/>
      <c r="Q58" s="449"/>
      <c r="R58" s="449"/>
      <c r="S58" s="449"/>
      <c r="T58" s="449"/>
      <c r="U58" s="449"/>
      <c r="V58" s="449"/>
      <c r="W58" s="449"/>
      <c r="X58" s="449"/>
      <c r="Y58" s="449"/>
      <c r="Z58" s="449"/>
      <c r="AA58" s="449"/>
      <c r="AB58" s="449"/>
      <c r="AC58" s="449"/>
      <c r="AD58" s="449"/>
      <c r="AE58" s="449"/>
      <c r="AF58" s="449"/>
      <c r="AG58" s="449"/>
      <c r="AH58" s="449"/>
      <c r="AI58" s="449"/>
      <c r="AJ58" s="449"/>
      <c r="AK58" s="449"/>
      <c r="AL58" s="449"/>
      <c r="AM58" s="449"/>
      <c r="AN58" s="449"/>
      <c r="AO58" s="449"/>
      <c r="AP58" s="449"/>
      <c r="AQ58" s="449"/>
      <c r="AR58" s="449"/>
      <c r="AS58" s="449"/>
      <c r="AT58" s="449"/>
      <c r="AU58" s="449"/>
      <c r="AV58" s="449"/>
      <c r="AW58" s="449"/>
      <c r="AX58" s="449"/>
      <c r="AY58" s="449"/>
      <c r="AZ58" s="449"/>
      <c r="BA58" s="449"/>
      <c r="BB58" s="449"/>
      <c r="BC58" s="449"/>
      <c r="BD58" s="449"/>
      <c r="BE58" s="449"/>
      <c r="BF58" s="449"/>
      <c r="BG58" s="449"/>
      <c r="BH58" s="449"/>
      <c r="BI58" s="449"/>
      <c r="BJ58" s="449"/>
      <c r="BK58" s="449"/>
      <c r="BL58" s="449"/>
      <c r="BM58" s="449"/>
      <c r="BN58" s="449"/>
      <c r="BO58" s="449"/>
      <c r="BP58" s="449"/>
      <c r="BQ58" s="449"/>
      <c r="BR58" s="449"/>
      <c r="BS58" s="449"/>
      <c r="BT58" s="449"/>
      <c r="BU58" s="449"/>
      <c r="BV58" s="449"/>
      <c r="BW58" s="449"/>
      <c r="BX58" s="449"/>
      <c r="BY58" s="449"/>
      <c r="BZ58" s="449"/>
      <c r="CA58" s="449"/>
      <c r="CB58" s="449"/>
      <c r="CC58" s="449"/>
      <c r="CD58" s="449"/>
      <c r="CE58" s="449"/>
      <c r="CF58" s="449"/>
      <c r="CG58" s="449"/>
      <c r="CH58" s="449"/>
      <c r="CI58" s="449"/>
      <c r="CJ58" s="449"/>
      <c r="CK58" s="449"/>
      <c r="CL58" s="449"/>
      <c r="CM58" s="449"/>
      <c r="CN58" s="449"/>
      <c r="CO58" s="449"/>
      <c r="CP58" s="449"/>
      <c r="CQ58" s="449"/>
      <c r="CR58" s="449"/>
      <c r="CS58" s="449"/>
      <c r="CT58" s="449"/>
      <c r="CU58" s="449"/>
      <c r="CV58" s="449"/>
      <c r="CW58" s="449"/>
      <c r="CX58" s="449"/>
      <c r="CY58" s="449"/>
      <c r="CZ58" s="449"/>
      <c r="DA58" s="449"/>
      <c r="DB58" s="449"/>
      <c r="DC58" s="449"/>
      <c r="DD58" s="449"/>
      <c r="DE58" s="449"/>
      <c r="DF58" s="449"/>
      <c r="DG58" s="449"/>
      <c r="DH58" s="449"/>
      <c r="DI58" s="449"/>
      <c r="DJ58" s="449"/>
      <c r="DK58" s="449"/>
      <c r="DL58" s="449"/>
      <c r="DM58" s="449"/>
      <c r="DN58" s="449"/>
      <c r="DO58" s="449"/>
      <c r="DP58" s="449"/>
      <c r="DQ58" s="449"/>
      <c r="DR58" s="449"/>
      <c r="DS58" s="449"/>
      <c r="DT58" s="449"/>
      <c r="DU58" s="449"/>
      <c r="DV58" s="449"/>
      <c r="DW58" s="449"/>
      <c r="DX58" s="449"/>
      <c r="DY58" s="449"/>
      <c r="DZ58" s="449"/>
      <c r="EA58" s="449"/>
      <c r="EB58" s="449"/>
      <c r="EC58" s="449"/>
      <c r="ED58" s="449"/>
      <c r="EE58" s="449"/>
      <c r="EF58" s="449"/>
      <c r="EG58" s="449"/>
      <c r="EH58" s="449"/>
      <c r="EI58" s="449"/>
      <c r="EJ58" s="449"/>
      <c r="EK58" s="449"/>
      <c r="EL58" s="449"/>
      <c r="EM58" s="449"/>
      <c r="EN58" s="449"/>
      <c r="EO58" s="449"/>
      <c r="EP58" s="449"/>
      <c r="EQ58" s="449"/>
      <c r="ER58" s="449"/>
      <c r="ES58" s="449"/>
      <c r="ET58" s="449"/>
      <c r="EU58" s="449"/>
      <c r="EV58" s="449"/>
      <c r="EW58" s="449"/>
      <c r="EX58" s="449"/>
      <c r="EY58" s="449"/>
      <c r="EZ58" s="449"/>
      <c r="FA58" s="449"/>
      <c r="FB58" s="449"/>
      <c r="FC58" s="449"/>
      <c r="FD58" s="449"/>
      <c r="FE58" s="449"/>
      <c r="FF58" s="449"/>
      <c r="FG58" s="449"/>
      <c r="FH58" s="449"/>
      <c r="FI58" s="449"/>
      <c r="FJ58" s="449"/>
      <c r="FK58" s="449"/>
      <c r="FL58" s="449"/>
      <c r="FM58" s="449"/>
      <c r="FN58" s="449"/>
      <c r="FO58" s="449"/>
      <c r="FP58" s="449"/>
      <c r="FQ58" s="449"/>
      <c r="FR58" s="449"/>
      <c r="FS58" s="449"/>
      <c r="FT58" s="449"/>
      <c r="FU58" s="449"/>
      <c r="FV58" s="449"/>
      <c r="FW58" s="449"/>
      <c r="FX58" s="449"/>
      <c r="FY58" s="449"/>
      <c r="FZ58" s="449"/>
      <c r="GA58" s="449"/>
      <c r="GB58" s="449"/>
      <c r="GC58" s="449"/>
      <c r="GD58" s="449"/>
      <c r="GE58" s="449"/>
      <c r="GF58" s="449"/>
      <c r="GG58" s="449"/>
      <c r="GH58" s="449"/>
      <c r="GI58" s="449"/>
      <c r="GJ58" s="449"/>
      <c r="GK58" s="449"/>
      <c r="GL58" s="449"/>
      <c r="GM58" s="449"/>
      <c r="GN58" s="449"/>
      <c r="GO58" s="449"/>
      <c r="GP58" s="449"/>
      <c r="GQ58" s="449"/>
      <c r="GR58" s="449"/>
      <c r="GS58" s="449"/>
      <c r="GT58" s="449"/>
      <c r="GU58" s="449"/>
      <c r="GV58" s="449"/>
      <c r="GW58" s="449"/>
      <c r="GX58" s="449"/>
      <c r="GY58" s="449"/>
      <c r="GZ58" s="449"/>
      <c r="HA58" s="449"/>
      <c r="HB58" s="449"/>
      <c r="HC58" s="449"/>
      <c r="HD58" s="449"/>
      <c r="HE58" s="449"/>
      <c r="HF58" s="449"/>
      <c r="HG58" s="449"/>
      <c r="HH58" s="449"/>
      <c r="HI58" s="449"/>
      <c r="HJ58" s="449"/>
      <c r="HK58" s="449"/>
      <c r="HL58" s="449"/>
      <c r="HM58" s="449"/>
      <c r="HN58" s="449"/>
      <c r="HO58" s="449"/>
      <c r="HP58" s="449"/>
      <c r="HQ58" s="449"/>
      <c r="HR58" s="449"/>
      <c r="HS58" s="449"/>
      <c r="HT58" s="449"/>
      <c r="HU58" s="449"/>
      <c r="HV58" s="449"/>
      <c r="HW58" s="449"/>
      <c r="HX58" s="449"/>
      <c r="HY58" s="449"/>
      <c r="HZ58" s="449"/>
      <c r="IA58" s="449"/>
      <c r="IB58" s="449"/>
      <c r="IC58" s="449"/>
      <c r="ID58" s="449"/>
      <c r="IE58" s="449"/>
      <c r="IF58" s="449"/>
      <c r="IG58" s="449"/>
      <c r="IH58" s="449"/>
      <c r="II58" s="449"/>
      <c r="IJ58" s="449"/>
      <c r="IK58" s="449"/>
      <c r="IL58" s="449"/>
      <c r="IM58" s="449"/>
      <c r="IN58" s="449"/>
      <c r="IO58" s="449"/>
      <c r="IP58" s="449"/>
      <c r="IQ58" s="449"/>
      <c r="IR58" s="449"/>
      <c r="IS58" s="449"/>
      <c r="IT58" s="449"/>
      <c r="IU58" s="449"/>
      <c r="IV58" s="449"/>
    </row>
    <row r="59" spans="1:256" ht="17.5">
      <c r="A59" s="449"/>
      <c r="B59" s="449"/>
      <c r="C59" s="449"/>
      <c r="D59" s="449"/>
      <c r="E59" s="449"/>
      <c r="F59" s="449"/>
      <c r="G59" s="449"/>
      <c r="H59" s="449"/>
      <c r="I59" s="449"/>
      <c r="J59" s="449"/>
      <c r="K59" s="449"/>
      <c r="L59" s="449"/>
      <c r="M59" s="449"/>
      <c r="N59" s="449"/>
      <c r="O59" s="462"/>
      <c r="P59" s="462"/>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449"/>
      <c r="AR59" s="449"/>
      <c r="AS59" s="449"/>
      <c r="AT59" s="449"/>
      <c r="AU59" s="449"/>
      <c r="AV59" s="449"/>
      <c r="AW59" s="449"/>
      <c r="AX59" s="449"/>
      <c r="AY59" s="449"/>
      <c r="AZ59" s="449"/>
      <c r="BA59" s="449"/>
      <c r="BB59" s="449"/>
      <c r="BC59" s="449"/>
      <c r="BD59" s="449"/>
      <c r="BE59" s="449"/>
      <c r="BF59" s="449"/>
      <c r="BG59" s="449"/>
      <c r="BH59" s="449"/>
      <c r="BI59" s="449"/>
      <c r="BJ59" s="449"/>
      <c r="BK59" s="449"/>
      <c r="BL59" s="449"/>
      <c r="BM59" s="449"/>
      <c r="BN59" s="449"/>
      <c r="BO59" s="449"/>
      <c r="BP59" s="449"/>
      <c r="BQ59" s="449"/>
      <c r="BR59" s="449"/>
      <c r="BS59" s="449"/>
      <c r="BT59" s="449"/>
      <c r="BU59" s="449"/>
      <c r="BV59" s="449"/>
      <c r="BW59" s="449"/>
      <c r="BX59" s="449"/>
      <c r="BY59" s="449"/>
      <c r="BZ59" s="449"/>
      <c r="CA59" s="449"/>
      <c r="CB59" s="449"/>
      <c r="CC59" s="449"/>
      <c r="CD59" s="449"/>
      <c r="CE59" s="449"/>
      <c r="CF59" s="449"/>
      <c r="CG59" s="449"/>
      <c r="CH59" s="449"/>
      <c r="CI59" s="449"/>
      <c r="CJ59" s="449"/>
      <c r="CK59" s="449"/>
      <c r="CL59" s="449"/>
      <c r="CM59" s="449"/>
      <c r="CN59" s="449"/>
      <c r="CO59" s="449"/>
      <c r="CP59" s="449"/>
      <c r="CQ59" s="449"/>
      <c r="CR59" s="449"/>
      <c r="CS59" s="449"/>
      <c r="CT59" s="449"/>
      <c r="CU59" s="449"/>
      <c r="CV59" s="449"/>
      <c r="CW59" s="449"/>
      <c r="CX59" s="449"/>
      <c r="CY59" s="449"/>
      <c r="CZ59" s="449"/>
      <c r="DA59" s="449"/>
      <c r="DB59" s="449"/>
      <c r="DC59" s="449"/>
      <c r="DD59" s="449"/>
      <c r="DE59" s="449"/>
      <c r="DF59" s="449"/>
      <c r="DG59" s="449"/>
      <c r="DH59" s="449"/>
      <c r="DI59" s="449"/>
      <c r="DJ59" s="449"/>
      <c r="DK59" s="449"/>
      <c r="DL59" s="449"/>
      <c r="DM59" s="449"/>
      <c r="DN59" s="449"/>
      <c r="DO59" s="449"/>
      <c r="DP59" s="449"/>
      <c r="DQ59" s="449"/>
      <c r="DR59" s="449"/>
      <c r="DS59" s="449"/>
      <c r="DT59" s="449"/>
      <c r="DU59" s="449"/>
      <c r="DV59" s="449"/>
      <c r="DW59" s="449"/>
      <c r="DX59" s="449"/>
      <c r="DY59" s="449"/>
      <c r="DZ59" s="449"/>
      <c r="EA59" s="449"/>
      <c r="EB59" s="449"/>
      <c r="EC59" s="449"/>
      <c r="ED59" s="449"/>
      <c r="EE59" s="449"/>
      <c r="EF59" s="449"/>
      <c r="EG59" s="449"/>
      <c r="EH59" s="449"/>
      <c r="EI59" s="449"/>
      <c r="EJ59" s="449"/>
      <c r="EK59" s="449"/>
      <c r="EL59" s="449"/>
      <c r="EM59" s="449"/>
      <c r="EN59" s="449"/>
      <c r="EO59" s="449"/>
      <c r="EP59" s="449"/>
      <c r="EQ59" s="449"/>
      <c r="ER59" s="449"/>
      <c r="ES59" s="449"/>
      <c r="ET59" s="449"/>
      <c r="EU59" s="449"/>
      <c r="EV59" s="449"/>
      <c r="EW59" s="449"/>
      <c r="EX59" s="449"/>
      <c r="EY59" s="449"/>
      <c r="EZ59" s="449"/>
      <c r="FA59" s="449"/>
      <c r="FB59" s="449"/>
      <c r="FC59" s="449"/>
      <c r="FD59" s="449"/>
      <c r="FE59" s="449"/>
      <c r="FF59" s="449"/>
      <c r="FG59" s="449"/>
      <c r="FH59" s="449"/>
      <c r="FI59" s="449"/>
      <c r="FJ59" s="449"/>
      <c r="FK59" s="449"/>
      <c r="FL59" s="449"/>
      <c r="FM59" s="449"/>
      <c r="FN59" s="449"/>
      <c r="FO59" s="449"/>
      <c r="FP59" s="449"/>
      <c r="FQ59" s="449"/>
      <c r="FR59" s="449"/>
      <c r="FS59" s="449"/>
      <c r="FT59" s="449"/>
      <c r="FU59" s="449"/>
      <c r="FV59" s="449"/>
      <c r="FW59" s="449"/>
      <c r="FX59" s="449"/>
      <c r="FY59" s="449"/>
      <c r="FZ59" s="449"/>
      <c r="GA59" s="449"/>
      <c r="GB59" s="449"/>
      <c r="GC59" s="449"/>
      <c r="GD59" s="449"/>
      <c r="GE59" s="449"/>
      <c r="GF59" s="449"/>
      <c r="GG59" s="449"/>
      <c r="GH59" s="449"/>
      <c r="GI59" s="449"/>
      <c r="GJ59" s="449"/>
      <c r="GK59" s="449"/>
      <c r="GL59" s="449"/>
      <c r="GM59" s="449"/>
      <c r="GN59" s="449"/>
      <c r="GO59" s="449"/>
      <c r="GP59" s="449"/>
      <c r="GQ59" s="449"/>
      <c r="GR59" s="449"/>
      <c r="GS59" s="449"/>
      <c r="GT59" s="449"/>
      <c r="GU59" s="449"/>
      <c r="GV59" s="449"/>
      <c r="GW59" s="449"/>
      <c r="GX59" s="449"/>
      <c r="GY59" s="449"/>
      <c r="GZ59" s="449"/>
      <c r="HA59" s="449"/>
      <c r="HB59" s="449"/>
      <c r="HC59" s="449"/>
      <c r="HD59" s="449"/>
      <c r="HE59" s="449"/>
      <c r="HF59" s="449"/>
      <c r="HG59" s="449"/>
      <c r="HH59" s="449"/>
      <c r="HI59" s="449"/>
      <c r="HJ59" s="449"/>
      <c r="HK59" s="449"/>
      <c r="HL59" s="449"/>
      <c r="HM59" s="449"/>
      <c r="HN59" s="449"/>
      <c r="HO59" s="449"/>
      <c r="HP59" s="449"/>
      <c r="HQ59" s="449"/>
      <c r="HR59" s="449"/>
      <c r="HS59" s="449"/>
      <c r="HT59" s="449"/>
      <c r="HU59" s="449"/>
      <c r="HV59" s="449"/>
      <c r="HW59" s="449"/>
      <c r="HX59" s="449"/>
      <c r="HY59" s="449"/>
      <c r="HZ59" s="449"/>
      <c r="IA59" s="449"/>
      <c r="IB59" s="449"/>
      <c r="IC59" s="449"/>
      <c r="ID59" s="449"/>
      <c r="IE59" s="449"/>
      <c r="IF59" s="449"/>
      <c r="IG59" s="449"/>
      <c r="IH59" s="449"/>
      <c r="II59" s="449"/>
      <c r="IJ59" s="449"/>
      <c r="IK59" s="449"/>
      <c r="IL59" s="449"/>
      <c r="IM59" s="449"/>
      <c r="IN59" s="449"/>
      <c r="IO59" s="449"/>
      <c r="IP59" s="449"/>
      <c r="IQ59" s="449"/>
      <c r="IR59" s="449"/>
      <c r="IS59" s="449"/>
      <c r="IT59" s="449"/>
      <c r="IU59" s="449"/>
      <c r="IV59" s="449"/>
    </row>
    <row r="60" spans="1:256" ht="17.5">
      <c r="A60" s="449"/>
      <c r="B60" s="449"/>
      <c r="C60" s="449"/>
      <c r="D60" s="449"/>
      <c r="E60" s="449"/>
      <c r="F60" s="449"/>
      <c r="G60" s="449"/>
      <c r="H60" s="449"/>
      <c r="I60" s="449"/>
      <c r="J60" s="449"/>
      <c r="K60" s="449"/>
      <c r="L60" s="449"/>
      <c r="M60" s="449"/>
      <c r="N60" s="449"/>
      <c r="O60" s="462"/>
      <c r="P60" s="462"/>
      <c r="Q60" s="449"/>
      <c r="R60" s="449"/>
      <c r="S60" s="449"/>
      <c r="T60" s="449"/>
      <c r="U60" s="449"/>
      <c r="V60" s="449"/>
      <c r="W60" s="449"/>
      <c r="X60" s="449"/>
      <c r="Y60" s="449"/>
      <c r="Z60" s="449"/>
      <c r="AA60" s="449"/>
      <c r="AB60" s="449"/>
      <c r="AC60" s="449"/>
      <c r="AD60" s="449"/>
      <c r="AE60" s="449"/>
      <c r="AF60" s="449"/>
      <c r="AG60" s="449"/>
      <c r="AH60" s="449"/>
      <c r="AI60" s="449"/>
      <c r="AJ60" s="449"/>
      <c r="AK60" s="449"/>
      <c r="AL60" s="449"/>
      <c r="AM60" s="449"/>
      <c r="AN60" s="449"/>
      <c r="AO60" s="449"/>
      <c r="AP60" s="449"/>
      <c r="AQ60" s="449"/>
      <c r="AR60" s="449"/>
      <c r="AS60" s="449"/>
      <c r="AT60" s="449"/>
      <c r="AU60" s="449"/>
      <c r="AV60" s="449"/>
      <c r="AW60" s="449"/>
      <c r="AX60" s="449"/>
      <c r="AY60" s="449"/>
      <c r="AZ60" s="449"/>
      <c r="BA60" s="449"/>
      <c r="BB60" s="449"/>
      <c r="BC60" s="449"/>
      <c r="BD60" s="449"/>
      <c r="BE60" s="449"/>
      <c r="BF60" s="449"/>
      <c r="BG60" s="449"/>
      <c r="BH60" s="449"/>
      <c r="BI60" s="449"/>
      <c r="BJ60" s="449"/>
      <c r="BK60" s="449"/>
      <c r="BL60" s="449"/>
      <c r="BM60" s="449"/>
      <c r="BN60" s="449"/>
      <c r="BO60" s="449"/>
      <c r="BP60" s="449"/>
      <c r="BQ60" s="449"/>
      <c r="BR60" s="449"/>
      <c r="BS60" s="449"/>
      <c r="BT60" s="449"/>
      <c r="BU60" s="449"/>
      <c r="BV60" s="449"/>
      <c r="BW60" s="449"/>
      <c r="BX60" s="449"/>
      <c r="BY60" s="449"/>
      <c r="BZ60" s="449"/>
      <c r="CA60" s="449"/>
      <c r="CB60" s="449"/>
      <c r="CC60" s="449"/>
      <c r="CD60" s="449"/>
      <c r="CE60" s="449"/>
      <c r="CF60" s="449"/>
      <c r="CG60" s="449"/>
      <c r="CH60" s="449"/>
      <c r="CI60" s="449"/>
      <c r="CJ60" s="449"/>
      <c r="CK60" s="449"/>
      <c r="CL60" s="449"/>
      <c r="CM60" s="449"/>
      <c r="CN60" s="449"/>
      <c r="CO60" s="449"/>
      <c r="CP60" s="449"/>
      <c r="CQ60" s="449"/>
      <c r="CR60" s="449"/>
      <c r="CS60" s="449"/>
      <c r="CT60" s="449"/>
      <c r="CU60" s="449"/>
      <c r="CV60" s="449"/>
      <c r="CW60" s="449"/>
      <c r="CX60" s="449"/>
      <c r="CY60" s="449"/>
      <c r="CZ60" s="449"/>
      <c r="DA60" s="449"/>
      <c r="DB60" s="449"/>
      <c r="DC60" s="449"/>
      <c r="DD60" s="449"/>
      <c r="DE60" s="449"/>
      <c r="DF60" s="449"/>
      <c r="DG60" s="449"/>
      <c r="DH60" s="449"/>
      <c r="DI60" s="449"/>
      <c r="DJ60" s="449"/>
      <c r="DK60" s="449"/>
      <c r="DL60" s="449"/>
      <c r="DM60" s="449"/>
      <c r="DN60" s="449"/>
      <c r="DO60" s="449"/>
      <c r="DP60" s="449"/>
      <c r="DQ60" s="449"/>
      <c r="DR60" s="449"/>
      <c r="DS60" s="449"/>
      <c r="DT60" s="449"/>
      <c r="DU60" s="449"/>
      <c r="DV60" s="449"/>
      <c r="DW60" s="449"/>
      <c r="DX60" s="449"/>
      <c r="DY60" s="449"/>
      <c r="DZ60" s="449"/>
      <c r="EA60" s="449"/>
      <c r="EB60" s="449"/>
      <c r="EC60" s="449"/>
      <c r="ED60" s="449"/>
      <c r="EE60" s="449"/>
      <c r="EF60" s="449"/>
      <c r="EG60" s="449"/>
      <c r="EH60" s="449"/>
      <c r="EI60" s="449"/>
      <c r="EJ60" s="449"/>
      <c r="EK60" s="449"/>
      <c r="EL60" s="449"/>
      <c r="EM60" s="449"/>
      <c r="EN60" s="449"/>
      <c r="EO60" s="449"/>
      <c r="EP60" s="449"/>
      <c r="EQ60" s="449"/>
      <c r="ER60" s="449"/>
      <c r="ES60" s="449"/>
      <c r="ET60" s="449"/>
      <c r="EU60" s="449"/>
      <c r="EV60" s="449"/>
      <c r="EW60" s="449"/>
      <c r="EX60" s="449"/>
      <c r="EY60" s="449"/>
      <c r="EZ60" s="449"/>
      <c r="FA60" s="449"/>
      <c r="FB60" s="449"/>
      <c r="FC60" s="449"/>
      <c r="FD60" s="449"/>
      <c r="FE60" s="449"/>
      <c r="FF60" s="449"/>
      <c r="FG60" s="449"/>
      <c r="FH60" s="449"/>
      <c r="FI60" s="449"/>
      <c r="FJ60" s="449"/>
      <c r="FK60" s="449"/>
      <c r="FL60" s="449"/>
      <c r="FM60" s="449"/>
      <c r="FN60" s="449"/>
      <c r="FO60" s="449"/>
      <c r="FP60" s="449"/>
      <c r="FQ60" s="449"/>
      <c r="FR60" s="449"/>
      <c r="FS60" s="449"/>
      <c r="FT60" s="449"/>
      <c r="FU60" s="449"/>
      <c r="FV60" s="449"/>
      <c r="FW60" s="449"/>
      <c r="FX60" s="449"/>
      <c r="FY60" s="449"/>
      <c r="FZ60" s="449"/>
      <c r="GA60" s="449"/>
      <c r="GB60" s="449"/>
      <c r="GC60" s="449"/>
      <c r="GD60" s="449"/>
      <c r="GE60" s="449"/>
      <c r="GF60" s="449"/>
      <c r="GG60" s="449"/>
      <c r="GH60" s="449"/>
      <c r="GI60" s="449"/>
      <c r="GJ60" s="449"/>
      <c r="GK60" s="449"/>
      <c r="GL60" s="449"/>
      <c r="GM60" s="449"/>
      <c r="GN60" s="449"/>
      <c r="GO60" s="449"/>
      <c r="GP60" s="449"/>
      <c r="GQ60" s="449"/>
      <c r="GR60" s="449"/>
      <c r="GS60" s="449"/>
      <c r="GT60" s="449"/>
      <c r="GU60" s="449"/>
      <c r="GV60" s="449"/>
      <c r="GW60" s="449"/>
      <c r="GX60" s="449"/>
      <c r="GY60" s="449"/>
      <c r="GZ60" s="449"/>
      <c r="HA60" s="449"/>
      <c r="HB60" s="449"/>
      <c r="HC60" s="449"/>
      <c r="HD60" s="449"/>
      <c r="HE60" s="449"/>
      <c r="HF60" s="449"/>
      <c r="HG60" s="449"/>
      <c r="HH60" s="449"/>
      <c r="HI60" s="449"/>
      <c r="HJ60" s="449"/>
      <c r="HK60" s="449"/>
      <c r="HL60" s="449"/>
      <c r="HM60" s="449"/>
      <c r="HN60" s="449"/>
      <c r="HO60" s="449"/>
      <c r="HP60" s="449"/>
      <c r="HQ60" s="449"/>
      <c r="HR60" s="449"/>
      <c r="HS60" s="449"/>
      <c r="HT60" s="449"/>
      <c r="HU60" s="449"/>
      <c r="HV60" s="449"/>
      <c r="HW60" s="449"/>
      <c r="HX60" s="449"/>
      <c r="HY60" s="449"/>
      <c r="HZ60" s="449"/>
      <c r="IA60" s="449"/>
      <c r="IB60" s="449"/>
      <c r="IC60" s="449"/>
      <c r="ID60" s="449"/>
      <c r="IE60" s="449"/>
      <c r="IF60" s="449"/>
      <c r="IG60" s="449"/>
      <c r="IH60" s="449"/>
      <c r="II60" s="449"/>
      <c r="IJ60" s="449"/>
      <c r="IK60" s="449"/>
      <c r="IL60" s="449"/>
      <c r="IM60" s="449"/>
      <c r="IN60" s="449"/>
      <c r="IO60" s="449"/>
      <c r="IP60" s="449"/>
      <c r="IQ60" s="449"/>
      <c r="IR60" s="449"/>
      <c r="IS60" s="449"/>
      <c r="IT60" s="449"/>
      <c r="IU60" s="449"/>
      <c r="IV60" s="449"/>
    </row>
    <row r="61" spans="1:256" ht="18">
      <c r="A61" s="449"/>
      <c r="B61" s="449"/>
      <c r="C61" s="449"/>
      <c r="D61" s="464"/>
      <c r="E61" s="449"/>
      <c r="F61" s="449"/>
      <c r="G61" s="449"/>
      <c r="H61" s="449"/>
      <c r="I61" s="449"/>
      <c r="J61" s="464"/>
      <c r="K61" s="449"/>
      <c r="L61" s="464"/>
      <c r="M61" s="449"/>
      <c r="N61" s="449"/>
      <c r="O61" s="462"/>
      <c r="P61" s="462"/>
      <c r="Q61" s="449"/>
      <c r="R61" s="449"/>
      <c r="S61" s="449"/>
      <c r="T61" s="449"/>
      <c r="U61" s="449"/>
      <c r="V61" s="449"/>
      <c r="W61" s="449"/>
      <c r="X61" s="449"/>
      <c r="Y61" s="449"/>
      <c r="Z61" s="449"/>
      <c r="AA61" s="449"/>
      <c r="AB61" s="449"/>
      <c r="AC61" s="449"/>
      <c r="AD61" s="449"/>
      <c r="AE61" s="449"/>
      <c r="AF61" s="449"/>
      <c r="AG61" s="449"/>
      <c r="AH61" s="449"/>
      <c r="AI61" s="449"/>
      <c r="AJ61" s="449"/>
      <c r="AK61" s="449"/>
      <c r="AL61" s="449"/>
      <c r="AM61" s="449"/>
      <c r="AN61" s="449"/>
      <c r="AO61" s="449"/>
      <c r="AP61" s="449"/>
      <c r="AQ61" s="449"/>
      <c r="AR61" s="449"/>
      <c r="AS61" s="449"/>
      <c r="AT61" s="449"/>
      <c r="AU61" s="449"/>
      <c r="AV61" s="449"/>
      <c r="AW61" s="449"/>
      <c r="AX61" s="449"/>
      <c r="AY61" s="449"/>
      <c r="AZ61" s="449"/>
      <c r="BA61" s="449"/>
      <c r="BB61" s="449"/>
      <c r="BC61" s="449"/>
      <c r="BD61" s="449"/>
      <c r="BE61" s="449"/>
      <c r="BF61" s="449"/>
      <c r="BG61" s="449"/>
      <c r="BH61" s="449"/>
      <c r="BI61" s="449"/>
      <c r="BJ61" s="449"/>
      <c r="BK61" s="449"/>
      <c r="BL61" s="449"/>
      <c r="BM61" s="449"/>
      <c r="BN61" s="449"/>
      <c r="BO61" s="449"/>
      <c r="BP61" s="449"/>
      <c r="BQ61" s="449"/>
      <c r="BR61" s="449"/>
      <c r="BS61" s="449"/>
      <c r="BT61" s="449"/>
      <c r="BU61" s="449"/>
      <c r="BV61" s="449"/>
      <c r="BW61" s="449"/>
      <c r="BX61" s="449"/>
      <c r="BY61" s="449"/>
      <c r="BZ61" s="449"/>
      <c r="CA61" s="449"/>
      <c r="CB61" s="449"/>
      <c r="CC61" s="449"/>
      <c r="CD61" s="449"/>
      <c r="CE61" s="449"/>
      <c r="CF61" s="449"/>
      <c r="CG61" s="449"/>
      <c r="CH61" s="449"/>
      <c r="CI61" s="449"/>
      <c r="CJ61" s="449"/>
      <c r="CK61" s="449"/>
      <c r="CL61" s="449"/>
      <c r="CM61" s="449"/>
      <c r="CN61" s="449"/>
      <c r="CO61" s="449"/>
      <c r="CP61" s="449"/>
      <c r="CQ61" s="449"/>
      <c r="CR61" s="449"/>
      <c r="CS61" s="449"/>
      <c r="CT61" s="449"/>
      <c r="CU61" s="449"/>
      <c r="CV61" s="449"/>
      <c r="CW61" s="449"/>
      <c r="CX61" s="449"/>
      <c r="CY61" s="449"/>
      <c r="CZ61" s="449"/>
      <c r="DA61" s="449"/>
      <c r="DB61" s="449"/>
      <c r="DC61" s="449"/>
      <c r="DD61" s="449"/>
      <c r="DE61" s="449"/>
      <c r="DF61" s="449"/>
      <c r="DG61" s="449"/>
      <c r="DH61" s="449"/>
      <c r="DI61" s="449"/>
      <c r="DJ61" s="449"/>
      <c r="DK61" s="449"/>
      <c r="DL61" s="449"/>
      <c r="DM61" s="449"/>
      <c r="DN61" s="449"/>
      <c r="DO61" s="449"/>
      <c r="DP61" s="449"/>
      <c r="DQ61" s="449"/>
      <c r="DR61" s="449"/>
      <c r="DS61" s="449"/>
      <c r="DT61" s="449"/>
      <c r="DU61" s="449"/>
      <c r="DV61" s="449"/>
      <c r="DW61" s="449"/>
      <c r="DX61" s="449"/>
      <c r="DY61" s="449"/>
      <c r="DZ61" s="449"/>
      <c r="EA61" s="449"/>
      <c r="EB61" s="449"/>
      <c r="EC61" s="449"/>
      <c r="ED61" s="449"/>
      <c r="EE61" s="449"/>
      <c r="EF61" s="449"/>
      <c r="EG61" s="449"/>
      <c r="EH61" s="449"/>
      <c r="EI61" s="449"/>
      <c r="EJ61" s="449"/>
      <c r="EK61" s="449"/>
      <c r="EL61" s="449"/>
      <c r="EM61" s="449"/>
      <c r="EN61" s="449"/>
      <c r="EO61" s="449"/>
      <c r="EP61" s="449"/>
      <c r="EQ61" s="449"/>
      <c r="ER61" s="449"/>
      <c r="ES61" s="449"/>
      <c r="ET61" s="449"/>
      <c r="EU61" s="449"/>
      <c r="EV61" s="449"/>
      <c r="EW61" s="449"/>
      <c r="EX61" s="449"/>
      <c r="EY61" s="449"/>
      <c r="EZ61" s="449"/>
      <c r="FA61" s="449"/>
      <c r="FB61" s="449"/>
      <c r="FC61" s="449"/>
      <c r="FD61" s="449"/>
      <c r="FE61" s="449"/>
      <c r="FF61" s="449"/>
      <c r="FG61" s="449"/>
      <c r="FH61" s="449"/>
      <c r="FI61" s="449"/>
      <c r="FJ61" s="449"/>
      <c r="FK61" s="449"/>
      <c r="FL61" s="449"/>
      <c r="FM61" s="449"/>
      <c r="FN61" s="449"/>
      <c r="FO61" s="449"/>
      <c r="FP61" s="449"/>
      <c r="FQ61" s="449"/>
      <c r="FR61" s="449"/>
      <c r="FS61" s="449"/>
      <c r="FT61" s="449"/>
      <c r="FU61" s="449"/>
      <c r="FV61" s="449"/>
      <c r="FW61" s="449"/>
      <c r="FX61" s="449"/>
      <c r="FY61" s="449"/>
      <c r="FZ61" s="449"/>
      <c r="GA61" s="449"/>
      <c r="GB61" s="449"/>
      <c r="GC61" s="449"/>
      <c r="GD61" s="449"/>
      <c r="GE61" s="449"/>
      <c r="GF61" s="449"/>
      <c r="GG61" s="449"/>
      <c r="GH61" s="449"/>
      <c r="GI61" s="449"/>
      <c r="GJ61" s="449"/>
      <c r="GK61" s="449"/>
      <c r="GL61" s="449"/>
      <c r="GM61" s="449"/>
      <c r="GN61" s="449"/>
      <c r="GO61" s="449"/>
      <c r="GP61" s="449"/>
      <c r="GQ61" s="449"/>
      <c r="GR61" s="449"/>
      <c r="GS61" s="449"/>
      <c r="GT61" s="449"/>
      <c r="GU61" s="449"/>
      <c r="GV61" s="449"/>
      <c r="GW61" s="449"/>
      <c r="GX61" s="449"/>
      <c r="GY61" s="449"/>
      <c r="GZ61" s="449"/>
      <c r="HA61" s="449"/>
      <c r="HB61" s="449"/>
      <c r="HC61" s="449"/>
      <c r="HD61" s="449"/>
      <c r="HE61" s="449"/>
      <c r="HF61" s="449"/>
      <c r="HG61" s="449"/>
      <c r="HH61" s="449"/>
      <c r="HI61" s="449"/>
      <c r="HJ61" s="449"/>
      <c r="HK61" s="449"/>
      <c r="HL61" s="449"/>
      <c r="HM61" s="449"/>
      <c r="HN61" s="449"/>
      <c r="HO61" s="449"/>
      <c r="HP61" s="449"/>
      <c r="HQ61" s="449"/>
      <c r="HR61" s="449"/>
      <c r="HS61" s="449"/>
      <c r="HT61" s="449"/>
      <c r="HU61" s="449"/>
      <c r="HV61" s="449"/>
      <c r="HW61" s="449"/>
      <c r="HX61" s="449"/>
      <c r="HY61" s="449"/>
      <c r="HZ61" s="449"/>
      <c r="IA61" s="449"/>
      <c r="IB61" s="449"/>
      <c r="IC61" s="449"/>
      <c r="ID61" s="449"/>
      <c r="IE61" s="449"/>
      <c r="IF61" s="449"/>
      <c r="IG61" s="449"/>
      <c r="IH61" s="449"/>
      <c r="II61" s="449"/>
      <c r="IJ61" s="449"/>
      <c r="IK61" s="449"/>
      <c r="IL61" s="449"/>
      <c r="IM61" s="449"/>
      <c r="IN61" s="449"/>
      <c r="IO61" s="449"/>
      <c r="IP61" s="449"/>
      <c r="IQ61" s="449"/>
      <c r="IR61" s="449"/>
      <c r="IS61" s="449"/>
      <c r="IT61" s="449"/>
      <c r="IU61" s="449"/>
      <c r="IV61" s="449"/>
    </row>
    <row r="62" spans="1:256" ht="18">
      <c r="A62" s="449"/>
      <c r="B62" s="449"/>
      <c r="C62" s="449"/>
      <c r="D62" s="464"/>
      <c r="E62" s="449"/>
      <c r="F62" s="449"/>
      <c r="G62" s="449"/>
      <c r="H62" s="449"/>
      <c r="I62" s="449"/>
      <c r="J62" s="464"/>
      <c r="K62" s="449"/>
      <c r="L62" s="464"/>
      <c r="M62" s="449"/>
      <c r="N62" s="449"/>
      <c r="O62" s="462"/>
      <c r="P62" s="462"/>
      <c r="Q62" s="449"/>
      <c r="R62" s="449"/>
      <c r="S62" s="449"/>
      <c r="T62" s="449"/>
      <c r="U62" s="449"/>
      <c r="V62" s="449"/>
      <c r="W62" s="449"/>
      <c r="X62" s="449"/>
      <c r="Y62" s="449"/>
      <c r="Z62" s="449"/>
      <c r="AA62" s="449"/>
      <c r="AB62" s="449"/>
      <c r="AC62" s="449"/>
      <c r="AD62" s="449"/>
      <c r="AE62" s="449"/>
      <c r="AF62" s="449"/>
      <c r="AG62" s="449"/>
      <c r="AH62" s="449"/>
      <c r="AI62" s="449"/>
      <c r="AJ62" s="449"/>
      <c r="AK62" s="449"/>
      <c r="AL62" s="449"/>
      <c r="AM62" s="449"/>
      <c r="AN62" s="449"/>
      <c r="AO62" s="449"/>
      <c r="AP62" s="449"/>
      <c r="AQ62" s="449"/>
      <c r="AR62" s="449"/>
      <c r="AS62" s="449"/>
      <c r="AT62" s="449"/>
      <c r="AU62" s="449"/>
      <c r="AV62" s="449"/>
      <c r="AW62" s="449"/>
      <c r="AX62" s="449"/>
      <c r="AY62" s="449"/>
      <c r="AZ62" s="449"/>
      <c r="BA62" s="449"/>
      <c r="BB62" s="449"/>
      <c r="BC62" s="449"/>
      <c r="BD62" s="449"/>
      <c r="BE62" s="449"/>
      <c r="BF62" s="449"/>
      <c r="BG62" s="449"/>
      <c r="BH62" s="449"/>
      <c r="BI62" s="449"/>
      <c r="BJ62" s="449"/>
      <c r="BK62" s="449"/>
      <c r="BL62" s="449"/>
      <c r="BM62" s="449"/>
      <c r="BN62" s="449"/>
      <c r="BO62" s="449"/>
      <c r="BP62" s="449"/>
      <c r="BQ62" s="449"/>
      <c r="BR62" s="449"/>
      <c r="BS62" s="449"/>
      <c r="BT62" s="449"/>
      <c r="BU62" s="449"/>
      <c r="BV62" s="449"/>
      <c r="BW62" s="449"/>
      <c r="BX62" s="449"/>
      <c r="BY62" s="449"/>
      <c r="BZ62" s="449"/>
      <c r="CA62" s="449"/>
      <c r="CB62" s="449"/>
      <c r="CC62" s="449"/>
      <c r="CD62" s="449"/>
      <c r="CE62" s="449"/>
      <c r="CF62" s="449"/>
      <c r="CG62" s="449"/>
      <c r="CH62" s="449"/>
      <c r="CI62" s="449"/>
      <c r="CJ62" s="449"/>
      <c r="CK62" s="449"/>
      <c r="CL62" s="449"/>
      <c r="CM62" s="449"/>
      <c r="CN62" s="449"/>
      <c r="CO62" s="449"/>
      <c r="CP62" s="449"/>
      <c r="CQ62" s="449"/>
      <c r="CR62" s="449"/>
      <c r="CS62" s="449"/>
      <c r="CT62" s="449"/>
      <c r="CU62" s="449"/>
      <c r="CV62" s="449"/>
      <c r="CW62" s="449"/>
      <c r="CX62" s="449"/>
      <c r="CY62" s="449"/>
      <c r="CZ62" s="449"/>
      <c r="DA62" s="449"/>
      <c r="DB62" s="449"/>
      <c r="DC62" s="449"/>
      <c r="DD62" s="449"/>
      <c r="DE62" s="449"/>
      <c r="DF62" s="449"/>
      <c r="DG62" s="449"/>
      <c r="DH62" s="449"/>
      <c r="DI62" s="449"/>
      <c r="DJ62" s="449"/>
      <c r="DK62" s="449"/>
      <c r="DL62" s="449"/>
      <c r="DM62" s="449"/>
      <c r="DN62" s="449"/>
      <c r="DO62" s="449"/>
      <c r="DP62" s="449"/>
      <c r="DQ62" s="449"/>
      <c r="DR62" s="449"/>
      <c r="DS62" s="449"/>
      <c r="DT62" s="449"/>
      <c r="DU62" s="449"/>
      <c r="DV62" s="449"/>
      <c r="DW62" s="449"/>
      <c r="DX62" s="449"/>
      <c r="DY62" s="449"/>
      <c r="DZ62" s="449"/>
      <c r="EA62" s="449"/>
      <c r="EB62" s="449"/>
      <c r="EC62" s="449"/>
      <c r="ED62" s="449"/>
      <c r="EE62" s="449"/>
      <c r="EF62" s="449"/>
      <c r="EG62" s="449"/>
      <c r="EH62" s="449"/>
      <c r="EI62" s="449"/>
      <c r="EJ62" s="449"/>
      <c r="EK62" s="449"/>
      <c r="EL62" s="449"/>
      <c r="EM62" s="449"/>
      <c r="EN62" s="449"/>
      <c r="EO62" s="449"/>
      <c r="EP62" s="449"/>
      <c r="EQ62" s="449"/>
      <c r="ER62" s="449"/>
      <c r="ES62" s="449"/>
      <c r="ET62" s="449"/>
      <c r="EU62" s="449"/>
      <c r="EV62" s="449"/>
      <c r="EW62" s="449"/>
      <c r="EX62" s="449"/>
      <c r="EY62" s="449"/>
      <c r="EZ62" s="449"/>
      <c r="FA62" s="449"/>
      <c r="FB62" s="449"/>
      <c r="FC62" s="449"/>
      <c r="FD62" s="449"/>
      <c r="FE62" s="449"/>
      <c r="FF62" s="449"/>
      <c r="FG62" s="449"/>
      <c r="FH62" s="449"/>
      <c r="FI62" s="449"/>
      <c r="FJ62" s="449"/>
      <c r="FK62" s="449"/>
      <c r="FL62" s="449"/>
      <c r="FM62" s="449"/>
      <c r="FN62" s="449"/>
      <c r="FO62" s="449"/>
      <c r="FP62" s="449"/>
      <c r="FQ62" s="449"/>
      <c r="FR62" s="449"/>
      <c r="FS62" s="449"/>
      <c r="FT62" s="449"/>
      <c r="FU62" s="449"/>
      <c r="FV62" s="449"/>
      <c r="FW62" s="449"/>
      <c r="FX62" s="449"/>
      <c r="FY62" s="449"/>
      <c r="FZ62" s="449"/>
      <c r="GA62" s="449"/>
      <c r="GB62" s="449"/>
      <c r="GC62" s="449"/>
      <c r="GD62" s="449"/>
      <c r="GE62" s="449"/>
      <c r="GF62" s="449"/>
      <c r="GG62" s="449"/>
      <c r="GH62" s="449"/>
      <c r="GI62" s="449"/>
      <c r="GJ62" s="449"/>
      <c r="GK62" s="449"/>
      <c r="GL62" s="449"/>
      <c r="GM62" s="449"/>
      <c r="GN62" s="449"/>
      <c r="GO62" s="449"/>
      <c r="GP62" s="449"/>
      <c r="GQ62" s="449"/>
      <c r="GR62" s="449"/>
      <c r="GS62" s="449"/>
      <c r="GT62" s="449"/>
      <c r="GU62" s="449"/>
      <c r="GV62" s="449"/>
      <c r="GW62" s="449"/>
      <c r="GX62" s="449"/>
      <c r="GY62" s="449"/>
      <c r="GZ62" s="449"/>
      <c r="HA62" s="449"/>
      <c r="HB62" s="449"/>
      <c r="HC62" s="449"/>
      <c r="HD62" s="449"/>
      <c r="HE62" s="449"/>
      <c r="HF62" s="449"/>
      <c r="HG62" s="449"/>
      <c r="HH62" s="449"/>
      <c r="HI62" s="449"/>
      <c r="HJ62" s="449"/>
      <c r="HK62" s="449"/>
      <c r="HL62" s="449"/>
      <c r="HM62" s="449"/>
      <c r="HN62" s="449"/>
      <c r="HO62" s="449"/>
      <c r="HP62" s="449"/>
      <c r="HQ62" s="449"/>
      <c r="HR62" s="449"/>
      <c r="HS62" s="449"/>
      <c r="HT62" s="449"/>
      <c r="HU62" s="449"/>
      <c r="HV62" s="449"/>
      <c r="HW62" s="449"/>
      <c r="HX62" s="449"/>
      <c r="HY62" s="449"/>
      <c r="HZ62" s="449"/>
      <c r="IA62" s="449"/>
      <c r="IB62" s="449"/>
      <c r="IC62" s="449"/>
      <c r="ID62" s="449"/>
      <c r="IE62" s="449"/>
      <c r="IF62" s="449"/>
      <c r="IG62" s="449"/>
      <c r="IH62" s="449"/>
      <c r="II62" s="449"/>
      <c r="IJ62" s="449"/>
      <c r="IK62" s="449"/>
      <c r="IL62" s="449"/>
      <c r="IM62" s="449"/>
      <c r="IN62" s="449"/>
      <c r="IO62" s="449"/>
      <c r="IP62" s="449"/>
      <c r="IQ62" s="449"/>
      <c r="IR62" s="449"/>
      <c r="IS62" s="449"/>
      <c r="IT62" s="449"/>
      <c r="IU62" s="449"/>
      <c r="IV62" s="449"/>
    </row>
    <row r="63" spans="1:256" ht="18">
      <c r="A63" s="465"/>
      <c r="B63" s="449"/>
      <c r="C63" s="449"/>
      <c r="D63" s="466"/>
      <c r="E63" s="454"/>
      <c r="F63" s="466"/>
      <c r="G63" s="454"/>
      <c r="H63" s="466"/>
      <c r="I63" s="454"/>
      <c r="J63" s="466"/>
      <c r="K63" s="454"/>
      <c r="L63" s="466"/>
      <c r="M63" s="449"/>
      <c r="N63" s="449"/>
      <c r="O63" s="462"/>
      <c r="P63" s="462"/>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c r="AV63" s="449"/>
      <c r="AW63" s="449"/>
      <c r="AX63" s="449"/>
      <c r="AY63" s="449"/>
      <c r="AZ63" s="449"/>
      <c r="BA63" s="449"/>
      <c r="BB63" s="449"/>
      <c r="BC63" s="449"/>
      <c r="BD63" s="449"/>
      <c r="BE63" s="449"/>
      <c r="BF63" s="449"/>
      <c r="BG63" s="449"/>
      <c r="BH63" s="449"/>
      <c r="BI63" s="449"/>
      <c r="BJ63" s="449"/>
      <c r="BK63" s="449"/>
      <c r="BL63" s="449"/>
      <c r="BM63" s="449"/>
      <c r="BN63" s="449"/>
      <c r="BO63" s="449"/>
      <c r="BP63" s="449"/>
      <c r="BQ63" s="449"/>
      <c r="BR63" s="449"/>
      <c r="BS63" s="449"/>
      <c r="BT63" s="449"/>
      <c r="BU63" s="449"/>
      <c r="BV63" s="449"/>
      <c r="BW63" s="449"/>
      <c r="BX63" s="449"/>
      <c r="BY63" s="449"/>
      <c r="BZ63" s="449"/>
      <c r="CA63" s="449"/>
      <c r="CB63" s="449"/>
      <c r="CC63" s="449"/>
      <c r="CD63" s="449"/>
      <c r="CE63" s="449"/>
      <c r="CF63" s="449"/>
      <c r="CG63" s="449"/>
      <c r="CH63" s="449"/>
      <c r="CI63" s="449"/>
      <c r="CJ63" s="449"/>
      <c r="CK63" s="449"/>
      <c r="CL63" s="449"/>
      <c r="CM63" s="449"/>
      <c r="CN63" s="449"/>
      <c r="CO63" s="449"/>
      <c r="CP63" s="449"/>
      <c r="CQ63" s="449"/>
      <c r="CR63" s="449"/>
      <c r="CS63" s="449"/>
      <c r="CT63" s="449"/>
      <c r="CU63" s="449"/>
      <c r="CV63" s="449"/>
      <c r="CW63" s="449"/>
      <c r="CX63" s="449"/>
      <c r="CY63" s="449"/>
      <c r="CZ63" s="449"/>
      <c r="DA63" s="449"/>
      <c r="DB63" s="449"/>
      <c r="DC63" s="449"/>
      <c r="DD63" s="449"/>
      <c r="DE63" s="449"/>
      <c r="DF63" s="449"/>
      <c r="DG63" s="449"/>
      <c r="DH63" s="449"/>
      <c r="DI63" s="449"/>
      <c r="DJ63" s="449"/>
      <c r="DK63" s="449"/>
      <c r="DL63" s="449"/>
      <c r="DM63" s="449"/>
      <c r="DN63" s="449"/>
      <c r="DO63" s="449"/>
      <c r="DP63" s="449"/>
      <c r="DQ63" s="449"/>
      <c r="DR63" s="449"/>
      <c r="DS63" s="449"/>
      <c r="DT63" s="449"/>
      <c r="DU63" s="449"/>
      <c r="DV63" s="449"/>
      <c r="DW63" s="449"/>
      <c r="DX63" s="449"/>
      <c r="DY63" s="449"/>
      <c r="DZ63" s="449"/>
      <c r="EA63" s="449"/>
      <c r="EB63" s="449"/>
      <c r="EC63" s="449"/>
      <c r="ED63" s="449"/>
      <c r="EE63" s="449"/>
      <c r="EF63" s="449"/>
      <c r="EG63" s="449"/>
      <c r="EH63" s="449"/>
      <c r="EI63" s="449"/>
      <c r="EJ63" s="449"/>
      <c r="EK63" s="449"/>
      <c r="EL63" s="449"/>
      <c r="EM63" s="449"/>
      <c r="EN63" s="449"/>
      <c r="EO63" s="449"/>
      <c r="EP63" s="449"/>
      <c r="EQ63" s="449"/>
      <c r="ER63" s="449"/>
      <c r="ES63" s="449"/>
      <c r="ET63" s="449"/>
      <c r="EU63" s="449"/>
      <c r="EV63" s="449"/>
      <c r="EW63" s="449"/>
      <c r="EX63" s="449"/>
      <c r="EY63" s="449"/>
      <c r="EZ63" s="449"/>
      <c r="FA63" s="449"/>
      <c r="FB63" s="449"/>
      <c r="FC63" s="449"/>
      <c r="FD63" s="449"/>
      <c r="FE63" s="449"/>
      <c r="FF63" s="449"/>
      <c r="FG63" s="449"/>
      <c r="FH63" s="449"/>
      <c r="FI63" s="449"/>
      <c r="FJ63" s="449"/>
      <c r="FK63" s="449"/>
      <c r="FL63" s="449"/>
      <c r="FM63" s="449"/>
      <c r="FN63" s="449"/>
      <c r="FO63" s="449"/>
      <c r="FP63" s="449"/>
      <c r="FQ63" s="449"/>
      <c r="FR63" s="449"/>
      <c r="FS63" s="449"/>
      <c r="FT63" s="449"/>
      <c r="FU63" s="449"/>
      <c r="FV63" s="449"/>
      <c r="FW63" s="449"/>
      <c r="FX63" s="449"/>
      <c r="FY63" s="449"/>
      <c r="FZ63" s="449"/>
      <c r="GA63" s="449"/>
      <c r="GB63" s="449"/>
      <c r="GC63" s="449"/>
      <c r="GD63" s="449"/>
      <c r="GE63" s="449"/>
      <c r="GF63" s="449"/>
      <c r="GG63" s="449"/>
      <c r="GH63" s="449"/>
      <c r="GI63" s="449"/>
      <c r="GJ63" s="449"/>
      <c r="GK63" s="449"/>
      <c r="GL63" s="449"/>
      <c r="GM63" s="449"/>
      <c r="GN63" s="449"/>
      <c r="GO63" s="449"/>
      <c r="GP63" s="449"/>
      <c r="GQ63" s="449"/>
      <c r="GR63" s="449"/>
      <c r="GS63" s="449"/>
      <c r="GT63" s="449"/>
      <c r="GU63" s="449"/>
      <c r="GV63" s="449"/>
      <c r="GW63" s="449"/>
      <c r="GX63" s="449"/>
      <c r="GY63" s="449"/>
      <c r="GZ63" s="449"/>
      <c r="HA63" s="449"/>
      <c r="HB63" s="449"/>
      <c r="HC63" s="449"/>
      <c r="HD63" s="449"/>
      <c r="HE63" s="449"/>
      <c r="HF63" s="449"/>
      <c r="HG63" s="449"/>
      <c r="HH63" s="449"/>
      <c r="HI63" s="449"/>
      <c r="HJ63" s="449"/>
      <c r="HK63" s="449"/>
      <c r="HL63" s="449"/>
      <c r="HM63" s="449"/>
      <c r="HN63" s="449"/>
      <c r="HO63" s="449"/>
      <c r="HP63" s="449"/>
      <c r="HQ63" s="449"/>
      <c r="HR63" s="449"/>
      <c r="HS63" s="449"/>
      <c r="HT63" s="449"/>
      <c r="HU63" s="449"/>
      <c r="HV63" s="449"/>
      <c r="HW63" s="449"/>
      <c r="HX63" s="449"/>
      <c r="HY63" s="449"/>
      <c r="HZ63" s="449"/>
      <c r="IA63" s="449"/>
      <c r="IB63" s="449"/>
      <c r="IC63" s="449"/>
      <c r="ID63" s="449"/>
      <c r="IE63" s="449"/>
      <c r="IF63" s="449"/>
      <c r="IG63" s="449"/>
      <c r="IH63" s="449"/>
      <c r="II63" s="449"/>
      <c r="IJ63" s="449"/>
      <c r="IK63" s="449"/>
      <c r="IL63" s="449"/>
      <c r="IM63" s="449"/>
      <c r="IN63" s="449"/>
      <c r="IO63" s="449"/>
      <c r="IP63" s="449"/>
      <c r="IQ63" s="449"/>
      <c r="IR63" s="449"/>
      <c r="IS63" s="449"/>
      <c r="IT63" s="449"/>
      <c r="IU63" s="449"/>
      <c r="IV63" s="449"/>
    </row>
    <row r="64" spans="1:256" ht="17.5">
      <c r="A64" s="449"/>
      <c r="B64" s="449"/>
      <c r="C64" s="449"/>
      <c r="D64" s="454"/>
      <c r="E64" s="449"/>
      <c r="F64" s="454"/>
      <c r="G64" s="449"/>
      <c r="H64" s="454"/>
      <c r="I64" s="449"/>
      <c r="J64" s="454"/>
      <c r="K64" s="449"/>
      <c r="L64" s="454"/>
      <c r="M64" s="449"/>
      <c r="N64" s="449"/>
      <c r="O64" s="462"/>
      <c r="P64" s="462"/>
      <c r="Q64" s="449"/>
      <c r="R64" s="449"/>
      <c r="S64" s="449"/>
      <c r="T64" s="449"/>
      <c r="U64" s="449"/>
      <c r="V64" s="449"/>
      <c r="W64" s="449"/>
      <c r="X64" s="449"/>
      <c r="Y64" s="449"/>
      <c r="Z64" s="449"/>
      <c r="AA64" s="449"/>
      <c r="AB64" s="449"/>
      <c r="AC64" s="449"/>
      <c r="AD64" s="449"/>
      <c r="AE64" s="449"/>
      <c r="AF64" s="449"/>
      <c r="AG64" s="449"/>
      <c r="AH64" s="449"/>
      <c r="AI64" s="449"/>
      <c r="AJ64" s="449"/>
      <c r="AK64" s="449"/>
      <c r="AL64" s="449"/>
      <c r="AM64" s="449"/>
      <c r="AN64" s="449"/>
      <c r="AO64" s="449"/>
      <c r="AP64" s="449"/>
      <c r="AQ64" s="449"/>
      <c r="AR64" s="449"/>
      <c r="AS64" s="449"/>
      <c r="AT64" s="449"/>
      <c r="AU64" s="449"/>
      <c r="AV64" s="449"/>
      <c r="AW64" s="449"/>
      <c r="AX64" s="449"/>
      <c r="AY64" s="449"/>
      <c r="AZ64" s="449"/>
      <c r="BA64" s="449"/>
      <c r="BB64" s="449"/>
      <c r="BC64" s="449"/>
      <c r="BD64" s="449"/>
      <c r="BE64" s="449"/>
      <c r="BF64" s="449"/>
      <c r="BG64" s="449"/>
      <c r="BH64" s="449"/>
      <c r="BI64" s="449"/>
      <c r="BJ64" s="449"/>
      <c r="BK64" s="449"/>
      <c r="BL64" s="449"/>
      <c r="BM64" s="449"/>
      <c r="BN64" s="449"/>
      <c r="BO64" s="449"/>
      <c r="BP64" s="449"/>
      <c r="BQ64" s="449"/>
      <c r="BR64" s="449"/>
      <c r="BS64" s="449"/>
      <c r="BT64" s="449"/>
      <c r="BU64" s="449"/>
      <c r="BV64" s="449"/>
      <c r="BW64" s="449"/>
      <c r="BX64" s="449"/>
      <c r="BY64" s="449"/>
      <c r="BZ64" s="449"/>
      <c r="CA64" s="449"/>
      <c r="CB64" s="449"/>
      <c r="CC64" s="449"/>
      <c r="CD64" s="449"/>
      <c r="CE64" s="449"/>
      <c r="CF64" s="449"/>
      <c r="CG64" s="449"/>
      <c r="CH64" s="449"/>
      <c r="CI64" s="449"/>
      <c r="CJ64" s="449"/>
      <c r="CK64" s="449"/>
      <c r="CL64" s="449"/>
      <c r="CM64" s="449"/>
      <c r="CN64" s="449"/>
      <c r="CO64" s="449"/>
      <c r="CP64" s="449"/>
      <c r="CQ64" s="449"/>
      <c r="CR64" s="449"/>
      <c r="CS64" s="449"/>
      <c r="CT64" s="449"/>
      <c r="CU64" s="449"/>
      <c r="CV64" s="449"/>
      <c r="CW64" s="449"/>
      <c r="CX64" s="449"/>
      <c r="CY64" s="449"/>
      <c r="CZ64" s="449"/>
      <c r="DA64" s="449"/>
      <c r="DB64" s="449"/>
      <c r="DC64" s="449"/>
      <c r="DD64" s="449"/>
      <c r="DE64" s="449"/>
      <c r="DF64" s="449"/>
      <c r="DG64" s="449"/>
      <c r="DH64" s="449"/>
      <c r="DI64" s="449"/>
      <c r="DJ64" s="449"/>
      <c r="DK64" s="449"/>
      <c r="DL64" s="449"/>
      <c r="DM64" s="449"/>
      <c r="DN64" s="449"/>
      <c r="DO64" s="449"/>
      <c r="DP64" s="449"/>
      <c r="DQ64" s="449"/>
      <c r="DR64" s="449"/>
      <c r="DS64" s="449"/>
      <c r="DT64" s="449"/>
      <c r="DU64" s="449"/>
      <c r="DV64" s="449"/>
      <c r="DW64" s="449"/>
      <c r="DX64" s="449"/>
      <c r="DY64" s="449"/>
      <c r="DZ64" s="449"/>
      <c r="EA64" s="449"/>
      <c r="EB64" s="449"/>
      <c r="EC64" s="449"/>
      <c r="ED64" s="449"/>
      <c r="EE64" s="449"/>
      <c r="EF64" s="449"/>
      <c r="EG64" s="449"/>
      <c r="EH64" s="449"/>
      <c r="EI64" s="449"/>
      <c r="EJ64" s="449"/>
      <c r="EK64" s="449"/>
      <c r="EL64" s="449"/>
      <c r="EM64" s="449"/>
      <c r="EN64" s="449"/>
      <c r="EO64" s="449"/>
      <c r="EP64" s="449"/>
      <c r="EQ64" s="449"/>
      <c r="ER64" s="449"/>
      <c r="ES64" s="449"/>
      <c r="ET64" s="449"/>
      <c r="EU64" s="449"/>
      <c r="EV64" s="449"/>
      <c r="EW64" s="449"/>
      <c r="EX64" s="449"/>
      <c r="EY64" s="449"/>
      <c r="EZ64" s="449"/>
      <c r="FA64" s="449"/>
      <c r="FB64" s="449"/>
      <c r="FC64" s="449"/>
      <c r="FD64" s="449"/>
      <c r="FE64" s="449"/>
      <c r="FF64" s="449"/>
      <c r="FG64" s="449"/>
      <c r="FH64" s="449"/>
      <c r="FI64" s="449"/>
      <c r="FJ64" s="449"/>
      <c r="FK64" s="449"/>
      <c r="FL64" s="449"/>
      <c r="FM64" s="449"/>
      <c r="FN64" s="449"/>
      <c r="FO64" s="449"/>
      <c r="FP64" s="449"/>
      <c r="FQ64" s="449"/>
      <c r="FR64" s="449"/>
      <c r="FS64" s="449"/>
      <c r="FT64" s="449"/>
      <c r="FU64" s="449"/>
      <c r="FV64" s="449"/>
      <c r="FW64" s="449"/>
      <c r="FX64" s="449"/>
      <c r="FY64" s="449"/>
      <c r="FZ64" s="449"/>
      <c r="GA64" s="449"/>
      <c r="GB64" s="449"/>
      <c r="GC64" s="449"/>
      <c r="GD64" s="449"/>
      <c r="GE64" s="449"/>
      <c r="GF64" s="449"/>
      <c r="GG64" s="449"/>
      <c r="GH64" s="449"/>
      <c r="GI64" s="449"/>
      <c r="GJ64" s="449"/>
      <c r="GK64" s="449"/>
      <c r="GL64" s="449"/>
      <c r="GM64" s="449"/>
      <c r="GN64" s="449"/>
      <c r="GO64" s="449"/>
      <c r="GP64" s="449"/>
      <c r="GQ64" s="449"/>
      <c r="GR64" s="449"/>
      <c r="GS64" s="449"/>
      <c r="GT64" s="449"/>
      <c r="GU64" s="449"/>
      <c r="GV64" s="449"/>
      <c r="GW64" s="449"/>
      <c r="GX64" s="449"/>
      <c r="GY64" s="449"/>
      <c r="GZ64" s="449"/>
      <c r="HA64" s="449"/>
      <c r="HB64" s="449"/>
      <c r="HC64" s="449"/>
      <c r="HD64" s="449"/>
      <c r="HE64" s="449"/>
      <c r="HF64" s="449"/>
      <c r="HG64" s="449"/>
      <c r="HH64" s="449"/>
      <c r="HI64" s="449"/>
      <c r="HJ64" s="449"/>
      <c r="HK64" s="449"/>
      <c r="HL64" s="449"/>
      <c r="HM64" s="449"/>
      <c r="HN64" s="449"/>
      <c r="HO64" s="449"/>
      <c r="HP64" s="449"/>
      <c r="HQ64" s="449"/>
      <c r="HR64" s="449"/>
      <c r="HS64" s="449"/>
      <c r="HT64" s="449"/>
      <c r="HU64" s="449"/>
      <c r="HV64" s="449"/>
      <c r="HW64" s="449"/>
      <c r="HX64" s="449"/>
      <c r="HY64" s="449"/>
      <c r="HZ64" s="449"/>
      <c r="IA64" s="449"/>
      <c r="IB64" s="449"/>
      <c r="IC64" s="449"/>
      <c r="ID64" s="449"/>
      <c r="IE64" s="449"/>
      <c r="IF64" s="449"/>
      <c r="IG64" s="449"/>
      <c r="IH64" s="449"/>
      <c r="II64" s="449"/>
      <c r="IJ64" s="449"/>
      <c r="IK64" s="449"/>
      <c r="IL64" s="449"/>
      <c r="IM64" s="449"/>
      <c r="IN64" s="449"/>
      <c r="IO64" s="449"/>
      <c r="IP64" s="449"/>
      <c r="IQ64" s="449"/>
      <c r="IR64" s="449"/>
      <c r="IS64" s="449"/>
      <c r="IT64" s="449"/>
      <c r="IU64" s="449"/>
      <c r="IV64" s="449"/>
    </row>
    <row r="65" spans="1:256" ht="18">
      <c r="A65" s="452"/>
      <c r="B65" s="449"/>
      <c r="C65" s="449"/>
      <c r="D65" s="449"/>
      <c r="E65" s="449"/>
      <c r="F65" s="449"/>
      <c r="G65" s="449"/>
      <c r="H65" s="449"/>
      <c r="I65" s="449"/>
      <c r="J65" s="449"/>
      <c r="K65" s="449"/>
      <c r="L65" s="449"/>
      <c r="M65" s="449"/>
      <c r="N65" s="449"/>
      <c r="O65" s="462"/>
      <c r="P65" s="462"/>
      <c r="Q65" s="449"/>
      <c r="R65" s="449"/>
      <c r="S65" s="449"/>
      <c r="T65" s="449"/>
      <c r="U65" s="449"/>
      <c r="V65" s="449"/>
      <c r="W65" s="449"/>
      <c r="X65" s="449"/>
      <c r="Y65" s="449"/>
      <c r="Z65" s="449"/>
      <c r="AA65" s="449"/>
      <c r="AB65" s="449"/>
      <c r="AC65" s="449"/>
      <c r="AD65" s="449"/>
      <c r="AE65" s="449"/>
      <c r="AF65" s="449"/>
      <c r="AG65" s="449"/>
      <c r="AH65" s="449"/>
      <c r="AI65" s="449"/>
      <c r="AJ65" s="449"/>
      <c r="AK65" s="449"/>
      <c r="AL65" s="449"/>
      <c r="AM65" s="449"/>
      <c r="AN65" s="449"/>
      <c r="AO65" s="449"/>
      <c r="AP65" s="449"/>
      <c r="AQ65" s="449"/>
      <c r="AR65" s="449"/>
      <c r="AS65" s="449"/>
      <c r="AT65" s="449"/>
      <c r="AU65" s="449"/>
      <c r="AV65" s="449"/>
      <c r="AW65" s="449"/>
      <c r="AX65" s="449"/>
      <c r="AY65" s="449"/>
      <c r="AZ65" s="449"/>
      <c r="BA65" s="449"/>
      <c r="BB65" s="449"/>
      <c r="BC65" s="449"/>
      <c r="BD65" s="449"/>
      <c r="BE65" s="449"/>
      <c r="BF65" s="449"/>
      <c r="BG65" s="449"/>
      <c r="BH65" s="449"/>
      <c r="BI65" s="449"/>
      <c r="BJ65" s="449"/>
      <c r="BK65" s="449"/>
      <c r="BL65" s="449"/>
      <c r="BM65" s="449"/>
      <c r="BN65" s="449"/>
      <c r="BO65" s="449"/>
      <c r="BP65" s="449"/>
      <c r="BQ65" s="449"/>
      <c r="BR65" s="449"/>
      <c r="BS65" s="449"/>
      <c r="BT65" s="449"/>
      <c r="BU65" s="449"/>
      <c r="BV65" s="449"/>
      <c r="BW65" s="449"/>
      <c r="BX65" s="449"/>
      <c r="BY65" s="449"/>
      <c r="BZ65" s="449"/>
      <c r="CA65" s="449"/>
      <c r="CB65" s="449"/>
      <c r="CC65" s="449"/>
      <c r="CD65" s="449"/>
      <c r="CE65" s="449"/>
      <c r="CF65" s="449"/>
      <c r="CG65" s="449"/>
      <c r="CH65" s="449"/>
      <c r="CI65" s="449"/>
      <c r="CJ65" s="449"/>
      <c r="CK65" s="449"/>
      <c r="CL65" s="449"/>
      <c r="CM65" s="449"/>
      <c r="CN65" s="449"/>
      <c r="CO65" s="449"/>
      <c r="CP65" s="449"/>
      <c r="CQ65" s="449"/>
      <c r="CR65" s="449"/>
      <c r="CS65" s="449"/>
      <c r="CT65" s="449"/>
      <c r="CU65" s="449"/>
      <c r="CV65" s="449"/>
      <c r="CW65" s="449"/>
      <c r="CX65" s="449"/>
      <c r="CY65" s="449"/>
      <c r="CZ65" s="449"/>
      <c r="DA65" s="449"/>
      <c r="DB65" s="449"/>
      <c r="DC65" s="449"/>
      <c r="DD65" s="449"/>
      <c r="DE65" s="449"/>
      <c r="DF65" s="449"/>
      <c r="DG65" s="449"/>
      <c r="DH65" s="449"/>
      <c r="DI65" s="449"/>
      <c r="DJ65" s="449"/>
      <c r="DK65" s="449"/>
      <c r="DL65" s="449"/>
      <c r="DM65" s="449"/>
      <c r="DN65" s="449"/>
      <c r="DO65" s="449"/>
      <c r="DP65" s="449"/>
      <c r="DQ65" s="449"/>
      <c r="DR65" s="449"/>
      <c r="DS65" s="449"/>
      <c r="DT65" s="449"/>
      <c r="DU65" s="449"/>
      <c r="DV65" s="449"/>
      <c r="DW65" s="449"/>
      <c r="DX65" s="449"/>
      <c r="DY65" s="449"/>
      <c r="DZ65" s="449"/>
      <c r="EA65" s="449"/>
      <c r="EB65" s="449"/>
      <c r="EC65" s="449"/>
      <c r="ED65" s="449"/>
      <c r="EE65" s="449"/>
      <c r="EF65" s="449"/>
      <c r="EG65" s="449"/>
      <c r="EH65" s="449"/>
      <c r="EI65" s="449"/>
      <c r="EJ65" s="449"/>
      <c r="EK65" s="449"/>
      <c r="EL65" s="449"/>
      <c r="EM65" s="449"/>
      <c r="EN65" s="449"/>
      <c r="EO65" s="449"/>
      <c r="EP65" s="449"/>
      <c r="EQ65" s="449"/>
      <c r="ER65" s="449"/>
      <c r="ES65" s="449"/>
      <c r="ET65" s="449"/>
      <c r="EU65" s="449"/>
      <c r="EV65" s="449"/>
      <c r="EW65" s="449"/>
      <c r="EX65" s="449"/>
      <c r="EY65" s="449"/>
      <c r="EZ65" s="449"/>
      <c r="FA65" s="449"/>
      <c r="FB65" s="449"/>
      <c r="FC65" s="449"/>
      <c r="FD65" s="449"/>
      <c r="FE65" s="449"/>
      <c r="FF65" s="449"/>
      <c r="FG65" s="449"/>
      <c r="FH65" s="449"/>
      <c r="FI65" s="449"/>
      <c r="FJ65" s="449"/>
      <c r="FK65" s="449"/>
      <c r="FL65" s="449"/>
      <c r="FM65" s="449"/>
      <c r="FN65" s="449"/>
      <c r="FO65" s="449"/>
      <c r="FP65" s="449"/>
      <c r="FQ65" s="449"/>
      <c r="FR65" s="449"/>
      <c r="FS65" s="449"/>
      <c r="FT65" s="449"/>
      <c r="FU65" s="449"/>
      <c r="FV65" s="449"/>
      <c r="FW65" s="449"/>
      <c r="FX65" s="449"/>
      <c r="FY65" s="449"/>
      <c r="FZ65" s="449"/>
      <c r="GA65" s="449"/>
      <c r="GB65" s="449"/>
      <c r="GC65" s="449"/>
      <c r="GD65" s="449"/>
      <c r="GE65" s="449"/>
      <c r="GF65" s="449"/>
      <c r="GG65" s="449"/>
      <c r="GH65" s="449"/>
      <c r="GI65" s="449"/>
      <c r="GJ65" s="449"/>
      <c r="GK65" s="449"/>
      <c r="GL65" s="449"/>
      <c r="GM65" s="449"/>
      <c r="GN65" s="449"/>
      <c r="GO65" s="449"/>
      <c r="GP65" s="449"/>
      <c r="GQ65" s="449"/>
      <c r="GR65" s="449"/>
      <c r="GS65" s="449"/>
      <c r="GT65" s="449"/>
      <c r="GU65" s="449"/>
      <c r="GV65" s="449"/>
      <c r="GW65" s="449"/>
      <c r="GX65" s="449"/>
      <c r="GY65" s="449"/>
      <c r="GZ65" s="449"/>
      <c r="HA65" s="449"/>
      <c r="HB65" s="449"/>
      <c r="HC65" s="449"/>
      <c r="HD65" s="449"/>
      <c r="HE65" s="449"/>
      <c r="HF65" s="449"/>
      <c r="HG65" s="449"/>
      <c r="HH65" s="449"/>
      <c r="HI65" s="449"/>
      <c r="HJ65" s="449"/>
      <c r="HK65" s="449"/>
      <c r="HL65" s="449"/>
      <c r="HM65" s="449"/>
      <c r="HN65" s="449"/>
      <c r="HO65" s="449"/>
      <c r="HP65" s="449"/>
      <c r="HQ65" s="449"/>
      <c r="HR65" s="449"/>
      <c r="HS65" s="449"/>
      <c r="HT65" s="449"/>
      <c r="HU65" s="449"/>
      <c r="HV65" s="449"/>
      <c r="HW65" s="449"/>
      <c r="HX65" s="449"/>
      <c r="HY65" s="449"/>
      <c r="HZ65" s="449"/>
      <c r="IA65" s="449"/>
      <c r="IB65" s="449"/>
      <c r="IC65" s="449"/>
      <c r="ID65" s="449"/>
      <c r="IE65" s="449"/>
      <c r="IF65" s="449"/>
      <c r="IG65" s="449"/>
      <c r="IH65" s="449"/>
      <c r="II65" s="449"/>
      <c r="IJ65" s="449"/>
      <c r="IK65" s="449"/>
      <c r="IL65" s="449"/>
      <c r="IM65" s="449"/>
      <c r="IN65" s="449"/>
      <c r="IO65" s="449"/>
      <c r="IP65" s="449"/>
      <c r="IQ65" s="449"/>
      <c r="IR65" s="449"/>
      <c r="IS65" s="449"/>
      <c r="IT65" s="449"/>
      <c r="IU65" s="449"/>
      <c r="IV65" s="449"/>
    </row>
    <row r="66" spans="1:256" ht="17.5">
      <c r="A66" s="449"/>
      <c r="B66" s="449"/>
      <c r="C66" s="449"/>
      <c r="D66" s="449"/>
      <c r="E66" s="449"/>
      <c r="F66" s="449"/>
      <c r="G66" s="449"/>
      <c r="H66" s="449"/>
      <c r="I66" s="449"/>
      <c r="J66" s="449"/>
      <c r="K66" s="449"/>
      <c r="L66" s="449"/>
      <c r="M66" s="449"/>
      <c r="N66" s="449"/>
      <c r="O66" s="462"/>
      <c r="P66" s="462"/>
      <c r="Q66" s="449"/>
      <c r="R66" s="449"/>
      <c r="S66" s="449"/>
      <c r="T66" s="449"/>
      <c r="U66" s="449"/>
      <c r="V66" s="449"/>
      <c r="W66" s="449"/>
      <c r="X66" s="449"/>
      <c r="Y66" s="449"/>
      <c r="Z66" s="449"/>
      <c r="AA66" s="449"/>
      <c r="AB66" s="449"/>
      <c r="AC66" s="449"/>
      <c r="AD66" s="449"/>
      <c r="AE66" s="449"/>
      <c r="AF66" s="449"/>
      <c r="AG66" s="449"/>
      <c r="AH66" s="449"/>
      <c r="AI66" s="449"/>
      <c r="AJ66" s="449"/>
      <c r="AK66" s="449"/>
      <c r="AL66" s="449"/>
      <c r="AM66" s="449"/>
      <c r="AN66" s="449"/>
      <c r="AO66" s="449"/>
      <c r="AP66" s="449"/>
      <c r="AQ66" s="449"/>
      <c r="AR66" s="449"/>
      <c r="AS66" s="449"/>
      <c r="AT66" s="449"/>
      <c r="AU66" s="449"/>
      <c r="AV66" s="449"/>
      <c r="AW66" s="449"/>
      <c r="AX66" s="449"/>
      <c r="AY66" s="449"/>
      <c r="AZ66" s="449"/>
      <c r="BA66" s="449"/>
      <c r="BB66" s="449"/>
      <c r="BC66" s="449"/>
      <c r="BD66" s="449"/>
      <c r="BE66" s="449"/>
      <c r="BF66" s="449"/>
      <c r="BG66" s="449"/>
      <c r="BH66" s="449"/>
      <c r="BI66" s="449"/>
      <c r="BJ66" s="449"/>
      <c r="BK66" s="449"/>
      <c r="BL66" s="449"/>
      <c r="BM66" s="449"/>
      <c r="BN66" s="449"/>
      <c r="BO66" s="449"/>
      <c r="BP66" s="449"/>
      <c r="BQ66" s="449"/>
      <c r="BR66" s="449"/>
      <c r="BS66" s="449"/>
      <c r="BT66" s="449"/>
      <c r="BU66" s="449"/>
      <c r="BV66" s="449"/>
      <c r="BW66" s="449"/>
      <c r="BX66" s="449"/>
      <c r="BY66" s="449"/>
      <c r="BZ66" s="449"/>
      <c r="CA66" s="449"/>
      <c r="CB66" s="449"/>
      <c r="CC66" s="449"/>
      <c r="CD66" s="449"/>
      <c r="CE66" s="449"/>
      <c r="CF66" s="449"/>
      <c r="CG66" s="449"/>
      <c r="CH66" s="449"/>
      <c r="CI66" s="449"/>
      <c r="CJ66" s="449"/>
      <c r="CK66" s="449"/>
      <c r="CL66" s="449"/>
      <c r="CM66" s="449"/>
      <c r="CN66" s="449"/>
      <c r="CO66" s="449"/>
      <c r="CP66" s="449"/>
      <c r="CQ66" s="449"/>
      <c r="CR66" s="449"/>
      <c r="CS66" s="449"/>
      <c r="CT66" s="449"/>
      <c r="CU66" s="449"/>
      <c r="CV66" s="449"/>
      <c r="CW66" s="449"/>
      <c r="CX66" s="449"/>
      <c r="CY66" s="449"/>
      <c r="CZ66" s="449"/>
      <c r="DA66" s="449"/>
      <c r="DB66" s="449"/>
      <c r="DC66" s="449"/>
      <c r="DD66" s="449"/>
      <c r="DE66" s="449"/>
      <c r="DF66" s="449"/>
      <c r="DG66" s="449"/>
      <c r="DH66" s="449"/>
      <c r="DI66" s="449"/>
      <c r="DJ66" s="449"/>
      <c r="DK66" s="449"/>
      <c r="DL66" s="449"/>
      <c r="DM66" s="449"/>
      <c r="DN66" s="449"/>
      <c r="DO66" s="449"/>
      <c r="DP66" s="449"/>
      <c r="DQ66" s="449"/>
      <c r="DR66" s="449"/>
      <c r="DS66" s="449"/>
      <c r="DT66" s="449"/>
      <c r="DU66" s="449"/>
      <c r="DV66" s="449"/>
      <c r="DW66" s="449"/>
      <c r="DX66" s="449"/>
      <c r="DY66" s="449"/>
      <c r="DZ66" s="449"/>
      <c r="EA66" s="449"/>
      <c r="EB66" s="449"/>
      <c r="EC66" s="449"/>
      <c r="ED66" s="449"/>
      <c r="EE66" s="449"/>
      <c r="EF66" s="449"/>
      <c r="EG66" s="449"/>
      <c r="EH66" s="449"/>
      <c r="EI66" s="449"/>
      <c r="EJ66" s="449"/>
      <c r="EK66" s="449"/>
      <c r="EL66" s="449"/>
      <c r="EM66" s="449"/>
      <c r="EN66" s="449"/>
      <c r="EO66" s="449"/>
      <c r="EP66" s="449"/>
      <c r="EQ66" s="449"/>
      <c r="ER66" s="449"/>
      <c r="ES66" s="449"/>
      <c r="ET66" s="449"/>
      <c r="EU66" s="449"/>
      <c r="EV66" s="449"/>
      <c r="EW66" s="449"/>
      <c r="EX66" s="449"/>
      <c r="EY66" s="449"/>
      <c r="EZ66" s="449"/>
      <c r="FA66" s="449"/>
      <c r="FB66" s="449"/>
      <c r="FC66" s="449"/>
      <c r="FD66" s="449"/>
      <c r="FE66" s="449"/>
      <c r="FF66" s="449"/>
      <c r="FG66" s="449"/>
      <c r="FH66" s="449"/>
      <c r="FI66" s="449"/>
      <c r="FJ66" s="449"/>
      <c r="FK66" s="449"/>
      <c r="FL66" s="449"/>
      <c r="FM66" s="449"/>
      <c r="FN66" s="449"/>
      <c r="FO66" s="449"/>
      <c r="FP66" s="449"/>
      <c r="FQ66" s="449"/>
      <c r="FR66" s="449"/>
      <c r="FS66" s="449"/>
      <c r="FT66" s="449"/>
      <c r="FU66" s="449"/>
      <c r="FV66" s="449"/>
      <c r="FW66" s="449"/>
      <c r="FX66" s="449"/>
      <c r="FY66" s="449"/>
      <c r="FZ66" s="449"/>
      <c r="GA66" s="449"/>
      <c r="GB66" s="449"/>
      <c r="GC66" s="449"/>
      <c r="GD66" s="449"/>
      <c r="GE66" s="449"/>
      <c r="GF66" s="449"/>
      <c r="GG66" s="449"/>
      <c r="GH66" s="449"/>
      <c r="GI66" s="449"/>
      <c r="GJ66" s="449"/>
      <c r="GK66" s="449"/>
      <c r="GL66" s="449"/>
      <c r="GM66" s="449"/>
      <c r="GN66" s="449"/>
      <c r="GO66" s="449"/>
      <c r="GP66" s="449"/>
      <c r="GQ66" s="449"/>
      <c r="GR66" s="449"/>
      <c r="GS66" s="449"/>
      <c r="GT66" s="449"/>
      <c r="GU66" s="449"/>
      <c r="GV66" s="449"/>
      <c r="GW66" s="449"/>
      <c r="GX66" s="449"/>
      <c r="GY66" s="449"/>
      <c r="GZ66" s="449"/>
      <c r="HA66" s="449"/>
      <c r="HB66" s="449"/>
      <c r="HC66" s="449"/>
      <c r="HD66" s="449"/>
      <c r="HE66" s="449"/>
      <c r="HF66" s="449"/>
      <c r="HG66" s="449"/>
      <c r="HH66" s="449"/>
      <c r="HI66" s="449"/>
      <c r="HJ66" s="449"/>
      <c r="HK66" s="449"/>
      <c r="HL66" s="449"/>
      <c r="HM66" s="449"/>
      <c r="HN66" s="449"/>
      <c r="HO66" s="449"/>
      <c r="HP66" s="449"/>
      <c r="HQ66" s="449"/>
      <c r="HR66" s="449"/>
      <c r="HS66" s="449"/>
      <c r="HT66" s="449"/>
      <c r="HU66" s="449"/>
      <c r="HV66" s="449"/>
      <c r="HW66" s="449"/>
      <c r="HX66" s="449"/>
      <c r="HY66" s="449"/>
      <c r="HZ66" s="449"/>
      <c r="IA66" s="449"/>
      <c r="IB66" s="449"/>
      <c r="IC66" s="449"/>
      <c r="ID66" s="449"/>
      <c r="IE66" s="449"/>
      <c r="IF66" s="449"/>
      <c r="IG66" s="449"/>
      <c r="IH66" s="449"/>
      <c r="II66" s="449"/>
      <c r="IJ66" s="449"/>
      <c r="IK66" s="449"/>
      <c r="IL66" s="449"/>
      <c r="IM66" s="449"/>
      <c r="IN66" s="449"/>
      <c r="IO66" s="449"/>
      <c r="IP66" s="449"/>
      <c r="IQ66" s="449"/>
      <c r="IR66" s="449"/>
      <c r="IS66" s="449"/>
      <c r="IT66" s="449"/>
      <c r="IU66" s="449"/>
      <c r="IV66" s="449"/>
    </row>
    <row r="67" spans="1:256" ht="20.149999999999999" customHeight="1">
      <c r="A67" s="449"/>
      <c r="B67" s="449"/>
      <c r="C67" s="467"/>
      <c r="D67" s="468"/>
      <c r="E67" s="467"/>
      <c r="F67" s="469"/>
      <c r="G67" s="467"/>
      <c r="H67" s="470"/>
      <c r="I67" s="467"/>
      <c r="J67" s="471"/>
      <c r="K67" s="467"/>
      <c r="L67" s="468"/>
      <c r="M67" s="449"/>
      <c r="N67" s="449"/>
      <c r="O67" s="462"/>
      <c r="P67" s="462"/>
      <c r="Q67" s="449"/>
      <c r="R67" s="449"/>
      <c r="S67" s="449"/>
      <c r="T67" s="449"/>
      <c r="U67" s="449"/>
      <c r="V67" s="449"/>
      <c r="W67" s="449"/>
      <c r="X67" s="449"/>
      <c r="Y67" s="449"/>
      <c r="Z67" s="449"/>
      <c r="AA67" s="449"/>
      <c r="AB67" s="449"/>
      <c r="AC67" s="449"/>
      <c r="AD67" s="449"/>
      <c r="AE67" s="449"/>
      <c r="AF67" s="449"/>
      <c r="AG67" s="449"/>
      <c r="AH67" s="449"/>
      <c r="AI67" s="449"/>
      <c r="AJ67" s="449"/>
      <c r="AK67" s="449"/>
      <c r="AL67" s="449"/>
      <c r="AM67" s="449"/>
      <c r="AN67" s="449"/>
      <c r="AO67" s="449"/>
      <c r="AP67" s="449"/>
      <c r="AQ67" s="449"/>
      <c r="AR67" s="449"/>
      <c r="AS67" s="449"/>
      <c r="AT67" s="449"/>
      <c r="AU67" s="449"/>
      <c r="AV67" s="449"/>
      <c r="AW67" s="449"/>
      <c r="AX67" s="449"/>
      <c r="AY67" s="449"/>
      <c r="AZ67" s="449"/>
      <c r="BA67" s="449"/>
      <c r="BB67" s="449"/>
      <c r="BC67" s="449"/>
      <c r="BD67" s="449"/>
      <c r="BE67" s="449"/>
      <c r="BF67" s="449"/>
      <c r="BG67" s="449"/>
      <c r="BH67" s="449"/>
      <c r="BI67" s="449"/>
      <c r="BJ67" s="449"/>
      <c r="BK67" s="449"/>
      <c r="BL67" s="449"/>
      <c r="BM67" s="449"/>
      <c r="BN67" s="449"/>
      <c r="BO67" s="449"/>
      <c r="BP67" s="449"/>
      <c r="BQ67" s="449"/>
      <c r="BR67" s="449"/>
      <c r="BS67" s="449"/>
      <c r="BT67" s="449"/>
      <c r="BU67" s="449"/>
      <c r="BV67" s="449"/>
      <c r="BW67" s="449"/>
      <c r="BX67" s="449"/>
      <c r="BY67" s="449"/>
      <c r="BZ67" s="449"/>
      <c r="CA67" s="449"/>
      <c r="CB67" s="449"/>
      <c r="CC67" s="449"/>
      <c r="CD67" s="449"/>
      <c r="CE67" s="449"/>
      <c r="CF67" s="449"/>
      <c r="CG67" s="449"/>
      <c r="CH67" s="449"/>
      <c r="CI67" s="449"/>
      <c r="CJ67" s="449"/>
      <c r="CK67" s="449"/>
      <c r="CL67" s="449"/>
      <c r="CM67" s="449"/>
      <c r="CN67" s="449"/>
      <c r="CO67" s="449"/>
      <c r="CP67" s="449"/>
      <c r="CQ67" s="449"/>
      <c r="CR67" s="449"/>
      <c r="CS67" s="449"/>
      <c r="CT67" s="449"/>
      <c r="CU67" s="449"/>
      <c r="CV67" s="449"/>
      <c r="CW67" s="449"/>
      <c r="CX67" s="449"/>
      <c r="CY67" s="449"/>
      <c r="CZ67" s="449"/>
      <c r="DA67" s="449"/>
      <c r="DB67" s="449"/>
      <c r="DC67" s="449"/>
      <c r="DD67" s="449"/>
      <c r="DE67" s="449"/>
      <c r="DF67" s="449"/>
      <c r="DG67" s="449"/>
      <c r="DH67" s="449"/>
      <c r="DI67" s="449"/>
      <c r="DJ67" s="449"/>
      <c r="DK67" s="449"/>
      <c r="DL67" s="449"/>
      <c r="DM67" s="449"/>
      <c r="DN67" s="449"/>
      <c r="DO67" s="449"/>
      <c r="DP67" s="449"/>
      <c r="DQ67" s="449"/>
      <c r="DR67" s="449"/>
      <c r="DS67" s="449"/>
      <c r="DT67" s="449"/>
      <c r="DU67" s="449"/>
      <c r="DV67" s="449"/>
      <c r="DW67" s="449"/>
      <c r="DX67" s="449"/>
      <c r="DY67" s="449"/>
      <c r="DZ67" s="449"/>
      <c r="EA67" s="449"/>
      <c r="EB67" s="449"/>
      <c r="EC67" s="449"/>
      <c r="ED67" s="449"/>
      <c r="EE67" s="449"/>
      <c r="EF67" s="449"/>
      <c r="EG67" s="449"/>
      <c r="EH67" s="449"/>
      <c r="EI67" s="449"/>
      <c r="EJ67" s="449"/>
      <c r="EK67" s="449"/>
      <c r="EL67" s="449"/>
      <c r="EM67" s="449"/>
      <c r="EN67" s="449"/>
      <c r="EO67" s="449"/>
      <c r="EP67" s="449"/>
      <c r="EQ67" s="449"/>
      <c r="ER67" s="449"/>
      <c r="ES67" s="449"/>
      <c r="ET67" s="449"/>
      <c r="EU67" s="449"/>
      <c r="EV67" s="449"/>
      <c r="EW67" s="449"/>
      <c r="EX67" s="449"/>
      <c r="EY67" s="449"/>
      <c r="EZ67" s="449"/>
      <c r="FA67" s="449"/>
      <c r="FB67" s="449"/>
      <c r="FC67" s="449"/>
      <c r="FD67" s="449"/>
      <c r="FE67" s="449"/>
      <c r="FF67" s="449"/>
      <c r="FG67" s="449"/>
      <c r="FH67" s="449"/>
      <c r="FI67" s="449"/>
      <c r="FJ67" s="449"/>
      <c r="FK67" s="449"/>
      <c r="FL67" s="449"/>
      <c r="FM67" s="449"/>
      <c r="FN67" s="449"/>
      <c r="FO67" s="449"/>
      <c r="FP67" s="449"/>
      <c r="FQ67" s="449"/>
      <c r="FR67" s="449"/>
      <c r="FS67" s="449"/>
      <c r="FT67" s="449"/>
      <c r="FU67" s="449"/>
      <c r="FV67" s="449"/>
      <c r="FW67" s="449"/>
      <c r="FX67" s="449"/>
      <c r="FY67" s="449"/>
      <c r="FZ67" s="449"/>
      <c r="GA67" s="449"/>
      <c r="GB67" s="449"/>
      <c r="GC67" s="449"/>
      <c r="GD67" s="449"/>
      <c r="GE67" s="449"/>
      <c r="GF67" s="449"/>
      <c r="GG67" s="449"/>
      <c r="GH67" s="449"/>
      <c r="GI67" s="449"/>
      <c r="GJ67" s="449"/>
      <c r="GK67" s="449"/>
      <c r="GL67" s="449"/>
      <c r="GM67" s="449"/>
      <c r="GN67" s="449"/>
      <c r="GO67" s="449"/>
      <c r="GP67" s="449"/>
      <c r="GQ67" s="449"/>
      <c r="GR67" s="449"/>
      <c r="GS67" s="449"/>
      <c r="GT67" s="449"/>
      <c r="GU67" s="449"/>
      <c r="GV67" s="449"/>
      <c r="GW67" s="449"/>
      <c r="GX67" s="449"/>
      <c r="GY67" s="449"/>
      <c r="GZ67" s="449"/>
      <c r="HA67" s="449"/>
      <c r="HB67" s="449"/>
      <c r="HC67" s="449"/>
      <c r="HD67" s="449"/>
      <c r="HE67" s="449"/>
      <c r="HF67" s="449"/>
      <c r="HG67" s="449"/>
      <c r="HH67" s="449"/>
      <c r="HI67" s="449"/>
      <c r="HJ67" s="449"/>
      <c r="HK67" s="449"/>
      <c r="HL67" s="449"/>
      <c r="HM67" s="449"/>
      <c r="HN67" s="449"/>
      <c r="HO67" s="449"/>
      <c r="HP67" s="449"/>
      <c r="HQ67" s="449"/>
      <c r="HR67" s="449"/>
      <c r="HS67" s="449"/>
      <c r="HT67" s="449"/>
      <c r="HU67" s="449"/>
      <c r="HV67" s="449"/>
      <c r="HW67" s="449"/>
      <c r="HX67" s="449"/>
      <c r="HY67" s="449"/>
      <c r="HZ67" s="449"/>
      <c r="IA67" s="449"/>
      <c r="IB67" s="449"/>
      <c r="IC67" s="449"/>
      <c r="ID67" s="449"/>
      <c r="IE67" s="449"/>
      <c r="IF67" s="449"/>
      <c r="IG67" s="449"/>
      <c r="IH67" s="449"/>
      <c r="II67" s="449"/>
      <c r="IJ67" s="449"/>
      <c r="IK67" s="449"/>
      <c r="IL67" s="449"/>
      <c r="IM67" s="449"/>
      <c r="IN67" s="449"/>
      <c r="IO67" s="449"/>
      <c r="IP67" s="449"/>
      <c r="IQ67" s="449"/>
      <c r="IR67" s="449"/>
      <c r="IS67" s="449"/>
      <c r="IT67" s="449"/>
      <c r="IU67" s="449"/>
      <c r="IV67" s="449"/>
    </row>
    <row r="68" spans="1:256" ht="20.149999999999999" customHeight="1">
      <c r="A68" s="449"/>
      <c r="B68" s="449"/>
      <c r="C68" s="449"/>
      <c r="D68" s="468"/>
      <c r="E68" s="449"/>
      <c r="F68" s="449"/>
      <c r="G68" s="449"/>
      <c r="H68" s="470"/>
      <c r="I68" s="449"/>
      <c r="J68" s="471"/>
      <c r="K68" s="449"/>
      <c r="L68" s="468"/>
      <c r="M68" s="449"/>
      <c r="N68" s="449"/>
      <c r="O68" s="462"/>
      <c r="P68" s="462"/>
      <c r="Q68" s="449"/>
      <c r="R68" s="449"/>
      <c r="S68" s="449"/>
      <c r="T68" s="449"/>
      <c r="U68" s="449"/>
      <c r="V68" s="449"/>
      <c r="W68" s="449"/>
      <c r="X68" s="449"/>
      <c r="Y68" s="449"/>
      <c r="Z68" s="449"/>
      <c r="AA68" s="449"/>
      <c r="AB68" s="449"/>
      <c r="AC68" s="449"/>
      <c r="AD68" s="449"/>
      <c r="AE68" s="449"/>
      <c r="AF68" s="449"/>
      <c r="AG68" s="449"/>
      <c r="AH68" s="449"/>
      <c r="AI68" s="449"/>
      <c r="AJ68" s="449"/>
      <c r="AK68" s="449"/>
      <c r="AL68" s="449"/>
      <c r="AM68" s="449"/>
      <c r="AN68" s="449"/>
      <c r="AO68" s="449"/>
      <c r="AP68" s="449"/>
      <c r="AQ68" s="449"/>
      <c r="AR68" s="449"/>
      <c r="AS68" s="449"/>
      <c r="AT68" s="449"/>
      <c r="AU68" s="449"/>
      <c r="AV68" s="449"/>
      <c r="AW68" s="449"/>
      <c r="AX68" s="449"/>
      <c r="AY68" s="449"/>
      <c r="AZ68" s="449"/>
      <c r="BA68" s="449"/>
      <c r="BB68" s="449"/>
      <c r="BC68" s="449"/>
      <c r="BD68" s="449"/>
      <c r="BE68" s="449"/>
      <c r="BF68" s="449"/>
      <c r="BG68" s="449"/>
      <c r="BH68" s="449"/>
      <c r="BI68" s="449"/>
      <c r="BJ68" s="449"/>
      <c r="BK68" s="449"/>
      <c r="BL68" s="449"/>
      <c r="BM68" s="449"/>
      <c r="BN68" s="449"/>
      <c r="BO68" s="449"/>
      <c r="BP68" s="449"/>
      <c r="BQ68" s="449"/>
      <c r="BR68" s="449"/>
      <c r="BS68" s="449"/>
      <c r="BT68" s="449"/>
      <c r="BU68" s="449"/>
      <c r="BV68" s="449"/>
      <c r="BW68" s="449"/>
      <c r="BX68" s="449"/>
      <c r="BY68" s="449"/>
      <c r="BZ68" s="449"/>
      <c r="CA68" s="449"/>
      <c r="CB68" s="449"/>
      <c r="CC68" s="449"/>
      <c r="CD68" s="449"/>
      <c r="CE68" s="449"/>
      <c r="CF68" s="449"/>
      <c r="CG68" s="449"/>
      <c r="CH68" s="449"/>
      <c r="CI68" s="449"/>
      <c r="CJ68" s="449"/>
      <c r="CK68" s="449"/>
      <c r="CL68" s="449"/>
      <c r="CM68" s="449"/>
      <c r="CN68" s="449"/>
      <c r="CO68" s="449"/>
      <c r="CP68" s="449"/>
      <c r="CQ68" s="449"/>
      <c r="CR68" s="449"/>
      <c r="CS68" s="449"/>
      <c r="CT68" s="449"/>
      <c r="CU68" s="449"/>
      <c r="CV68" s="449"/>
      <c r="CW68" s="449"/>
      <c r="CX68" s="449"/>
      <c r="CY68" s="449"/>
      <c r="CZ68" s="449"/>
      <c r="DA68" s="449"/>
      <c r="DB68" s="449"/>
      <c r="DC68" s="449"/>
      <c r="DD68" s="449"/>
      <c r="DE68" s="449"/>
      <c r="DF68" s="449"/>
      <c r="DG68" s="449"/>
      <c r="DH68" s="449"/>
      <c r="DI68" s="449"/>
      <c r="DJ68" s="449"/>
      <c r="DK68" s="449"/>
      <c r="DL68" s="449"/>
      <c r="DM68" s="449"/>
      <c r="DN68" s="449"/>
      <c r="DO68" s="449"/>
      <c r="DP68" s="449"/>
      <c r="DQ68" s="449"/>
      <c r="DR68" s="449"/>
      <c r="DS68" s="449"/>
      <c r="DT68" s="449"/>
      <c r="DU68" s="449"/>
      <c r="DV68" s="449"/>
      <c r="DW68" s="449"/>
      <c r="DX68" s="449"/>
      <c r="DY68" s="449"/>
      <c r="DZ68" s="449"/>
      <c r="EA68" s="449"/>
      <c r="EB68" s="449"/>
      <c r="EC68" s="449"/>
      <c r="ED68" s="449"/>
      <c r="EE68" s="449"/>
      <c r="EF68" s="449"/>
      <c r="EG68" s="449"/>
      <c r="EH68" s="449"/>
      <c r="EI68" s="449"/>
      <c r="EJ68" s="449"/>
      <c r="EK68" s="449"/>
      <c r="EL68" s="449"/>
      <c r="EM68" s="449"/>
      <c r="EN68" s="449"/>
      <c r="EO68" s="449"/>
      <c r="EP68" s="449"/>
      <c r="EQ68" s="449"/>
      <c r="ER68" s="449"/>
      <c r="ES68" s="449"/>
      <c r="ET68" s="449"/>
      <c r="EU68" s="449"/>
      <c r="EV68" s="449"/>
      <c r="EW68" s="449"/>
      <c r="EX68" s="449"/>
      <c r="EY68" s="449"/>
      <c r="EZ68" s="449"/>
      <c r="FA68" s="449"/>
      <c r="FB68" s="449"/>
      <c r="FC68" s="449"/>
      <c r="FD68" s="449"/>
      <c r="FE68" s="449"/>
      <c r="FF68" s="449"/>
      <c r="FG68" s="449"/>
      <c r="FH68" s="449"/>
      <c r="FI68" s="449"/>
      <c r="FJ68" s="449"/>
      <c r="FK68" s="449"/>
      <c r="FL68" s="449"/>
      <c r="FM68" s="449"/>
      <c r="FN68" s="449"/>
      <c r="FO68" s="449"/>
      <c r="FP68" s="449"/>
      <c r="FQ68" s="449"/>
      <c r="FR68" s="449"/>
      <c r="FS68" s="449"/>
      <c r="FT68" s="449"/>
      <c r="FU68" s="449"/>
      <c r="FV68" s="449"/>
      <c r="FW68" s="449"/>
      <c r="FX68" s="449"/>
      <c r="FY68" s="449"/>
      <c r="FZ68" s="449"/>
      <c r="GA68" s="449"/>
      <c r="GB68" s="449"/>
      <c r="GC68" s="449"/>
      <c r="GD68" s="449"/>
      <c r="GE68" s="449"/>
      <c r="GF68" s="449"/>
      <c r="GG68" s="449"/>
      <c r="GH68" s="449"/>
      <c r="GI68" s="449"/>
      <c r="GJ68" s="449"/>
      <c r="GK68" s="449"/>
      <c r="GL68" s="449"/>
      <c r="GM68" s="449"/>
      <c r="GN68" s="449"/>
      <c r="GO68" s="449"/>
      <c r="GP68" s="449"/>
      <c r="GQ68" s="449"/>
      <c r="GR68" s="449"/>
      <c r="GS68" s="449"/>
      <c r="GT68" s="449"/>
      <c r="GU68" s="449"/>
      <c r="GV68" s="449"/>
      <c r="GW68" s="449"/>
      <c r="GX68" s="449"/>
      <c r="GY68" s="449"/>
      <c r="GZ68" s="449"/>
      <c r="HA68" s="449"/>
      <c r="HB68" s="449"/>
      <c r="HC68" s="449"/>
      <c r="HD68" s="449"/>
      <c r="HE68" s="449"/>
      <c r="HF68" s="449"/>
      <c r="HG68" s="449"/>
      <c r="HH68" s="449"/>
      <c r="HI68" s="449"/>
      <c r="HJ68" s="449"/>
      <c r="HK68" s="449"/>
      <c r="HL68" s="449"/>
      <c r="HM68" s="449"/>
      <c r="HN68" s="449"/>
      <c r="HO68" s="449"/>
      <c r="HP68" s="449"/>
      <c r="HQ68" s="449"/>
      <c r="HR68" s="449"/>
      <c r="HS68" s="449"/>
      <c r="HT68" s="449"/>
      <c r="HU68" s="449"/>
      <c r="HV68" s="449"/>
      <c r="HW68" s="449"/>
      <c r="HX68" s="449"/>
      <c r="HY68" s="449"/>
      <c r="HZ68" s="449"/>
      <c r="IA68" s="449"/>
      <c r="IB68" s="449"/>
      <c r="IC68" s="449"/>
      <c r="ID68" s="449"/>
      <c r="IE68" s="449"/>
      <c r="IF68" s="449"/>
      <c r="IG68" s="449"/>
      <c r="IH68" s="449"/>
      <c r="II68" s="449"/>
      <c r="IJ68" s="449"/>
      <c r="IK68" s="449"/>
      <c r="IL68" s="449"/>
      <c r="IM68" s="449"/>
      <c r="IN68" s="449"/>
      <c r="IO68" s="449"/>
      <c r="IP68" s="449"/>
      <c r="IQ68" s="449"/>
      <c r="IR68" s="449"/>
      <c r="IS68" s="449"/>
      <c r="IT68" s="449"/>
      <c r="IU68" s="449"/>
      <c r="IV68" s="449"/>
    </row>
    <row r="69" spans="1:256" ht="20.149999999999999" customHeight="1">
      <c r="A69" s="449"/>
      <c r="B69" s="449"/>
      <c r="C69" s="449"/>
      <c r="D69" s="468"/>
      <c r="E69" s="449"/>
      <c r="F69" s="449"/>
      <c r="G69" s="449"/>
      <c r="H69" s="472"/>
      <c r="I69" s="449"/>
      <c r="J69" s="471"/>
      <c r="K69" s="449"/>
      <c r="L69" s="468"/>
      <c r="M69" s="449"/>
      <c r="N69" s="449"/>
      <c r="O69" s="449"/>
      <c r="P69" s="449"/>
      <c r="Q69" s="449"/>
      <c r="R69" s="449"/>
      <c r="S69" s="449"/>
      <c r="T69" s="449"/>
      <c r="U69" s="449"/>
      <c r="V69" s="449"/>
      <c r="W69" s="449"/>
      <c r="X69" s="449"/>
      <c r="Y69" s="449"/>
      <c r="Z69" s="449"/>
      <c r="AA69" s="449"/>
      <c r="AB69" s="449"/>
      <c r="AC69" s="449"/>
      <c r="AD69" s="449"/>
      <c r="AE69" s="449"/>
      <c r="AF69" s="449"/>
      <c r="AG69" s="449"/>
      <c r="AH69" s="449"/>
      <c r="AI69" s="449"/>
      <c r="AJ69" s="449"/>
      <c r="AK69" s="449"/>
      <c r="AL69" s="449"/>
      <c r="AM69" s="449"/>
      <c r="AN69" s="449"/>
      <c r="AO69" s="449"/>
      <c r="AP69" s="449"/>
      <c r="AQ69" s="449"/>
      <c r="AR69" s="449"/>
      <c r="AS69" s="449"/>
      <c r="AT69" s="449"/>
      <c r="AU69" s="449"/>
      <c r="AV69" s="449"/>
      <c r="AW69" s="449"/>
      <c r="AX69" s="449"/>
      <c r="AY69" s="449"/>
      <c r="AZ69" s="449"/>
      <c r="BA69" s="449"/>
      <c r="BB69" s="449"/>
      <c r="BC69" s="449"/>
      <c r="BD69" s="449"/>
      <c r="BE69" s="449"/>
      <c r="BF69" s="449"/>
      <c r="BG69" s="449"/>
      <c r="BH69" s="449"/>
      <c r="BI69" s="449"/>
      <c r="BJ69" s="449"/>
      <c r="BK69" s="449"/>
      <c r="BL69" s="449"/>
      <c r="BM69" s="449"/>
      <c r="BN69" s="449"/>
      <c r="BO69" s="449"/>
      <c r="BP69" s="449"/>
      <c r="BQ69" s="449"/>
      <c r="BR69" s="449"/>
      <c r="BS69" s="449"/>
      <c r="BT69" s="449"/>
      <c r="BU69" s="449"/>
      <c r="BV69" s="449"/>
      <c r="BW69" s="449"/>
      <c r="BX69" s="449"/>
      <c r="BY69" s="449"/>
      <c r="BZ69" s="449"/>
      <c r="CA69" s="449"/>
      <c r="CB69" s="449"/>
      <c r="CC69" s="449"/>
      <c r="CD69" s="449"/>
      <c r="CE69" s="449"/>
      <c r="CF69" s="449"/>
      <c r="CG69" s="449"/>
      <c r="CH69" s="449"/>
      <c r="CI69" s="449"/>
      <c r="CJ69" s="449"/>
      <c r="CK69" s="449"/>
      <c r="CL69" s="449"/>
      <c r="CM69" s="449"/>
      <c r="CN69" s="449"/>
      <c r="CO69" s="449"/>
      <c r="CP69" s="449"/>
      <c r="CQ69" s="449"/>
      <c r="CR69" s="449"/>
      <c r="CS69" s="449"/>
      <c r="CT69" s="449"/>
      <c r="CU69" s="449"/>
      <c r="CV69" s="449"/>
      <c r="CW69" s="449"/>
      <c r="CX69" s="449"/>
      <c r="CY69" s="449"/>
      <c r="CZ69" s="449"/>
      <c r="DA69" s="449"/>
      <c r="DB69" s="449"/>
      <c r="DC69" s="449"/>
      <c r="DD69" s="449"/>
      <c r="DE69" s="449"/>
      <c r="DF69" s="449"/>
      <c r="DG69" s="449"/>
      <c r="DH69" s="449"/>
      <c r="DI69" s="449"/>
      <c r="DJ69" s="449"/>
      <c r="DK69" s="449"/>
      <c r="DL69" s="449"/>
      <c r="DM69" s="449"/>
      <c r="DN69" s="449"/>
      <c r="DO69" s="449"/>
      <c r="DP69" s="449"/>
      <c r="DQ69" s="449"/>
      <c r="DR69" s="449"/>
      <c r="DS69" s="449"/>
      <c r="DT69" s="449"/>
      <c r="DU69" s="449"/>
      <c r="DV69" s="449"/>
      <c r="DW69" s="449"/>
      <c r="DX69" s="449"/>
      <c r="DY69" s="449"/>
      <c r="DZ69" s="449"/>
      <c r="EA69" s="449"/>
      <c r="EB69" s="449"/>
      <c r="EC69" s="449"/>
      <c r="ED69" s="449"/>
      <c r="EE69" s="449"/>
      <c r="EF69" s="449"/>
      <c r="EG69" s="449"/>
      <c r="EH69" s="449"/>
      <c r="EI69" s="449"/>
      <c r="EJ69" s="449"/>
      <c r="EK69" s="449"/>
      <c r="EL69" s="449"/>
      <c r="EM69" s="449"/>
      <c r="EN69" s="449"/>
      <c r="EO69" s="449"/>
      <c r="EP69" s="449"/>
      <c r="EQ69" s="449"/>
      <c r="ER69" s="449"/>
      <c r="ES69" s="449"/>
      <c r="ET69" s="449"/>
      <c r="EU69" s="449"/>
      <c r="EV69" s="449"/>
      <c r="EW69" s="449"/>
      <c r="EX69" s="449"/>
      <c r="EY69" s="449"/>
      <c r="EZ69" s="449"/>
      <c r="FA69" s="449"/>
      <c r="FB69" s="449"/>
      <c r="FC69" s="449"/>
      <c r="FD69" s="449"/>
      <c r="FE69" s="449"/>
      <c r="FF69" s="449"/>
      <c r="FG69" s="449"/>
      <c r="FH69" s="449"/>
      <c r="FI69" s="449"/>
      <c r="FJ69" s="449"/>
      <c r="FK69" s="449"/>
      <c r="FL69" s="449"/>
      <c r="FM69" s="449"/>
      <c r="FN69" s="449"/>
      <c r="FO69" s="449"/>
      <c r="FP69" s="449"/>
      <c r="FQ69" s="449"/>
      <c r="FR69" s="449"/>
      <c r="FS69" s="449"/>
      <c r="FT69" s="449"/>
      <c r="FU69" s="449"/>
      <c r="FV69" s="449"/>
      <c r="FW69" s="449"/>
      <c r="FX69" s="449"/>
      <c r="FY69" s="449"/>
      <c r="FZ69" s="449"/>
      <c r="GA69" s="449"/>
      <c r="GB69" s="449"/>
      <c r="GC69" s="449"/>
      <c r="GD69" s="449"/>
      <c r="GE69" s="449"/>
      <c r="GF69" s="449"/>
      <c r="GG69" s="449"/>
      <c r="GH69" s="449"/>
      <c r="GI69" s="449"/>
      <c r="GJ69" s="449"/>
      <c r="GK69" s="449"/>
      <c r="GL69" s="449"/>
      <c r="GM69" s="449"/>
      <c r="GN69" s="449"/>
      <c r="GO69" s="449"/>
      <c r="GP69" s="449"/>
      <c r="GQ69" s="449"/>
      <c r="GR69" s="449"/>
      <c r="GS69" s="449"/>
      <c r="GT69" s="449"/>
      <c r="GU69" s="449"/>
      <c r="GV69" s="449"/>
      <c r="GW69" s="449"/>
      <c r="GX69" s="449"/>
      <c r="GY69" s="449"/>
      <c r="GZ69" s="449"/>
      <c r="HA69" s="449"/>
      <c r="HB69" s="449"/>
      <c r="HC69" s="449"/>
      <c r="HD69" s="449"/>
      <c r="HE69" s="449"/>
      <c r="HF69" s="449"/>
      <c r="HG69" s="449"/>
      <c r="HH69" s="449"/>
      <c r="HI69" s="449"/>
      <c r="HJ69" s="449"/>
      <c r="HK69" s="449"/>
      <c r="HL69" s="449"/>
      <c r="HM69" s="449"/>
      <c r="HN69" s="449"/>
      <c r="HO69" s="449"/>
      <c r="HP69" s="449"/>
      <c r="HQ69" s="449"/>
      <c r="HR69" s="449"/>
      <c r="HS69" s="449"/>
      <c r="HT69" s="449"/>
      <c r="HU69" s="449"/>
      <c r="HV69" s="449"/>
      <c r="HW69" s="449"/>
      <c r="HX69" s="449"/>
      <c r="HY69" s="449"/>
      <c r="HZ69" s="449"/>
      <c r="IA69" s="449"/>
      <c r="IB69" s="449"/>
      <c r="IC69" s="449"/>
      <c r="ID69" s="449"/>
      <c r="IE69" s="449"/>
      <c r="IF69" s="449"/>
      <c r="IG69" s="449"/>
      <c r="IH69" s="449"/>
      <c r="II69" s="449"/>
      <c r="IJ69" s="449"/>
      <c r="IK69" s="449"/>
      <c r="IL69" s="449"/>
      <c r="IM69" s="449"/>
      <c r="IN69" s="449"/>
      <c r="IO69" s="449"/>
      <c r="IP69" s="449"/>
      <c r="IQ69" s="449"/>
      <c r="IR69" s="449"/>
      <c r="IS69" s="449"/>
      <c r="IT69" s="449"/>
      <c r="IU69" s="449"/>
      <c r="IV69" s="449"/>
    </row>
    <row r="70" spans="1:256" ht="20.149999999999999" customHeight="1">
      <c r="A70" s="449"/>
      <c r="B70" s="449"/>
      <c r="C70" s="449"/>
      <c r="D70" s="468"/>
      <c r="E70" s="449"/>
      <c r="F70" s="449"/>
      <c r="G70" s="449"/>
      <c r="H70" s="470"/>
      <c r="I70" s="449"/>
      <c r="J70" s="471"/>
      <c r="K70" s="449"/>
      <c r="L70" s="468"/>
      <c r="M70" s="449"/>
      <c r="N70" s="449"/>
      <c r="O70" s="462"/>
      <c r="P70" s="462"/>
      <c r="Q70" s="449"/>
      <c r="R70" s="449"/>
      <c r="S70" s="449"/>
      <c r="T70" s="449"/>
      <c r="U70" s="449"/>
      <c r="V70" s="449"/>
      <c r="W70" s="449"/>
      <c r="X70" s="449"/>
      <c r="Y70" s="449"/>
      <c r="Z70" s="449"/>
      <c r="AA70" s="449"/>
      <c r="AB70" s="449"/>
      <c r="AC70" s="449"/>
      <c r="AD70" s="449"/>
      <c r="AE70" s="449"/>
      <c r="AF70" s="449"/>
      <c r="AG70" s="449"/>
      <c r="AH70" s="449"/>
      <c r="AI70" s="449"/>
      <c r="AJ70" s="449"/>
      <c r="AK70" s="449"/>
      <c r="AL70" s="449"/>
      <c r="AM70" s="449"/>
      <c r="AN70" s="449"/>
      <c r="AO70" s="449"/>
      <c r="AP70" s="449"/>
      <c r="AQ70" s="449"/>
      <c r="AR70" s="449"/>
      <c r="AS70" s="449"/>
      <c r="AT70" s="449"/>
      <c r="AU70" s="449"/>
      <c r="AV70" s="449"/>
      <c r="AW70" s="449"/>
      <c r="AX70" s="449"/>
      <c r="AY70" s="449"/>
      <c r="AZ70" s="449"/>
      <c r="BA70" s="449"/>
      <c r="BB70" s="449"/>
      <c r="BC70" s="449"/>
      <c r="BD70" s="449"/>
      <c r="BE70" s="449"/>
      <c r="BF70" s="449"/>
      <c r="BG70" s="449"/>
      <c r="BH70" s="449"/>
      <c r="BI70" s="449"/>
      <c r="BJ70" s="449"/>
      <c r="BK70" s="449"/>
      <c r="BL70" s="449"/>
      <c r="BM70" s="449"/>
      <c r="BN70" s="449"/>
      <c r="BO70" s="449"/>
      <c r="BP70" s="449"/>
      <c r="BQ70" s="449"/>
      <c r="BR70" s="449"/>
      <c r="BS70" s="449"/>
      <c r="BT70" s="449"/>
      <c r="BU70" s="449"/>
      <c r="BV70" s="449"/>
      <c r="BW70" s="449"/>
      <c r="BX70" s="449"/>
      <c r="BY70" s="449"/>
      <c r="BZ70" s="449"/>
      <c r="CA70" s="449"/>
      <c r="CB70" s="449"/>
      <c r="CC70" s="449"/>
      <c r="CD70" s="449"/>
      <c r="CE70" s="449"/>
      <c r="CF70" s="449"/>
      <c r="CG70" s="449"/>
      <c r="CH70" s="449"/>
      <c r="CI70" s="449"/>
      <c r="CJ70" s="449"/>
      <c r="CK70" s="449"/>
      <c r="CL70" s="449"/>
      <c r="CM70" s="449"/>
      <c r="CN70" s="449"/>
      <c r="CO70" s="449"/>
      <c r="CP70" s="449"/>
      <c r="CQ70" s="449"/>
      <c r="CR70" s="449"/>
      <c r="CS70" s="449"/>
      <c r="CT70" s="449"/>
      <c r="CU70" s="449"/>
      <c r="CV70" s="449"/>
      <c r="CW70" s="449"/>
      <c r="CX70" s="449"/>
      <c r="CY70" s="449"/>
      <c r="CZ70" s="449"/>
      <c r="DA70" s="449"/>
      <c r="DB70" s="449"/>
      <c r="DC70" s="449"/>
      <c r="DD70" s="449"/>
      <c r="DE70" s="449"/>
      <c r="DF70" s="449"/>
      <c r="DG70" s="449"/>
      <c r="DH70" s="449"/>
      <c r="DI70" s="449"/>
      <c r="DJ70" s="449"/>
      <c r="DK70" s="449"/>
      <c r="DL70" s="449"/>
      <c r="DM70" s="449"/>
      <c r="DN70" s="449"/>
      <c r="DO70" s="449"/>
      <c r="DP70" s="449"/>
      <c r="DQ70" s="449"/>
      <c r="DR70" s="449"/>
      <c r="DS70" s="449"/>
      <c r="DT70" s="449"/>
      <c r="DU70" s="449"/>
      <c r="DV70" s="449"/>
      <c r="DW70" s="449"/>
      <c r="DX70" s="449"/>
      <c r="DY70" s="449"/>
      <c r="DZ70" s="449"/>
      <c r="EA70" s="449"/>
      <c r="EB70" s="449"/>
      <c r="EC70" s="449"/>
      <c r="ED70" s="449"/>
      <c r="EE70" s="449"/>
      <c r="EF70" s="449"/>
      <c r="EG70" s="449"/>
      <c r="EH70" s="449"/>
      <c r="EI70" s="449"/>
      <c r="EJ70" s="449"/>
      <c r="EK70" s="449"/>
      <c r="EL70" s="449"/>
      <c r="EM70" s="449"/>
      <c r="EN70" s="449"/>
      <c r="EO70" s="449"/>
      <c r="EP70" s="449"/>
      <c r="EQ70" s="449"/>
      <c r="ER70" s="449"/>
      <c r="ES70" s="449"/>
      <c r="ET70" s="449"/>
      <c r="EU70" s="449"/>
      <c r="EV70" s="449"/>
      <c r="EW70" s="449"/>
      <c r="EX70" s="449"/>
      <c r="EY70" s="449"/>
      <c r="EZ70" s="449"/>
      <c r="FA70" s="449"/>
      <c r="FB70" s="449"/>
      <c r="FC70" s="449"/>
      <c r="FD70" s="449"/>
      <c r="FE70" s="449"/>
      <c r="FF70" s="449"/>
      <c r="FG70" s="449"/>
      <c r="FH70" s="449"/>
      <c r="FI70" s="449"/>
      <c r="FJ70" s="449"/>
      <c r="FK70" s="449"/>
      <c r="FL70" s="449"/>
      <c r="FM70" s="449"/>
      <c r="FN70" s="449"/>
      <c r="FO70" s="449"/>
      <c r="FP70" s="449"/>
      <c r="FQ70" s="449"/>
      <c r="FR70" s="449"/>
      <c r="FS70" s="449"/>
      <c r="FT70" s="449"/>
      <c r="FU70" s="449"/>
      <c r="FV70" s="449"/>
      <c r="FW70" s="449"/>
      <c r="FX70" s="449"/>
      <c r="FY70" s="449"/>
      <c r="FZ70" s="449"/>
      <c r="GA70" s="449"/>
      <c r="GB70" s="449"/>
      <c r="GC70" s="449"/>
      <c r="GD70" s="449"/>
      <c r="GE70" s="449"/>
      <c r="GF70" s="449"/>
      <c r="GG70" s="449"/>
      <c r="GH70" s="449"/>
      <c r="GI70" s="449"/>
      <c r="GJ70" s="449"/>
      <c r="GK70" s="449"/>
      <c r="GL70" s="449"/>
      <c r="GM70" s="449"/>
      <c r="GN70" s="449"/>
      <c r="GO70" s="449"/>
      <c r="GP70" s="449"/>
      <c r="GQ70" s="449"/>
      <c r="GR70" s="449"/>
      <c r="GS70" s="449"/>
      <c r="GT70" s="449"/>
      <c r="GU70" s="449"/>
      <c r="GV70" s="449"/>
      <c r="GW70" s="449"/>
      <c r="GX70" s="449"/>
      <c r="GY70" s="449"/>
      <c r="GZ70" s="449"/>
      <c r="HA70" s="449"/>
      <c r="HB70" s="449"/>
      <c r="HC70" s="449"/>
      <c r="HD70" s="449"/>
      <c r="HE70" s="449"/>
      <c r="HF70" s="449"/>
      <c r="HG70" s="449"/>
      <c r="HH70" s="449"/>
      <c r="HI70" s="449"/>
      <c r="HJ70" s="449"/>
      <c r="HK70" s="449"/>
      <c r="HL70" s="449"/>
      <c r="HM70" s="449"/>
      <c r="HN70" s="449"/>
      <c r="HO70" s="449"/>
      <c r="HP70" s="449"/>
      <c r="HQ70" s="449"/>
      <c r="HR70" s="449"/>
      <c r="HS70" s="449"/>
      <c r="HT70" s="449"/>
      <c r="HU70" s="449"/>
      <c r="HV70" s="449"/>
      <c r="HW70" s="449"/>
      <c r="HX70" s="449"/>
      <c r="HY70" s="449"/>
      <c r="HZ70" s="449"/>
      <c r="IA70" s="449"/>
      <c r="IB70" s="449"/>
      <c r="IC70" s="449"/>
      <c r="ID70" s="449"/>
      <c r="IE70" s="449"/>
      <c r="IF70" s="449"/>
      <c r="IG70" s="449"/>
      <c r="IH70" s="449"/>
      <c r="II70" s="449"/>
      <c r="IJ70" s="449"/>
      <c r="IK70" s="449"/>
      <c r="IL70" s="449"/>
      <c r="IM70" s="449"/>
      <c r="IN70" s="449"/>
      <c r="IO70" s="449"/>
      <c r="IP70" s="449"/>
      <c r="IQ70" s="449"/>
      <c r="IR70" s="449"/>
      <c r="IS70" s="449"/>
      <c r="IT70" s="449"/>
      <c r="IU70" s="449"/>
      <c r="IV70" s="449"/>
    </row>
    <row r="71" spans="1:256" ht="20.149999999999999" customHeight="1">
      <c r="A71" s="449"/>
      <c r="B71" s="449"/>
      <c r="C71" s="449"/>
      <c r="D71" s="468"/>
      <c r="E71" s="449"/>
      <c r="F71" s="449"/>
      <c r="G71" s="449"/>
      <c r="H71" s="470"/>
      <c r="I71" s="449"/>
      <c r="J71" s="471"/>
      <c r="K71" s="449"/>
      <c r="L71" s="468"/>
      <c r="M71" s="449"/>
      <c r="N71" s="449"/>
      <c r="O71" s="449"/>
      <c r="P71" s="449"/>
      <c r="Q71" s="449"/>
      <c r="R71" s="449"/>
      <c r="S71" s="449"/>
      <c r="T71" s="449"/>
      <c r="U71" s="449"/>
      <c r="V71" s="449"/>
      <c r="W71" s="449"/>
      <c r="X71" s="449"/>
      <c r="Y71" s="449"/>
      <c r="Z71" s="449"/>
      <c r="AA71" s="449"/>
      <c r="AB71" s="449"/>
      <c r="AC71" s="449"/>
      <c r="AD71" s="449"/>
      <c r="AE71" s="449"/>
      <c r="AF71" s="449"/>
      <c r="AG71" s="449"/>
      <c r="AH71" s="449"/>
      <c r="AI71" s="449"/>
      <c r="AJ71" s="449"/>
      <c r="AK71" s="449"/>
      <c r="AL71" s="449"/>
      <c r="AM71" s="449"/>
      <c r="AN71" s="449"/>
      <c r="AO71" s="449"/>
      <c r="AP71" s="449"/>
      <c r="AQ71" s="449"/>
      <c r="AR71" s="449"/>
      <c r="AS71" s="449"/>
      <c r="AT71" s="449"/>
      <c r="AU71" s="449"/>
      <c r="AV71" s="449"/>
      <c r="AW71" s="449"/>
      <c r="AX71" s="449"/>
      <c r="AY71" s="449"/>
      <c r="AZ71" s="449"/>
      <c r="BA71" s="449"/>
      <c r="BB71" s="449"/>
      <c r="BC71" s="449"/>
      <c r="BD71" s="449"/>
      <c r="BE71" s="449"/>
      <c r="BF71" s="449"/>
      <c r="BG71" s="449"/>
      <c r="BH71" s="449"/>
      <c r="BI71" s="449"/>
      <c r="BJ71" s="449"/>
      <c r="BK71" s="449"/>
      <c r="BL71" s="449"/>
      <c r="BM71" s="449"/>
      <c r="BN71" s="449"/>
      <c r="BO71" s="449"/>
      <c r="BP71" s="449"/>
      <c r="BQ71" s="449"/>
      <c r="BR71" s="449"/>
      <c r="BS71" s="449"/>
      <c r="BT71" s="449"/>
      <c r="BU71" s="449"/>
      <c r="BV71" s="449"/>
      <c r="BW71" s="449"/>
      <c r="BX71" s="449"/>
      <c r="BY71" s="449"/>
      <c r="BZ71" s="449"/>
      <c r="CA71" s="449"/>
      <c r="CB71" s="449"/>
      <c r="CC71" s="449"/>
      <c r="CD71" s="449"/>
      <c r="CE71" s="449"/>
      <c r="CF71" s="449"/>
      <c r="CG71" s="449"/>
      <c r="CH71" s="449"/>
      <c r="CI71" s="449"/>
      <c r="CJ71" s="449"/>
      <c r="CK71" s="449"/>
      <c r="CL71" s="449"/>
      <c r="CM71" s="449"/>
      <c r="CN71" s="449"/>
      <c r="CO71" s="449"/>
      <c r="CP71" s="449"/>
      <c r="CQ71" s="449"/>
      <c r="CR71" s="449"/>
      <c r="CS71" s="449"/>
      <c r="CT71" s="449"/>
      <c r="CU71" s="449"/>
      <c r="CV71" s="449"/>
      <c r="CW71" s="449"/>
      <c r="CX71" s="449"/>
      <c r="CY71" s="449"/>
      <c r="CZ71" s="449"/>
      <c r="DA71" s="449"/>
      <c r="DB71" s="449"/>
      <c r="DC71" s="449"/>
      <c r="DD71" s="449"/>
      <c r="DE71" s="449"/>
      <c r="DF71" s="449"/>
      <c r="DG71" s="449"/>
      <c r="DH71" s="449"/>
      <c r="DI71" s="449"/>
      <c r="DJ71" s="449"/>
      <c r="DK71" s="449"/>
      <c r="DL71" s="449"/>
      <c r="DM71" s="449"/>
      <c r="DN71" s="449"/>
      <c r="DO71" s="449"/>
      <c r="DP71" s="449"/>
      <c r="DQ71" s="449"/>
      <c r="DR71" s="449"/>
      <c r="DS71" s="449"/>
      <c r="DT71" s="449"/>
      <c r="DU71" s="449"/>
      <c r="DV71" s="449"/>
      <c r="DW71" s="449"/>
      <c r="DX71" s="449"/>
      <c r="DY71" s="449"/>
      <c r="DZ71" s="449"/>
      <c r="EA71" s="449"/>
      <c r="EB71" s="449"/>
      <c r="EC71" s="449"/>
      <c r="ED71" s="449"/>
      <c r="EE71" s="449"/>
      <c r="EF71" s="449"/>
      <c r="EG71" s="449"/>
      <c r="EH71" s="449"/>
      <c r="EI71" s="449"/>
      <c r="EJ71" s="449"/>
      <c r="EK71" s="449"/>
      <c r="EL71" s="449"/>
      <c r="EM71" s="449"/>
      <c r="EN71" s="449"/>
      <c r="EO71" s="449"/>
      <c r="EP71" s="449"/>
      <c r="EQ71" s="449"/>
      <c r="ER71" s="449"/>
      <c r="ES71" s="449"/>
      <c r="ET71" s="449"/>
      <c r="EU71" s="449"/>
      <c r="EV71" s="449"/>
      <c r="EW71" s="449"/>
      <c r="EX71" s="449"/>
      <c r="EY71" s="449"/>
      <c r="EZ71" s="449"/>
      <c r="FA71" s="449"/>
      <c r="FB71" s="449"/>
      <c r="FC71" s="449"/>
      <c r="FD71" s="449"/>
      <c r="FE71" s="449"/>
      <c r="FF71" s="449"/>
      <c r="FG71" s="449"/>
      <c r="FH71" s="449"/>
      <c r="FI71" s="449"/>
      <c r="FJ71" s="449"/>
      <c r="FK71" s="449"/>
      <c r="FL71" s="449"/>
      <c r="FM71" s="449"/>
      <c r="FN71" s="449"/>
      <c r="FO71" s="449"/>
      <c r="FP71" s="449"/>
      <c r="FQ71" s="449"/>
      <c r="FR71" s="449"/>
      <c r="FS71" s="449"/>
      <c r="FT71" s="449"/>
      <c r="FU71" s="449"/>
      <c r="FV71" s="449"/>
      <c r="FW71" s="449"/>
      <c r="FX71" s="449"/>
      <c r="FY71" s="449"/>
      <c r="FZ71" s="449"/>
      <c r="GA71" s="449"/>
      <c r="GB71" s="449"/>
      <c r="GC71" s="449"/>
      <c r="GD71" s="449"/>
      <c r="GE71" s="449"/>
      <c r="GF71" s="449"/>
      <c r="GG71" s="449"/>
      <c r="GH71" s="449"/>
      <c r="GI71" s="449"/>
      <c r="GJ71" s="449"/>
      <c r="GK71" s="449"/>
      <c r="GL71" s="449"/>
      <c r="GM71" s="449"/>
      <c r="GN71" s="449"/>
      <c r="GO71" s="449"/>
      <c r="GP71" s="449"/>
      <c r="GQ71" s="449"/>
      <c r="GR71" s="449"/>
      <c r="GS71" s="449"/>
      <c r="GT71" s="449"/>
      <c r="GU71" s="449"/>
      <c r="GV71" s="449"/>
      <c r="GW71" s="449"/>
      <c r="GX71" s="449"/>
      <c r="GY71" s="449"/>
      <c r="GZ71" s="449"/>
      <c r="HA71" s="449"/>
      <c r="HB71" s="449"/>
      <c r="HC71" s="449"/>
      <c r="HD71" s="449"/>
      <c r="HE71" s="449"/>
      <c r="HF71" s="449"/>
      <c r="HG71" s="449"/>
      <c r="HH71" s="449"/>
      <c r="HI71" s="449"/>
      <c r="HJ71" s="449"/>
      <c r="HK71" s="449"/>
      <c r="HL71" s="449"/>
      <c r="HM71" s="449"/>
      <c r="HN71" s="449"/>
      <c r="HO71" s="449"/>
      <c r="HP71" s="449"/>
      <c r="HQ71" s="449"/>
      <c r="HR71" s="449"/>
      <c r="HS71" s="449"/>
      <c r="HT71" s="449"/>
      <c r="HU71" s="449"/>
      <c r="HV71" s="449"/>
      <c r="HW71" s="449"/>
      <c r="HX71" s="449"/>
      <c r="HY71" s="449"/>
      <c r="HZ71" s="449"/>
      <c r="IA71" s="449"/>
      <c r="IB71" s="449"/>
      <c r="IC71" s="449"/>
      <c r="ID71" s="449"/>
      <c r="IE71" s="449"/>
      <c r="IF71" s="449"/>
      <c r="IG71" s="449"/>
      <c r="IH71" s="449"/>
      <c r="II71" s="449"/>
      <c r="IJ71" s="449"/>
      <c r="IK71" s="449"/>
      <c r="IL71" s="449"/>
      <c r="IM71" s="449"/>
      <c r="IN71" s="449"/>
      <c r="IO71" s="449"/>
      <c r="IP71" s="449"/>
      <c r="IQ71" s="449"/>
      <c r="IR71" s="449"/>
      <c r="IS71" s="449"/>
      <c r="IT71" s="449"/>
      <c r="IU71" s="449"/>
      <c r="IV71" s="449"/>
    </row>
    <row r="72" spans="1:256" ht="20.149999999999999" customHeight="1">
      <c r="A72" s="449"/>
      <c r="B72" s="449"/>
      <c r="C72" s="449"/>
      <c r="D72" s="468"/>
      <c r="E72" s="449"/>
      <c r="F72" s="449"/>
      <c r="G72" s="449"/>
      <c r="H72" s="473"/>
      <c r="I72" s="449"/>
      <c r="J72" s="471"/>
      <c r="K72" s="449"/>
      <c r="L72" s="468"/>
      <c r="M72" s="449"/>
      <c r="N72" s="449"/>
      <c r="O72" s="462"/>
      <c r="P72" s="462"/>
      <c r="Q72" s="449"/>
      <c r="R72" s="449"/>
      <c r="S72" s="449"/>
      <c r="T72" s="449"/>
      <c r="U72" s="449"/>
      <c r="V72" s="449"/>
      <c r="W72" s="449"/>
      <c r="X72" s="449"/>
      <c r="Y72" s="449"/>
      <c r="Z72" s="449"/>
      <c r="AA72" s="449"/>
      <c r="AB72" s="449"/>
      <c r="AC72" s="449"/>
      <c r="AD72" s="449"/>
      <c r="AE72" s="449"/>
      <c r="AF72" s="449"/>
      <c r="AG72" s="449"/>
      <c r="AH72" s="449"/>
      <c r="AI72" s="449"/>
      <c r="AJ72" s="449"/>
      <c r="AK72" s="449"/>
      <c r="AL72" s="449"/>
      <c r="AM72" s="449"/>
      <c r="AN72" s="449"/>
      <c r="AO72" s="449"/>
      <c r="AP72" s="449"/>
      <c r="AQ72" s="449"/>
      <c r="AR72" s="449"/>
      <c r="AS72" s="449"/>
      <c r="AT72" s="449"/>
      <c r="AU72" s="449"/>
      <c r="AV72" s="449"/>
      <c r="AW72" s="449"/>
      <c r="AX72" s="449"/>
      <c r="AY72" s="449"/>
      <c r="AZ72" s="449"/>
      <c r="BA72" s="449"/>
      <c r="BB72" s="449"/>
      <c r="BC72" s="449"/>
      <c r="BD72" s="449"/>
      <c r="BE72" s="449"/>
      <c r="BF72" s="449"/>
      <c r="BG72" s="449"/>
      <c r="BH72" s="449"/>
      <c r="BI72" s="449"/>
      <c r="BJ72" s="449"/>
      <c r="BK72" s="449"/>
      <c r="BL72" s="449"/>
      <c r="BM72" s="449"/>
      <c r="BN72" s="449"/>
      <c r="BO72" s="449"/>
      <c r="BP72" s="449"/>
      <c r="BQ72" s="449"/>
      <c r="BR72" s="449"/>
      <c r="BS72" s="449"/>
      <c r="BT72" s="449"/>
      <c r="BU72" s="449"/>
      <c r="BV72" s="449"/>
      <c r="BW72" s="449"/>
      <c r="BX72" s="449"/>
      <c r="BY72" s="449"/>
      <c r="BZ72" s="449"/>
      <c r="CA72" s="449"/>
      <c r="CB72" s="449"/>
      <c r="CC72" s="449"/>
      <c r="CD72" s="449"/>
      <c r="CE72" s="449"/>
      <c r="CF72" s="449"/>
      <c r="CG72" s="449"/>
      <c r="CH72" s="449"/>
      <c r="CI72" s="449"/>
      <c r="CJ72" s="449"/>
      <c r="CK72" s="449"/>
      <c r="CL72" s="449"/>
      <c r="CM72" s="449"/>
      <c r="CN72" s="449"/>
      <c r="CO72" s="449"/>
      <c r="CP72" s="449"/>
      <c r="CQ72" s="449"/>
      <c r="CR72" s="449"/>
      <c r="CS72" s="449"/>
      <c r="CT72" s="449"/>
      <c r="CU72" s="449"/>
      <c r="CV72" s="449"/>
      <c r="CW72" s="449"/>
      <c r="CX72" s="449"/>
      <c r="CY72" s="449"/>
      <c r="CZ72" s="449"/>
      <c r="DA72" s="449"/>
      <c r="DB72" s="449"/>
      <c r="DC72" s="449"/>
      <c r="DD72" s="449"/>
      <c r="DE72" s="449"/>
      <c r="DF72" s="449"/>
      <c r="DG72" s="449"/>
      <c r="DH72" s="449"/>
      <c r="DI72" s="449"/>
      <c r="DJ72" s="449"/>
      <c r="DK72" s="449"/>
      <c r="DL72" s="449"/>
      <c r="DM72" s="449"/>
      <c r="DN72" s="449"/>
      <c r="DO72" s="449"/>
      <c r="DP72" s="449"/>
      <c r="DQ72" s="449"/>
      <c r="DR72" s="449"/>
      <c r="DS72" s="449"/>
      <c r="DT72" s="449"/>
      <c r="DU72" s="449"/>
      <c r="DV72" s="449"/>
      <c r="DW72" s="449"/>
      <c r="DX72" s="449"/>
      <c r="DY72" s="449"/>
      <c r="DZ72" s="449"/>
      <c r="EA72" s="449"/>
      <c r="EB72" s="449"/>
      <c r="EC72" s="449"/>
      <c r="ED72" s="449"/>
      <c r="EE72" s="449"/>
      <c r="EF72" s="449"/>
      <c r="EG72" s="449"/>
      <c r="EH72" s="449"/>
      <c r="EI72" s="449"/>
      <c r="EJ72" s="449"/>
      <c r="EK72" s="449"/>
      <c r="EL72" s="449"/>
      <c r="EM72" s="449"/>
      <c r="EN72" s="449"/>
      <c r="EO72" s="449"/>
      <c r="EP72" s="449"/>
      <c r="EQ72" s="449"/>
      <c r="ER72" s="449"/>
      <c r="ES72" s="449"/>
      <c r="ET72" s="449"/>
      <c r="EU72" s="449"/>
      <c r="EV72" s="449"/>
      <c r="EW72" s="449"/>
      <c r="EX72" s="449"/>
      <c r="EY72" s="449"/>
      <c r="EZ72" s="449"/>
      <c r="FA72" s="449"/>
      <c r="FB72" s="449"/>
      <c r="FC72" s="449"/>
      <c r="FD72" s="449"/>
      <c r="FE72" s="449"/>
      <c r="FF72" s="449"/>
      <c r="FG72" s="449"/>
      <c r="FH72" s="449"/>
      <c r="FI72" s="449"/>
      <c r="FJ72" s="449"/>
      <c r="FK72" s="449"/>
      <c r="FL72" s="449"/>
      <c r="FM72" s="449"/>
      <c r="FN72" s="449"/>
      <c r="FO72" s="449"/>
      <c r="FP72" s="449"/>
      <c r="FQ72" s="449"/>
      <c r="FR72" s="449"/>
      <c r="FS72" s="449"/>
      <c r="FT72" s="449"/>
      <c r="FU72" s="449"/>
      <c r="FV72" s="449"/>
      <c r="FW72" s="449"/>
      <c r="FX72" s="449"/>
      <c r="FY72" s="449"/>
      <c r="FZ72" s="449"/>
      <c r="GA72" s="449"/>
      <c r="GB72" s="449"/>
      <c r="GC72" s="449"/>
      <c r="GD72" s="449"/>
      <c r="GE72" s="449"/>
      <c r="GF72" s="449"/>
      <c r="GG72" s="449"/>
      <c r="GH72" s="449"/>
      <c r="GI72" s="449"/>
      <c r="GJ72" s="449"/>
      <c r="GK72" s="449"/>
      <c r="GL72" s="449"/>
      <c r="GM72" s="449"/>
      <c r="GN72" s="449"/>
      <c r="GO72" s="449"/>
      <c r="GP72" s="449"/>
      <c r="GQ72" s="449"/>
      <c r="GR72" s="449"/>
      <c r="GS72" s="449"/>
      <c r="GT72" s="449"/>
      <c r="GU72" s="449"/>
      <c r="GV72" s="449"/>
      <c r="GW72" s="449"/>
      <c r="GX72" s="449"/>
      <c r="GY72" s="449"/>
      <c r="GZ72" s="449"/>
      <c r="HA72" s="449"/>
      <c r="HB72" s="449"/>
      <c r="HC72" s="449"/>
      <c r="HD72" s="449"/>
      <c r="HE72" s="449"/>
      <c r="HF72" s="449"/>
      <c r="HG72" s="449"/>
      <c r="HH72" s="449"/>
      <c r="HI72" s="449"/>
      <c r="HJ72" s="449"/>
      <c r="HK72" s="449"/>
      <c r="HL72" s="449"/>
      <c r="HM72" s="449"/>
      <c r="HN72" s="449"/>
      <c r="HO72" s="449"/>
      <c r="HP72" s="449"/>
      <c r="HQ72" s="449"/>
      <c r="HR72" s="449"/>
      <c r="HS72" s="449"/>
      <c r="HT72" s="449"/>
      <c r="HU72" s="449"/>
      <c r="HV72" s="449"/>
      <c r="HW72" s="449"/>
      <c r="HX72" s="449"/>
      <c r="HY72" s="449"/>
      <c r="HZ72" s="449"/>
      <c r="IA72" s="449"/>
      <c r="IB72" s="449"/>
      <c r="IC72" s="449"/>
      <c r="ID72" s="449"/>
      <c r="IE72" s="449"/>
      <c r="IF72" s="449"/>
      <c r="IG72" s="449"/>
      <c r="IH72" s="449"/>
      <c r="II72" s="449"/>
      <c r="IJ72" s="449"/>
      <c r="IK72" s="449"/>
      <c r="IL72" s="449"/>
      <c r="IM72" s="449"/>
      <c r="IN72" s="449"/>
      <c r="IO72" s="449"/>
      <c r="IP72" s="449"/>
      <c r="IQ72" s="449"/>
      <c r="IR72" s="449"/>
      <c r="IS72" s="449"/>
      <c r="IT72" s="449"/>
      <c r="IU72" s="449"/>
      <c r="IV72" s="449"/>
    </row>
    <row r="73" spans="1:256" ht="17.5">
      <c r="A73" s="703"/>
      <c r="B73" s="449"/>
      <c r="C73" s="449"/>
      <c r="D73" s="449"/>
      <c r="E73" s="449"/>
      <c r="F73" s="449"/>
      <c r="G73" s="449"/>
      <c r="H73" s="449"/>
      <c r="I73" s="449"/>
      <c r="J73" s="449"/>
      <c r="K73" s="449"/>
      <c r="L73" s="449"/>
      <c r="M73" s="449"/>
      <c r="N73" s="449"/>
      <c r="O73" s="449"/>
      <c r="P73" s="449"/>
      <c r="Q73" s="449"/>
      <c r="R73" s="449"/>
      <c r="S73" s="449"/>
      <c r="T73" s="449"/>
      <c r="U73" s="449"/>
      <c r="V73" s="449"/>
      <c r="W73" s="449"/>
      <c r="X73" s="449"/>
      <c r="Y73" s="449"/>
      <c r="Z73" s="449"/>
      <c r="AA73" s="449"/>
      <c r="AB73" s="449"/>
      <c r="AC73" s="449"/>
      <c r="AD73" s="449"/>
      <c r="AE73" s="449"/>
      <c r="AF73" s="449"/>
      <c r="AG73" s="449"/>
      <c r="AH73" s="449"/>
      <c r="AI73" s="449"/>
      <c r="AJ73" s="449"/>
      <c r="AK73" s="449"/>
      <c r="AL73" s="449"/>
      <c r="AM73" s="449"/>
      <c r="AN73" s="449"/>
      <c r="AO73" s="449"/>
      <c r="AP73" s="449"/>
      <c r="AQ73" s="449"/>
      <c r="AR73" s="449"/>
      <c r="AS73" s="449"/>
      <c r="AT73" s="449"/>
      <c r="AU73" s="449"/>
      <c r="AV73" s="449"/>
      <c r="AW73" s="449"/>
      <c r="AX73" s="449"/>
      <c r="AY73" s="449"/>
      <c r="AZ73" s="449"/>
      <c r="BA73" s="449"/>
      <c r="BB73" s="449"/>
      <c r="BC73" s="449"/>
      <c r="BD73" s="449"/>
      <c r="BE73" s="449"/>
      <c r="BF73" s="449"/>
      <c r="BG73" s="449"/>
      <c r="BH73" s="449"/>
      <c r="BI73" s="449"/>
      <c r="BJ73" s="449"/>
      <c r="BK73" s="449"/>
      <c r="BL73" s="449"/>
      <c r="BM73" s="449"/>
      <c r="BN73" s="449"/>
      <c r="BO73" s="449"/>
      <c r="BP73" s="449"/>
      <c r="BQ73" s="449"/>
      <c r="BR73" s="449"/>
      <c r="BS73" s="449"/>
      <c r="BT73" s="449"/>
      <c r="BU73" s="449"/>
      <c r="BV73" s="449"/>
      <c r="BW73" s="449"/>
      <c r="BX73" s="449"/>
      <c r="BY73" s="449"/>
      <c r="BZ73" s="449"/>
      <c r="CA73" s="449"/>
      <c r="CB73" s="449"/>
      <c r="CC73" s="449"/>
      <c r="CD73" s="449"/>
      <c r="CE73" s="449"/>
      <c r="CF73" s="449"/>
      <c r="CG73" s="449"/>
      <c r="CH73" s="449"/>
      <c r="CI73" s="449"/>
      <c r="CJ73" s="449"/>
      <c r="CK73" s="449"/>
      <c r="CL73" s="449"/>
      <c r="CM73" s="449"/>
      <c r="CN73" s="449"/>
      <c r="CO73" s="449"/>
      <c r="CP73" s="449"/>
      <c r="CQ73" s="449"/>
      <c r="CR73" s="449"/>
      <c r="CS73" s="449"/>
      <c r="CT73" s="449"/>
      <c r="CU73" s="449"/>
      <c r="CV73" s="449"/>
      <c r="CW73" s="449"/>
      <c r="CX73" s="449"/>
      <c r="CY73" s="449"/>
      <c r="CZ73" s="449"/>
      <c r="DA73" s="449"/>
      <c r="DB73" s="449"/>
      <c r="DC73" s="449"/>
      <c r="DD73" s="449"/>
      <c r="DE73" s="449"/>
      <c r="DF73" s="449"/>
      <c r="DG73" s="449"/>
      <c r="DH73" s="449"/>
      <c r="DI73" s="449"/>
      <c r="DJ73" s="449"/>
      <c r="DK73" s="449"/>
      <c r="DL73" s="449"/>
      <c r="DM73" s="449"/>
      <c r="DN73" s="449"/>
      <c r="DO73" s="449"/>
      <c r="DP73" s="449"/>
      <c r="DQ73" s="449"/>
      <c r="DR73" s="449"/>
      <c r="DS73" s="449"/>
      <c r="DT73" s="449"/>
      <c r="DU73" s="449"/>
      <c r="DV73" s="449"/>
      <c r="DW73" s="449"/>
      <c r="DX73" s="449"/>
      <c r="DY73" s="449"/>
      <c r="DZ73" s="449"/>
      <c r="EA73" s="449"/>
      <c r="EB73" s="449"/>
      <c r="EC73" s="449"/>
      <c r="ED73" s="449"/>
      <c r="EE73" s="449"/>
      <c r="EF73" s="449"/>
      <c r="EG73" s="449"/>
      <c r="EH73" s="449"/>
      <c r="EI73" s="449"/>
      <c r="EJ73" s="449"/>
      <c r="EK73" s="449"/>
      <c r="EL73" s="449"/>
      <c r="EM73" s="449"/>
      <c r="EN73" s="449"/>
      <c r="EO73" s="449"/>
      <c r="EP73" s="449"/>
      <c r="EQ73" s="449"/>
      <c r="ER73" s="449"/>
      <c r="ES73" s="449"/>
      <c r="ET73" s="449"/>
      <c r="EU73" s="449"/>
      <c r="EV73" s="449"/>
      <c r="EW73" s="449"/>
      <c r="EX73" s="449"/>
      <c r="EY73" s="449"/>
      <c r="EZ73" s="449"/>
      <c r="FA73" s="449"/>
      <c r="FB73" s="449"/>
      <c r="FC73" s="449"/>
      <c r="FD73" s="449"/>
      <c r="FE73" s="449"/>
      <c r="FF73" s="449"/>
      <c r="FG73" s="449"/>
      <c r="FH73" s="449"/>
      <c r="FI73" s="449"/>
      <c r="FJ73" s="449"/>
      <c r="FK73" s="449"/>
      <c r="FL73" s="449"/>
      <c r="FM73" s="449"/>
      <c r="FN73" s="449"/>
      <c r="FO73" s="449"/>
      <c r="FP73" s="449"/>
      <c r="FQ73" s="449"/>
      <c r="FR73" s="449"/>
      <c r="FS73" s="449"/>
      <c r="FT73" s="449"/>
      <c r="FU73" s="449"/>
      <c r="FV73" s="449"/>
      <c r="FW73" s="449"/>
      <c r="FX73" s="449"/>
      <c r="FY73" s="449"/>
      <c r="FZ73" s="449"/>
      <c r="GA73" s="449"/>
      <c r="GB73" s="449"/>
      <c r="GC73" s="449"/>
      <c r="GD73" s="449"/>
      <c r="GE73" s="449"/>
      <c r="GF73" s="449"/>
      <c r="GG73" s="449"/>
      <c r="GH73" s="449"/>
      <c r="GI73" s="449"/>
      <c r="GJ73" s="449"/>
      <c r="GK73" s="449"/>
      <c r="GL73" s="449"/>
      <c r="GM73" s="449"/>
      <c r="GN73" s="449"/>
      <c r="GO73" s="449"/>
      <c r="GP73" s="449"/>
      <c r="GQ73" s="449"/>
      <c r="GR73" s="449"/>
      <c r="GS73" s="449"/>
      <c r="GT73" s="449"/>
      <c r="GU73" s="449"/>
      <c r="GV73" s="449"/>
      <c r="GW73" s="449"/>
      <c r="GX73" s="449"/>
      <c r="GY73" s="449"/>
      <c r="GZ73" s="449"/>
      <c r="HA73" s="449"/>
      <c r="HB73" s="449"/>
      <c r="HC73" s="449"/>
      <c r="HD73" s="449"/>
      <c r="HE73" s="449"/>
      <c r="HF73" s="449"/>
      <c r="HG73" s="449"/>
      <c r="HH73" s="449"/>
      <c r="HI73" s="449"/>
      <c r="HJ73" s="449"/>
      <c r="HK73" s="449"/>
      <c r="HL73" s="449"/>
      <c r="HM73" s="449"/>
      <c r="HN73" s="449"/>
      <c r="HO73" s="449"/>
      <c r="HP73" s="449"/>
      <c r="HQ73" s="449"/>
      <c r="HR73" s="449"/>
      <c r="HS73" s="449"/>
      <c r="HT73" s="449"/>
      <c r="HU73" s="449"/>
      <c r="HV73" s="449"/>
      <c r="HW73" s="449"/>
      <c r="HX73" s="449"/>
      <c r="HY73" s="449"/>
      <c r="HZ73" s="449"/>
      <c r="IA73" s="449"/>
      <c r="IB73" s="449"/>
      <c r="IC73" s="449"/>
      <c r="ID73" s="449"/>
      <c r="IE73" s="449"/>
      <c r="IF73" s="449"/>
      <c r="IG73" s="449"/>
      <c r="IH73" s="449"/>
      <c r="II73" s="449"/>
      <c r="IJ73" s="449"/>
      <c r="IK73" s="449"/>
      <c r="IL73" s="449"/>
      <c r="IM73" s="449"/>
      <c r="IN73" s="449"/>
      <c r="IO73" s="449"/>
      <c r="IP73" s="449"/>
      <c r="IQ73" s="449"/>
      <c r="IR73" s="449"/>
      <c r="IS73" s="449"/>
      <c r="IT73" s="449"/>
      <c r="IU73" s="449"/>
      <c r="IV73" s="449"/>
    </row>
    <row r="74" spans="1:256" ht="17.5">
      <c r="A74" s="474"/>
      <c r="B74" s="449"/>
      <c r="C74" s="449"/>
      <c r="D74" s="449"/>
      <c r="E74" s="449"/>
      <c r="F74" s="449"/>
      <c r="G74" s="449"/>
      <c r="H74" s="449"/>
      <c r="I74" s="449"/>
      <c r="J74" s="449"/>
      <c r="K74" s="449"/>
      <c r="L74" s="449"/>
      <c r="M74" s="449"/>
      <c r="N74" s="449"/>
      <c r="O74" s="449"/>
      <c r="P74" s="449"/>
      <c r="Q74" s="449"/>
      <c r="R74" s="449"/>
      <c r="S74" s="449"/>
      <c r="T74" s="449"/>
      <c r="U74" s="449"/>
      <c r="V74" s="449"/>
      <c r="W74" s="449"/>
      <c r="X74" s="449"/>
      <c r="Y74" s="449"/>
      <c r="Z74" s="449"/>
      <c r="AA74" s="449"/>
      <c r="AB74" s="449"/>
      <c r="AC74" s="449"/>
      <c r="AD74" s="449"/>
      <c r="AE74" s="449"/>
      <c r="AF74" s="449"/>
      <c r="AG74" s="449"/>
      <c r="AH74" s="449"/>
      <c r="AI74" s="449"/>
      <c r="AJ74" s="449"/>
      <c r="AK74" s="449"/>
      <c r="AL74" s="449"/>
      <c r="AM74" s="449"/>
      <c r="AN74" s="449"/>
      <c r="AO74" s="449"/>
      <c r="AP74" s="449"/>
      <c r="AQ74" s="449"/>
      <c r="AR74" s="449"/>
      <c r="AS74" s="449"/>
      <c r="AT74" s="449"/>
      <c r="AU74" s="449"/>
      <c r="AV74" s="449"/>
      <c r="AW74" s="449"/>
      <c r="AX74" s="449"/>
      <c r="AY74" s="449"/>
      <c r="AZ74" s="449"/>
      <c r="BA74" s="449"/>
      <c r="BB74" s="449"/>
      <c r="BC74" s="449"/>
      <c r="BD74" s="449"/>
      <c r="BE74" s="449"/>
      <c r="BF74" s="449"/>
      <c r="BG74" s="449"/>
      <c r="BH74" s="449"/>
      <c r="BI74" s="449"/>
      <c r="BJ74" s="449"/>
      <c r="BK74" s="449"/>
      <c r="BL74" s="449"/>
      <c r="BM74" s="449"/>
      <c r="BN74" s="449"/>
      <c r="BO74" s="449"/>
      <c r="BP74" s="449"/>
      <c r="BQ74" s="449"/>
      <c r="BR74" s="449"/>
      <c r="BS74" s="449"/>
      <c r="BT74" s="449"/>
      <c r="BU74" s="449"/>
      <c r="BV74" s="449"/>
      <c r="BW74" s="449"/>
      <c r="BX74" s="449"/>
      <c r="BY74" s="449"/>
      <c r="BZ74" s="449"/>
      <c r="CA74" s="449"/>
      <c r="CB74" s="449"/>
      <c r="CC74" s="449"/>
      <c r="CD74" s="449"/>
      <c r="CE74" s="449"/>
      <c r="CF74" s="449"/>
      <c r="CG74" s="449"/>
      <c r="CH74" s="449"/>
      <c r="CI74" s="449"/>
      <c r="CJ74" s="449"/>
      <c r="CK74" s="449"/>
      <c r="CL74" s="449"/>
      <c r="CM74" s="449"/>
      <c r="CN74" s="449"/>
      <c r="CO74" s="449"/>
      <c r="CP74" s="449"/>
      <c r="CQ74" s="449"/>
      <c r="CR74" s="449"/>
      <c r="CS74" s="449"/>
      <c r="CT74" s="449"/>
      <c r="CU74" s="449"/>
      <c r="CV74" s="449"/>
      <c r="CW74" s="449"/>
      <c r="CX74" s="449"/>
      <c r="CY74" s="449"/>
      <c r="CZ74" s="449"/>
      <c r="DA74" s="449"/>
      <c r="DB74" s="449"/>
      <c r="DC74" s="449"/>
      <c r="DD74" s="449"/>
      <c r="DE74" s="449"/>
      <c r="DF74" s="449"/>
      <c r="DG74" s="449"/>
      <c r="DH74" s="449"/>
      <c r="DI74" s="449"/>
      <c r="DJ74" s="449"/>
      <c r="DK74" s="449"/>
      <c r="DL74" s="449"/>
      <c r="DM74" s="449"/>
      <c r="DN74" s="449"/>
      <c r="DO74" s="449"/>
      <c r="DP74" s="449"/>
      <c r="DQ74" s="449"/>
      <c r="DR74" s="449"/>
      <c r="DS74" s="449"/>
      <c r="DT74" s="449"/>
      <c r="DU74" s="449"/>
      <c r="DV74" s="449"/>
      <c r="DW74" s="449"/>
      <c r="DX74" s="449"/>
      <c r="DY74" s="449"/>
      <c r="DZ74" s="449"/>
      <c r="EA74" s="449"/>
      <c r="EB74" s="449"/>
      <c r="EC74" s="449"/>
      <c r="ED74" s="449"/>
      <c r="EE74" s="449"/>
      <c r="EF74" s="449"/>
      <c r="EG74" s="449"/>
      <c r="EH74" s="449"/>
      <c r="EI74" s="449"/>
      <c r="EJ74" s="449"/>
      <c r="EK74" s="449"/>
      <c r="EL74" s="449"/>
      <c r="EM74" s="449"/>
      <c r="EN74" s="449"/>
      <c r="EO74" s="449"/>
      <c r="EP74" s="449"/>
      <c r="EQ74" s="449"/>
      <c r="ER74" s="449"/>
      <c r="ES74" s="449"/>
      <c r="ET74" s="449"/>
      <c r="EU74" s="449"/>
      <c r="EV74" s="449"/>
      <c r="EW74" s="449"/>
      <c r="EX74" s="449"/>
      <c r="EY74" s="449"/>
      <c r="EZ74" s="449"/>
      <c r="FA74" s="449"/>
      <c r="FB74" s="449"/>
      <c r="FC74" s="449"/>
      <c r="FD74" s="449"/>
      <c r="FE74" s="449"/>
      <c r="FF74" s="449"/>
      <c r="FG74" s="449"/>
      <c r="FH74" s="449"/>
      <c r="FI74" s="449"/>
      <c r="FJ74" s="449"/>
      <c r="FK74" s="449"/>
      <c r="FL74" s="449"/>
      <c r="FM74" s="449"/>
      <c r="FN74" s="449"/>
      <c r="FO74" s="449"/>
      <c r="FP74" s="449"/>
      <c r="FQ74" s="449"/>
      <c r="FR74" s="449"/>
      <c r="FS74" s="449"/>
      <c r="FT74" s="449"/>
      <c r="FU74" s="449"/>
      <c r="FV74" s="449"/>
      <c r="FW74" s="449"/>
      <c r="FX74" s="449"/>
      <c r="FY74" s="449"/>
      <c r="FZ74" s="449"/>
      <c r="GA74" s="449"/>
      <c r="GB74" s="449"/>
      <c r="GC74" s="449"/>
      <c r="GD74" s="449"/>
      <c r="GE74" s="449"/>
      <c r="GF74" s="449"/>
      <c r="GG74" s="449"/>
      <c r="GH74" s="449"/>
      <c r="GI74" s="449"/>
      <c r="GJ74" s="449"/>
      <c r="GK74" s="449"/>
      <c r="GL74" s="449"/>
      <c r="GM74" s="449"/>
      <c r="GN74" s="449"/>
      <c r="GO74" s="449"/>
      <c r="GP74" s="449"/>
      <c r="GQ74" s="449"/>
      <c r="GR74" s="449"/>
      <c r="GS74" s="449"/>
      <c r="GT74" s="449"/>
      <c r="GU74" s="449"/>
      <c r="GV74" s="449"/>
      <c r="GW74" s="449"/>
      <c r="GX74" s="449"/>
      <c r="GY74" s="449"/>
      <c r="GZ74" s="449"/>
      <c r="HA74" s="449"/>
      <c r="HB74" s="449"/>
      <c r="HC74" s="449"/>
      <c r="HD74" s="449"/>
      <c r="HE74" s="449"/>
      <c r="HF74" s="449"/>
      <c r="HG74" s="449"/>
      <c r="HH74" s="449"/>
      <c r="HI74" s="449"/>
      <c r="HJ74" s="449"/>
      <c r="HK74" s="449"/>
      <c r="HL74" s="449"/>
      <c r="HM74" s="449"/>
      <c r="HN74" s="449"/>
      <c r="HO74" s="449"/>
      <c r="HP74" s="449"/>
      <c r="HQ74" s="449"/>
      <c r="HR74" s="449"/>
      <c r="HS74" s="449"/>
      <c r="HT74" s="449"/>
      <c r="HU74" s="449"/>
      <c r="HV74" s="449"/>
      <c r="HW74" s="449"/>
      <c r="HX74" s="449"/>
      <c r="HY74" s="449"/>
      <c r="HZ74" s="449"/>
      <c r="IA74" s="449"/>
      <c r="IB74" s="449"/>
      <c r="IC74" s="449"/>
      <c r="ID74" s="449"/>
      <c r="IE74" s="449"/>
      <c r="IF74" s="449"/>
      <c r="IG74" s="449"/>
      <c r="IH74" s="449"/>
      <c r="II74" s="449"/>
      <c r="IJ74" s="449"/>
      <c r="IK74" s="449"/>
      <c r="IL74" s="449"/>
      <c r="IM74" s="449"/>
      <c r="IN74" s="449"/>
      <c r="IO74" s="449"/>
      <c r="IP74" s="449"/>
      <c r="IQ74" s="449"/>
      <c r="IR74" s="449"/>
      <c r="IS74" s="449"/>
      <c r="IT74" s="449"/>
      <c r="IU74" s="449"/>
      <c r="IV74" s="449"/>
    </row>
    <row r="75" spans="1:256" ht="17.5">
      <c r="A75" s="449"/>
      <c r="B75" s="449"/>
      <c r="C75" s="449"/>
      <c r="D75" s="449"/>
      <c r="E75" s="449"/>
      <c r="F75" s="449"/>
      <c r="G75" s="449"/>
      <c r="H75" s="449"/>
      <c r="I75" s="449"/>
      <c r="J75" s="449"/>
      <c r="K75" s="449"/>
      <c r="L75" s="449"/>
      <c r="M75" s="449"/>
      <c r="N75" s="449"/>
      <c r="O75" s="449"/>
      <c r="P75" s="449"/>
      <c r="Q75" s="449"/>
      <c r="R75" s="449"/>
      <c r="S75" s="449"/>
      <c r="T75" s="449"/>
      <c r="U75" s="449"/>
      <c r="V75" s="449"/>
      <c r="W75" s="449"/>
      <c r="X75" s="449"/>
      <c r="Y75" s="449"/>
      <c r="Z75" s="449"/>
      <c r="AA75" s="449"/>
      <c r="AB75" s="449"/>
      <c r="AC75" s="449"/>
      <c r="AD75" s="449"/>
      <c r="AE75" s="449"/>
      <c r="AF75" s="449"/>
      <c r="AG75" s="449"/>
      <c r="AH75" s="449"/>
      <c r="AI75" s="449"/>
      <c r="AJ75" s="449"/>
      <c r="AK75" s="449"/>
      <c r="AL75" s="449"/>
      <c r="AM75" s="449"/>
      <c r="AN75" s="449"/>
      <c r="AO75" s="449"/>
      <c r="AP75" s="449"/>
      <c r="AQ75" s="449"/>
      <c r="AR75" s="449"/>
      <c r="AS75" s="449"/>
      <c r="AT75" s="449"/>
      <c r="AU75" s="449"/>
      <c r="AV75" s="449"/>
      <c r="AW75" s="449"/>
      <c r="AX75" s="449"/>
      <c r="AY75" s="449"/>
      <c r="AZ75" s="449"/>
      <c r="BA75" s="449"/>
      <c r="BB75" s="449"/>
      <c r="BC75" s="449"/>
      <c r="BD75" s="449"/>
      <c r="BE75" s="449"/>
      <c r="BF75" s="449"/>
      <c r="BG75" s="449"/>
      <c r="BH75" s="449"/>
      <c r="BI75" s="449"/>
      <c r="BJ75" s="449"/>
      <c r="BK75" s="449"/>
      <c r="BL75" s="449"/>
      <c r="BM75" s="449"/>
      <c r="BN75" s="449"/>
      <c r="BO75" s="449"/>
      <c r="BP75" s="449"/>
      <c r="BQ75" s="449"/>
      <c r="BR75" s="449"/>
      <c r="BS75" s="449"/>
      <c r="BT75" s="449"/>
      <c r="BU75" s="449"/>
      <c r="BV75" s="449"/>
      <c r="BW75" s="449"/>
      <c r="BX75" s="449"/>
      <c r="BY75" s="449"/>
      <c r="BZ75" s="449"/>
      <c r="CA75" s="449"/>
      <c r="CB75" s="449"/>
      <c r="CC75" s="449"/>
      <c r="CD75" s="449"/>
      <c r="CE75" s="449"/>
      <c r="CF75" s="449"/>
      <c r="CG75" s="449"/>
      <c r="CH75" s="449"/>
      <c r="CI75" s="449"/>
      <c r="CJ75" s="449"/>
      <c r="CK75" s="449"/>
      <c r="CL75" s="449"/>
      <c r="CM75" s="449"/>
      <c r="CN75" s="449"/>
      <c r="CO75" s="449"/>
      <c r="CP75" s="449"/>
      <c r="CQ75" s="449"/>
      <c r="CR75" s="449"/>
      <c r="CS75" s="449"/>
      <c r="CT75" s="449"/>
      <c r="CU75" s="449"/>
      <c r="CV75" s="449"/>
      <c r="CW75" s="449"/>
      <c r="CX75" s="449"/>
      <c r="CY75" s="449"/>
      <c r="CZ75" s="449"/>
      <c r="DA75" s="449"/>
      <c r="DB75" s="449"/>
      <c r="DC75" s="449"/>
      <c r="DD75" s="449"/>
      <c r="DE75" s="449"/>
      <c r="DF75" s="449"/>
      <c r="DG75" s="449"/>
      <c r="DH75" s="449"/>
      <c r="DI75" s="449"/>
      <c r="DJ75" s="449"/>
      <c r="DK75" s="449"/>
      <c r="DL75" s="449"/>
      <c r="DM75" s="449"/>
      <c r="DN75" s="449"/>
      <c r="DO75" s="449"/>
      <c r="DP75" s="449"/>
      <c r="DQ75" s="449"/>
      <c r="DR75" s="449"/>
      <c r="DS75" s="449"/>
      <c r="DT75" s="449"/>
      <c r="DU75" s="449"/>
      <c r="DV75" s="449"/>
      <c r="DW75" s="449"/>
      <c r="DX75" s="449"/>
      <c r="DY75" s="449"/>
      <c r="DZ75" s="449"/>
      <c r="EA75" s="449"/>
      <c r="EB75" s="449"/>
      <c r="EC75" s="449"/>
      <c r="ED75" s="449"/>
      <c r="EE75" s="449"/>
      <c r="EF75" s="449"/>
      <c r="EG75" s="449"/>
      <c r="EH75" s="449"/>
      <c r="EI75" s="449"/>
      <c r="EJ75" s="449"/>
      <c r="EK75" s="449"/>
      <c r="EL75" s="449"/>
      <c r="EM75" s="449"/>
      <c r="EN75" s="449"/>
      <c r="EO75" s="449"/>
      <c r="EP75" s="449"/>
      <c r="EQ75" s="449"/>
      <c r="ER75" s="449"/>
      <c r="ES75" s="449"/>
      <c r="ET75" s="449"/>
      <c r="EU75" s="449"/>
      <c r="EV75" s="449"/>
      <c r="EW75" s="449"/>
      <c r="EX75" s="449"/>
      <c r="EY75" s="449"/>
      <c r="EZ75" s="449"/>
      <c r="FA75" s="449"/>
      <c r="FB75" s="449"/>
      <c r="FC75" s="449"/>
      <c r="FD75" s="449"/>
      <c r="FE75" s="449"/>
      <c r="FF75" s="449"/>
      <c r="FG75" s="449"/>
      <c r="FH75" s="449"/>
      <c r="FI75" s="449"/>
      <c r="FJ75" s="449"/>
      <c r="FK75" s="449"/>
      <c r="FL75" s="449"/>
      <c r="FM75" s="449"/>
      <c r="FN75" s="449"/>
      <c r="FO75" s="449"/>
      <c r="FP75" s="449"/>
      <c r="FQ75" s="449"/>
      <c r="FR75" s="449"/>
      <c r="FS75" s="449"/>
      <c r="FT75" s="449"/>
      <c r="FU75" s="449"/>
      <c r="FV75" s="449"/>
      <c r="FW75" s="449"/>
      <c r="FX75" s="449"/>
      <c r="FY75" s="449"/>
      <c r="FZ75" s="449"/>
      <c r="GA75" s="449"/>
      <c r="GB75" s="449"/>
      <c r="GC75" s="449"/>
      <c r="GD75" s="449"/>
      <c r="GE75" s="449"/>
      <c r="GF75" s="449"/>
      <c r="GG75" s="449"/>
      <c r="GH75" s="449"/>
      <c r="GI75" s="449"/>
      <c r="GJ75" s="449"/>
      <c r="GK75" s="449"/>
      <c r="GL75" s="449"/>
      <c r="GM75" s="449"/>
      <c r="GN75" s="449"/>
      <c r="GO75" s="449"/>
      <c r="GP75" s="449"/>
      <c r="GQ75" s="449"/>
      <c r="GR75" s="449"/>
      <c r="GS75" s="449"/>
      <c r="GT75" s="449"/>
      <c r="GU75" s="449"/>
      <c r="GV75" s="449"/>
      <c r="GW75" s="449"/>
      <c r="GX75" s="449"/>
      <c r="GY75" s="449"/>
      <c r="GZ75" s="449"/>
      <c r="HA75" s="449"/>
      <c r="HB75" s="449"/>
      <c r="HC75" s="449"/>
      <c r="HD75" s="449"/>
      <c r="HE75" s="449"/>
      <c r="HF75" s="449"/>
      <c r="HG75" s="449"/>
      <c r="HH75" s="449"/>
      <c r="HI75" s="449"/>
      <c r="HJ75" s="449"/>
      <c r="HK75" s="449"/>
      <c r="HL75" s="449"/>
      <c r="HM75" s="449"/>
      <c r="HN75" s="449"/>
      <c r="HO75" s="449"/>
      <c r="HP75" s="449"/>
      <c r="HQ75" s="449"/>
      <c r="HR75" s="449"/>
      <c r="HS75" s="449"/>
      <c r="HT75" s="449"/>
      <c r="HU75" s="449"/>
      <c r="HV75" s="449"/>
      <c r="HW75" s="449"/>
      <c r="HX75" s="449"/>
      <c r="HY75" s="449"/>
      <c r="HZ75" s="449"/>
      <c r="IA75" s="449"/>
      <c r="IB75" s="449"/>
      <c r="IC75" s="449"/>
      <c r="ID75" s="449"/>
      <c r="IE75" s="449"/>
      <c r="IF75" s="449"/>
      <c r="IG75" s="449"/>
      <c r="IH75" s="449"/>
      <c r="II75" s="449"/>
      <c r="IJ75" s="449"/>
      <c r="IK75" s="449"/>
      <c r="IL75" s="449"/>
      <c r="IM75" s="449"/>
      <c r="IN75" s="449"/>
      <c r="IO75" s="449"/>
      <c r="IP75" s="449"/>
      <c r="IQ75" s="449"/>
      <c r="IR75" s="449"/>
      <c r="IS75" s="449"/>
      <c r="IT75" s="449"/>
      <c r="IU75" s="449"/>
      <c r="IV75" s="449"/>
    </row>
    <row r="76" spans="1:256" ht="17.5">
      <c r="A76" s="449"/>
      <c r="B76" s="449"/>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c r="AE76" s="449"/>
      <c r="AF76" s="449"/>
      <c r="AG76" s="449"/>
      <c r="AH76" s="449"/>
      <c r="AI76" s="449"/>
      <c r="AJ76" s="449"/>
      <c r="AK76" s="449"/>
      <c r="AL76" s="449"/>
      <c r="AM76" s="449"/>
      <c r="AN76" s="449"/>
      <c r="AO76" s="449"/>
      <c r="AP76" s="449"/>
      <c r="AQ76" s="449"/>
      <c r="AR76" s="449"/>
      <c r="AS76" s="449"/>
      <c r="AT76" s="449"/>
      <c r="AU76" s="449"/>
      <c r="AV76" s="449"/>
      <c r="AW76" s="449"/>
      <c r="AX76" s="449"/>
      <c r="AY76" s="449"/>
      <c r="AZ76" s="449"/>
      <c r="BA76" s="449"/>
      <c r="BB76" s="449"/>
      <c r="BC76" s="449"/>
      <c r="BD76" s="449"/>
      <c r="BE76" s="449"/>
      <c r="BF76" s="449"/>
      <c r="BG76" s="449"/>
      <c r="BH76" s="449"/>
      <c r="BI76" s="449"/>
      <c r="BJ76" s="449"/>
      <c r="BK76" s="449"/>
      <c r="BL76" s="449"/>
      <c r="BM76" s="449"/>
      <c r="BN76" s="449"/>
      <c r="BO76" s="449"/>
      <c r="BP76" s="449"/>
      <c r="BQ76" s="449"/>
      <c r="BR76" s="449"/>
      <c r="BS76" s="449"/>
      <c r="BT76" s="449"/>
      <c r="BU76" s="449"/>
      <c r="BV76" s="449"/>
      <c r="BW76" s="449"/>
      <c r="BX76" s="449"/>
      <c r="BY76" s="449"/>
      <c r="BZ76" s="449"/>
      <c r="CA76" s="449"/>
      <c r="CB76" s="449"/>
      <c r="CC76" s="449"/>
      <c r="CD76" s="449"/>
      <c r="CE76" s="449"/>
      <c r="CF76" s="449"/>
      <c r="CG76" s="449"/>
      <c r="CH76" s="449"/>
      <c r="CI76" s="449"/>
      <c r="CJ76" s="449"/>
      <c r="CK76" s="449"/>
      <c r="CL76" s="449"/>
      <c r="CM76" s="449"/>
      <c r="CN76" s="449"/>
      <c r="CO76" s="449"/>
      <c r="CP76" s="449"/>
      <c r="CQ76" s="449"/>
      <c r="CR76" s="449"/>
      <c r="CS76" s="449"/>
      <c r="CT76" s="449"/>
      <c r="CU76" s="449"/>
      <c r="CV76" s="449"/>
      <c r="CW76" s="449"/>
      <c r="CX76" s="449"/>
      <c r="CY76" s="449"/>
      <c r="CZ76" s="449"/>
      <c r="DA76" s="449"/>
      <c r="DB76" s="449"/>
      <c r="DC76" s="449"/>
      <c r="DD76" s="449"/>
      <c r="DE76" s="449"/>
      <c r="DF76" s="449"/>
      <c r="DG76" s="449"/>
      <c r="DH76" s="449"/>
      <c r="DI76" s="449"/>
      <c r="DJ76" s="449"/>
      <c r="DK76" s="449"/>
      <c r="DL76" s="449"/>
      <c r="DM76" s="449"/>
      <c r="DN76" s="449"/>
      <c r="DO76" s="449"/>
      <c r="DP76" s="449"/>
      <c r="DQ76" s="449"/>
      <c r="DR76" s="449"/>
      <c r="DS76" s="449"/>
      <c r="DT76" s="449"/>
      <c r="DU76" s="449"/>
      <c r="DV76" s="449"/>
      <c r="DW76" s="449"/>
      <c r="DX76" s="449"/>
      <c r="DY76" s="449"/>
      <c r="DZ76" s="449"/>
      <c r="EA76" s="449"/>
      <c r="EB76" s="449"/>
      <c r="EC76" s="449"/>
      <c r="ED76" s="449"/>
      <c r="EE76" s="449"/>
      <c r="EF76" s="449"/>
      <c r="EG76" s="449"/>
      <c r="EH76" s="449"/>
      <c r="EI76" s="449"/>
      <c r="EJ76" s="449"/>
      <c r="EK76" s="449"/>
      <c r="EL76" s="449"/>
      <c r="EM76" s="449"/>
      <c r="EN76" s="449"/>
      <c r="EO76" s="449"/>
      <c r="EP76" s="449"/>
      <c r="EQ76" s="449"/>
      <c r="ER76" s="449"/>
      <c r="ES76" s="449"/>
      <c r="ET76" s="449"/>
      <c r="EU76" s="449"/>
      <c r="EV76" s="449"/>
      <c r="EW76" s="449"/>
      <c r="EX76" s="449"/>
      <c r="EY76" s="449"/>
      <c r="EZ76" s="449"/>
      <c r="FA76" s="449"/>
      <c r="FB76" s="449"/>
      <c r="FC76" s="449"/>
      <c r="FD76" s="449"/>
      <c r="FE76" s="449"/>
      <c r="FF76" s="449"/>
      <c r="FG76" s="449"/>
      <c r="FH76" s="449"/>
      <c r="FI76" s="449"/>
      <c r="FJ76" s="449"/>
      <c r="FK76" s="449"/>
      <c r="FL76" s="449"/>
      <c r="FM76" s="449"/>
      <c r="FN76" s="449"/>
      <c r="FO76" s="449"/>
      <c r="FP76" s="449"/>
      <c r="FQ76" s="449"/>
      <c r="FR76" s="449"/>
      <c r="FS76" s="449"/>
      <c r="FT76" s="449"/>
      <c r="FU76" s="449"/>
      <c r="FV76" s="449"/>
      <c r="FW76" s="449"/>
      <c r="FX76" s="449"/>
      <c r="FY76" s="449"/>
      <c r="FZ76" s="449"/>
      <c r="GA76" s="449"/>
      <c r="GB76" s="449"/>
      <c r="GC76" s="449"/>
      <c r="GD76" s="449"/>
      <c r="GE76" s="449"/>
      <c r="GF76" s="449"/>
      <c r="GG76" s="449"/>
      <c r="GH76" s="449"/>
      <c r="GI76" s="449"/>
      <c r="GJ76" s="449"/>
      <c r="GK76" s="449"/>
      <c r="GL76" s="449"/>
      <c r="GM76" s="449"/>
      <c r="GN76" s="449"/>
      <c r="GO76" s="449"/>
      <c r="GP76" s="449"/>
      <c r="GQ76" s="449"/>
      <c r="GR76" s="449"/>
      <c r="GS76" s="449"/>
      <c r="GT76" s="449"/>
      <c r="GU76" s="449"/>
      <c r="GV76" s="449"/>
      <c r="GW76" s="449"/>
      <c r="GX76" s="449"/>
      <c r="GY76" s="449"/>
      <c r="GZ76" s="449"/>
      <c r="HA76" s="449"/>
      <c r="HB76" s="449"/>
      <c r="HC76" s="449"/>
      <c r="HD76" s="449"/>
      <c r="HE76" s="449"/>
      <c r="HF76" s="449"/>
      <c r="HG76" s="449"/>
      <c r="HH76" s="449"/>
      <c r="HI76" s="449"/>
      <c r="HJ76" s="449"/>
      <c r="HK76" s="449"/>
      <c r="HL76" s="449"/>
      <c r="HM76" s="449"/>
      <c r="HN76" s="449"/>
      <c r="HO76" s="449"/>
      <c r="HP76" s="449"/>
      <c r="HQ76" s="449"/>
      <c r="HR76" s="449"/>
      <c r="HS76" s="449"/>
      <c r="HT76" s="449"/>
      <c r="HU76" s="449"/>
      <c r="HV76" s="449"/>
      <c r="HW76" s="449"/>
      <c r="HX76" s="449"/>
      <c r="HY76" s="449"/>
      <c r="HZ76" s="449"/>
      <c r="IA76" s="449"/>
      <c r="IB76" s="449"/>
      <c r="IC76" s="449"/>
      <c r="ID76" s="449"/>
      <c r="IE76" s="449"/>
      <c r="IF76" s="449"/>
      <c r="IG76" s="449"/>
      <c r="IH76" s="449"/>
      <c r="II76" s="449"/>
      <c r="IJ76" s="449"/>
      <c r="IK76" s="449"/>
      <c r="IL76" s="449"/>
      <c r="IM76" s="449"/>
      <c r="IN76" s="449"/>
      <c r="IO76" s="449"/>
      <c r="IP76" s="449"/>
      <c r="IQ76" s="449"/>
      <c r="IR76" s="449"/>
      <c r="IS76" s="449"/>
      <c r="IT76" s="449"/>
      <c r="IU76" s="449"/>
      <c r="IV76" s="449"/>
    </row>
    <row r="77" spans="1:256" ht="17.5">
      <c r="A77" s="449"/>
      <c r="B77" s="449"/>
      <c r="C77" s="449"/>
      <c r="D77" s="449"/>
      <c r="E77" s="449"/>
      <c r="F77" s="449"/>
      <c r="G77" s="449"/>
      <c r="H77" s="449"/>
      <c r="I77" s="449"/>
      <c r="J77" s="449"/>
      <c r="K77" s="449"/>
      <c r="L77" s="449"/>
      <c r="M77" s="449"/>
      <c r="N77" s="449"/>
      <c r="O77" s="449"/>
      <c r="P77" s="449"/>
      <c r="Q77" s="449"/>
      <c r="R77" s="449"/>
      <c r="S77" s="449"/>
      <c r="T77" s="449"/>
      <c r="U77" s="449"/>
      <c r="V77" s="449"/>
      <c r="W77" s="449"/>
      <c r="X77" s="449"/>
      <c r="Y77" s="449"/>
      <c r="Z77" s="449"/>
      <c r="AA77" s="449"/>
      <c r="AB77" s="449"/>
      <c r="AC77" s="449"/>
      <c r="AD77" s="449"/>
      <c r="AE77" s="449"/>
      <c r="AF77" s="449"/>
      <c r="AG77" s="449"/>
      <c r="AH77" s="449"/>
      <c r="AI77" s="449"/>
      <c r="AJ77" s="449"/>
      <c r="AK77" s="449"/>
      <c r="AL77" s="449"/>
      <c r="AM77" s="449"/>
      <c r="AN77" s="449"/>
      <c r="AO77" s="449"/>
      <c r="AP77" s="449"/>
      <c r="AQ77" s="449"/>
      <c r="AR77" s="449"/>
      <c r="AS77" s="449"/>
      <c r="AT77" s="449"/>
      <c r="AU77" s="449"/>
      <c r="AV77" s="449"/>
      <c r="AW77" s="449"/>
      <c r="AX77" s="449"/>
      <c r="AY77" s="449"/>
      <c r="AZ77" s="449"/>
      <c r="BA77" s="449"/>
      <c r="BB77" s="449"/>
      <c r="BC77" s="449"/>
      <c r="BD77" s="449"/>
      <c r="BE77" s="449"/>
      <c r="BF77" s="449"/>
      <c r="BG77" s="449"/>
      <c r="BH77" s="449"/>
      <c r="BI77" s="449"/>
      <c r="BJ77" s="449"/>
      <c r="BK77" s="449"/>
      <c r="BL77" s="449"/>
      <c r="BM77" s="449"/>
      <c r="BN77" s="449"/>
      <c r="BO77" s="449"/>
      <c r="BP77" s="449"/>
      <c r="BQ77" s="449"/>
      <c r="BR77" s="449"/>
      <c r="BS77" s="449"/>
      <c r="BT77" s="449"/>
      <c r="BU77" s="449"/>
      <c r="BV77" s="449"/>
      <c r="BW77" s="449"/>
      <c r="BX77" s="449"/>
      <c r="BY77" s="449"/>
      <c r="BZ77" s="449"/>
      <c r="CA77" s="449"/>
      <c r="CB77" s="449"/>
      <c r="CC77" s="449"/>
      <c r="CD77" s="449"/>
      <c r="CE77" s="449"/>
      <c r="CF77" s="449"/>
      <c r="CG77" s="449"/>
      <c r="CH77" s="449"/>
      <c r="CI77" s="449"/>
      <c r="CJ77" s="449"/>
      <c r="CK77" s="449"/>
      <c r="CL77" s="449"/>
      <c r="CM77" s="449"/>
      <c r="CN77" s="449"/>
      <c r="CO77" s="449"/>
      <c r="CP77" s="449"/>
      <c r="CQ77" s="449"/>
      <c r="CR77" s="449"/>
      <c r="CS77" s="449"/>
      <c r="CT77" s="449"/>
      <c r="CU77" s="449"/>
      <c r="CV77" s="449"/>
      <c r="CW77" s="449"/>
      <c r="CX77" s="449"/>
      <c r="CY77" s="449"/>
      <c r="CZ77" s="449"/>
      <c r="DA77" s="449"/>
      <c r="DB77" s="449"/>
      <c r="DC77" s="449"/>
      <c r="DD77" s="449"/>
      <c r="DE77" s="449"/>
      <c r="DF77" s="449"/>
      <c r="DG77" s="449"/>
      <c r="DH77" s="449"/>
      <c r="DI77" s="449"/>
      <c r="DJ77" s="449"/>
      <c r="DK77" s="449"/>
      <c r="DL77" s="449"/>
      <c r="DM77" s="449"/>
      <c r="DN77" s="449"/>
      <c r="DO77" s="449"/>
      <c r="DP77" s="449"/>
      <c r="DQ77" s="449"/>
      <c r="DR77" s="449"/>
      <c r="DS77" s="449"/>
      <c r="DT77" s="449"/>
      <c r="DU77" s="449"/>
      <c r="DV77" s="449"/>
      <c r="DW77" s="449"/>
      <c r="DX77" s="449"/>
      <c r="DY77" s="449"/>
      <c r="DZ77" s="449"/>
      <c r="EA77" s="449"/>
      <c r="EB77" s="449"/>
      <c r="EC77" s="449"/>
      <c r="ED77" s="449"/>
      <c r="EE77" s="449"/>
      <c r="EF77" s="449"/>
      <c r="EG77" s="449"/>
      <c r="EH77" s="449"/>
      <c r="EI77" s="449"/>
      <c r="EJ77" s="449"/>
      <c r="EK77" s="449"/>
      <c r="EL77" s="449"/>
      <c r="EM77" s="449"/>
      <c r="EN77" s="449"/>
      <c r="EO77" s="449"/>
      <c r="EP77" s="449"/>
      <c r="EQ77" s="449"/>
      <c r="ER77" s="449"/>
      <c r="ES77" s="449"/>
      <c r="ET77" s="449"/>
      <c r="EU77" s="449"/>
      <c r="EV77" s="449"/>
      <c r="EW77" s="449"/>
      <c r="EX77" s="449"/>
      <c r="EY77" s="449"/>
      <c r="EZ77" s="449"/>
      <c r="FA77" s="449"/>
      <c r="FB77" s="449"/>
      <c r="FC77" s="449"/>
      <c r="FD77" s="449"/>
      <c r="FE77" s="449"/>
      <c r="FF77" s="449"/>
      <c r="FG77" s="449"/>
      <c r="FH77" s="449"/>
      <c r="FI77" s="449"/>
      <c r="FJ77" s="449"/>
      <c r="FK77" s="449"/>
      <c r="FL77" s="449"/>
      <c r="FM77" s="449"/>
      <c r="FN77" s="449"/>
      <c r="FO77" s="449"/>
      <c r="FP77" s="449"/>
      <c r="FQ77" s="449"/>
      <c r="FR77" s="449"/>
      <c r="FS77" s="449"/>
      <c r="FT77" s="449"/>
      <c r="FU77" s="449"/>
      <c r="FV77" s="449"/>
      <c r="FW77" s="449"/>
      <c r="FX77" s="449"/>
      <c r="FY77" s="449"/>
      <c r="FZ77" s="449"/>
      <c r="GA77" s="449"/>
      <c r="GB77" s="449"/>
      <c r="GC77" s="449"/>
      <c r="GD77" s="449"/>
      <c r="GE77" s="449"/>
      <c r="GF77" s="449"/>
      <c r="GG77" s="449"/>
      <c r="GH77" s="449"/>
      <c r="GI77" s="449"/>
      <c r="GJ77" s="449"/>
      <c r="GK77" s="449"/>
      <c r="GL77" s="449"/>
      <c r="GM77" s="449"/>
      <c r="GN77" s="449"/>
      <c r="GO77" s="449"/>
      <c r="GP77" s="449"/>
      <c r="GQ77" s="449"/>
      <c r="GR77" s="449"/>
      <c r="GS77" s="449"/>
      <c r="GT77" s="449"/>
      <c r="GU77" s="449"/>
      <c r="GV77" s="449"/>
      <c r="GW77" s="449"/>
      <c r="GX77" s="449"/>
      <c r="GY77" s="449"/>
      <c r="GZ77" s="449"/>
      <c r="HA77" s="449"/>
      <c r="HB77" s="449"/>
      <c r="HC77" s="449"/>
      <c r="HD77" s="449"/>
      <c r="HE77" s="449"/>
      <c r="HF77" s="449"/>
      <c r="HG77" s="449"/>
      <c r="HH77" s="449"/>
      <c r="HI77" s="449"/>
      <c r="HJ77" s="449"/>
      <c r="HK77" s="449"/>
      <c r="HL77" s="449"/>
      <c r="HM77" s="449"/>
      <c r="HN77" s="449"/>
      <c r="HO77" s="449"/>
      <c r="HP77" s="449"/>
      <c r="HQ77" s="449"/>
      <c r="HR77" s="449"/>
      <c r="HS77" s="449"/>
      <c r="HT77" s="449"/>
      <c r="HU77" s="449"/>
      <c r="HV77" s="449"/>
      <c r="HW77" s="449"/>
      <c r="HX77" s="449"/>
      <c r="HY77" s="449"/>
      <c r="HZ77" s="449"/>
      <c r="IA77" s="449"/>
      <c r="IB77" s="449"/>
      <c r="IC77" s="449"/>
      <c r="ID77" s="449"/>
      <c r="IE77" s="449"/>
      <c r="IF77" s="449"/>
      <c r="IG77" s="449"/>
      <c r="IH77" s="449"/>
      <c r="II77" s="449"/>
      <c r="IJ77" s="449"/>
      <c r="IK77" s="449"/>
      <c r="IL77" s="449"/>
      <c r="IM77" s="449"/>
      <c r="IN77" s="449"/>
      <c r="IO77" s="449"/>
      <c r="IP77" s="449"/>
      <c r="IQ77" s="449"/>
      <c r="IR77" s="449"/>
      <c r="IS77" s="449"/>
      <c r="IT77" s="449"/>
      <c r="IU77" s="449"/>
      <c r="IV77" s="449"/>
    </row>
    <row r="78" spans="1:256" ht="17.5">
      <c r="A78" s="449"/>
      <c r="B78" s="449"/>
      <c r="C78" s="449"/>
      <c r="D78" s="449"/>
      <c r="E78" s="449"/>
      <c r="F78" s="449"/>
      <c r="G78" s="449"/>
      <c r="H78" s="449"/>
      <c r="I78" s="449"/>
      <c r="J78" s="449"/>
      <c r="K78" s="449"/>
      <c r="L78" s="449"/>
      <c r="M78" s="449"/>
      <c r="N78" s="449"/>
      <c r="O78" s="449"/>
      <c r="P78" s="449"/>
      <c r="Q78" s="449"/>
      <c r="R78" s="449"/>
      <c r="S78" s="449"/>
      <c r="T78" s="449"/>
      <c r="U78" s="449"/>
      <c r="V78" s="449"/>
      <c r="W78" s="449"/>
      <c r="X78" s="449"/>
      <c r="Y78" s="449"/>
      <c r="Z78" s="449"/>
      <c r="AA78" s="449"/>
      <c r="AB78" s="449"/>
      <c r="AC78" s="449"/>
      <c r="AD78" s="449"/>
      <c r="AE78" s="449"/>
      <c r="AF78" s="449"/>
      <c r="AG78" s="449"/>
      <c r="AH78" s="449"/>
      <c r="AI78" s="449"/>
      <c r="AJ78" s="449"/>
      <c r="AK78" s="449"/>
      <c r="AL78" s="449"/>
      <c r="AM78" s="449"/>
      <c r="AN78" s="449"/>
      <c r="AO78" s="449"/>
      <c r="AP78" s="449"/>
      <c r="AQ78" s="449"/>
      <c r="AR78" s="449"/>
      <c r="AS78" s="449"/>
      <c r="AT78" s="449"/>
      <c r="AU78" s="449"/>
      <c r="AV78" s="449"/>
      <c r="AW78" s="449"/>
      <c r="AX78" s="449"/>
      <c r="AY78" s="449"/>
      <c r="AZ78" s="449"/>
      <c r="BA78" s="449"/>
      <c r="BB78" s="449"/>
      <c r="BC78" s="449"/>
      <c r="BD78" s="449"/>
      <c r="BE78" s="449"/>
      <c r="BF78" s="449"/>
      <c r="BG78" s="449"/>
      <c r="BH78" s="449"/>
      <c r="BI78" s="449"/>
      <c r="BJ78" s="449"/>
      <c r="BK78" s="449"/>
      <c r="BL78" s="449"/>
      <c r="BM78" s="449"/>
      <c r="BN78" s="449"/>
      <c r="BO78" s="449"/>
      <c r="BP78" s="449"/>
      <c r="BQ78" s="449"/>
      <c r="BR78" s="449"/>
      <c r="BS78" s="449"/>
      <c r="BT78" s="449"/>
      <c r="BU78" s="449"/>
      <c r="BV78" s="449"/>
      <c r="BW78" s="449"/>
      <c r="BX78" s="449"/>
      <c r="BY78" s="449"/>
      <c r="BZ78" s="449"/>
      <c r="CA78" s="449"/>
      <c r="CB78" s="449"/>
      <c r="CC78" s="449"/>
      <c r="CD78" s="449"/>
      <c r="CE78" s="449"/>
      <c r="CF78" s="449"/>
      <c r="CG78" s="449"/>
      <c r="CH78" s="449"/>
      <c r="CI78" s="449"/>
      <c r="CJ78" s="449"/>
      <c r="CK78" s="449"/>
      <c r="CL78" s="449"/>
      <c r="CM78" s="449"/>
      <c r="CN78" s="449"/>
      <c r="CO78" s="449"/>
      <c r="CP78" s="449"/>
      <c r="CQ78" s="449"/>
      <c r="CR78" s="449"/>
      <c r="CS78" s="449"/>
      <c r="CT78" s="449"/>
      <c r="CU78" s="449"/>
      <c r="CV78" s="449"/>
      <c r="CW78" s="449"/>
      <c r="CX78" s="449"/>
      <c r="CY78" s="449"/>
      <c r="CZ78" s="449"/>
      <c r="DA78" s="449"/>
      <c r="DB78" s="449"/>
      <c r="DC78" s="449"/>
      <c r="DD78" s="449"/>
      <c r="DE78" s="449"/>
      <c r="DF78" s="449"/>
      <c r="DG78" s="449"/>
      <c r="DH78" s="449"/>
      <c r="DI78" s="449"/>
      <c r="DJ78" s="449"/>
      <c r="DK78" s="449"/>
      <c r="DL78" s="449"/>
      <c r="DM78" s="449"/>
      <c r="DN78" s="449"/>
      <c r="DO78" s="449"/>
      <c r="DP78" s="449"/>
      <c r="DQ78" s="449"/>
      <c r="DR78" s="449"/>
      <c r="DS78" s="449"/>
      <c r="DT78" s="449"/>
      <c r="DU78" s="449"/>
      <c r="DV78" s="449"/>
      <c r="DW78" s="449"/>
      <c r="DX78" s="449"/>
      <c r="DY78" s="449"/>
      <c r="DZ78" s="449"/>
      <c r="EA78" s="449"/>
      <c r="EB78" s="449"/>
      <c r="EC78" s="449"/>
      <c r="ED78" s="449"/>
      <c r="EE78" s="449"/>
      <c r="EF78" s="449"/>
      <c r="EG78" s="449"/>
      <c r="EH78" s="449"/>
      <c r="EI78" s="449"/>
      <c r="EJ78" s="449"/>
      <c r="EK78" s="449"/>
      <c r="EL78" s="449"/>
      <c r="EM78" s="449"/>
      <c r="EN78" s="449"/>
      <c r="EO78" s="449"/>
      <c r="EP78" s="449"/>
      <c r="EQ78" s="449"/>
      <c r="ER78" s="449"/>
      <c r="ES78" s="449"/>
      <c r="ET78" s="449"/>
      <c r="EU78" s="449"/>
      <c r="EV78" s="449"/>
      <c r="EW78" s="449"/>
      <c r="EX78" s="449"/>
      <c r="EY78" s="449"/>
      <c r="EZ78" s="449"/>
      <c r="FA78" s="449"/>
      <c r="FB78" s="449"/>
      <c r="FC78" s="449"/>
      <c r="FD78" s="449"/>
      <c r="FE78" s="449"/>
      <c r="FF78" s="449"/>
      <c r="FG78" s="449"/>
      <c r="FH78" s="449"/>
      <c r="FI78" s="449"/>
      <c r="FJ78" s="449"/>
      <c r="FK78" s="449"/>
      <c r="FL78" s="449"/>
      <c r="FM78" s="449"/>
      <c r="FN78" s="449"/>
      <c r="FO78" s="449"/>
      <c r="FP78" s="449"/>
      <c r="FQ78" s="449"/>
      <c r="FR78" s="449"/>
      <c r="FS78" s="449"/>
      <c r="FT78" s="449"/>
      <c r="FU78" s="449"/>
      <c r="FV78" s="449"/>
      <c r="FW78" s="449"/>
      <c r="FX78" s="449"/>
      <c r="FY78" s="449"/>
      <c r="FZ78" s="449"/>
      <c r="GA78" s="449"/>
      <c r="GB78" s="449"/>
      <c r="GC78" s="449"/>
      <c r="GD78" s="449"/>
      <c r="GE78" s="449"/>
      <c r="GF78" s="449"/>
      <c r="GG78" s="449"/>
      <c r="GH78" s="449"/>
      <c r="GI78" s="449"/>
      <c r="GJ78" s="449"/>
      <c r="GK78" s="449"/>
      <c r="GL78" s="449"/>
      <c r="GM78" s="449"/>
      <c r="GN78" s="449"/>
      <c r="GO78" s="449"/>
      <c r="GP78" s="449"/>
      <c r="GQ78" s="449"/>
      <c r="GR78" s="449"/>
      <c r="GS78" s="449"/>
      <c r="GT78" s="449"/>
      <c r="GU78" s="449"/>
      <c r="GV78" s="449"/>
      <c r="GW78" s="449"/>
      <c r="GX78" s="449"/>
      <c r="GY78" s="449"/>
      <c r="GZ78" s="449"/>
      <c r="HA78" s="449"/>
      <c r="HB78" s="449"/>
      <c r="HC78" s="449"/>
      <c r="HD78" s="449"/>
      <c r="HE78" s="449"/>
      <c r="HF78" s="449"/>
      <c r="HG78" s="449"/>
      <c r="HH78" s="449"/>
      <c r="HI78" s="449"/>
      <c r="HJ78" s="449"/>
      <c r="HK78" s="449"/>
      <c r="HL78" s="449"/>
      <c r="HM78" s="449"/>
      <c r="HN78" s="449"/>
      <c r="HO78" s="449"/>
      <c r="HP78" s="449"/>
      <c r="HQ78" s="449"/>
      <c r="HR78" s="449"/>
      <c r="HS78" s="449"/>
      <c r="HT78" s="449"/>
      <c r="HU78" s="449"/>
      <c r="HV78" s="449"/>
      <c r="HW78" s="449"/>
      <c r="HX78" s="449"/>
      <c r="HY78" s="449"/>
      <c r="HZ78" s="449"/>
      <c r="IA78" s="449"/>
      <c r="IB78" s="449"/>
      <c r="IC78" s="449"/>
      <c r="ID78" s="449"/>
      <c r="IE78" s="449"/>
      <c r="IF78" s="449"/>
      <c r="IG78" s="449"/>
      <c r="IH78" s="449"/>
      <c r="II78" s="449"/>
      <c r="IJ78" s="449"/>
      <c r="IK78" s="449"/>
      <c r="IL78" s="449"/>
      <c r="IM78" s="449"/>
      <c r="IN78" s="449"/>
      <c r="IO78" s="449"/>
      <c r="IP78" s="449"/>
      <c r="IQ78" s="449"/>
      <c r="IR78" s="449"/>
      <c r="IS78" s="449"/>
      <c r="IT78" s="449"/>
      <c r="IU78" s="449"/>
      <c r="IV78" s="449"/>
    </row>
    <row r="79" spans="1:256" ht="17.5">
      <c r="A79" s="449"/>
      <c r="B79" s="449"/>
      <c r="C79" s="449"/>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449"/>
      <c r="BF79" s="449"/>
      <c r="BG79" s="449"/>
      <c r="BH79" s="449"/>
      <c r="BI79" s="449"/>
      <c r="BJ79" s="449"/>
      <c r="BK79" s="449"/>
      <c r="BL79" s="449"/>
      <c r="BM79" s="449"/>
      <c r="BN79" s="449"/>
      <c r="BO79" s="449"/>
      <c r="BP79" s="449"/>
      <c r="BQ79" s="449"/>
      <c r="BR79" s="449"/>
      <c r="BS79" s="449"/>
      <c r="BT79" s="449"/>
      <c r="BU79" s="449"/>
      <c r="BV79" s="449"/>
      <c r="BW79" s="449"/>
      <c r="BX79" s="449"/>
      <c r="BY79" s="449"/>
      <c r="BZ79" s="449"/>
      <c r="CA79" s="449"/>
      <c r="CB79" s="449"/>
      <c r="CC79" s="449"/>
      <c r="CD79" s="449"/>
      <c r="CE79" s="449"/>
      <c r="CF79" s="449"/>
      <c r="CG79" s="449"/>
      <c r="CH79" s="449"/>
      <c r="CI79" s="449"/>
      <c r="CJ79" s="449"/>
      <c r="CK79" s="449"/>
      <c r="CL79" s="449"/>
      <c r="CM79" s="449"/>
      <c r="CN79" s="449"/>
      <c r="CO79" s="449"/>
      <c r="CP79" s="449"/>
      <c r="CQ79" s="449"/>
      <c r="CR79" s="449"/>
      <c r="CS79" s="449"/>
      <c r="CT79" s="449"/>
      <c r="CU79" s="449"/>
      <c r="CV79" s="449"/>
      <c r="CW79" s="449"/>
      <c r="CX79" s="449"/>
      <c r="CY79" s="449"/>
      <c r="CZ79" s="449"/>
      <c r="DA79" s="449"/>
      <c r="DB79" s="449"/>
      <c r="DC79" s="449"/>
      <c r="DD79" s="449"/>
      <c r="DE79" s="449"/>
      <c r="DF79" s="449"/>
      <c r="DG79" s="449"/>
      <c r="DH79" s="449"/>
      <c r="DI79" s="449"/>
      <c r="DJ79" s="449"/>
      <c r="DK79" s="449"/>
      <c r="DL79" s="449"/>
      <c r="DM79" s="449"/>
      <c r="DN79" s="449"/>
      <c r="DO79" s="449"/>
      <c r="DP79" s="449"/>
      <c r="DQ79" s="449"/>
      <c r="DR79" s="449"/>
      <c r="DS79" s="449"/>
      <c r="DT79" s="449"/>
      <c r="DU79" s="449"/>
      <c r="DV79" s="449"/>
      <c r="DW79" s="449"/>
      <c r="DX79" s="449"/>
      <c r="DY79" s="449"/>
      <c r="DZ79" s="449"/>
      <c r="EA79" s="449"/>
      <c r="EB79" s="449"/>
      <c r="EC79" s="449"/>
      <c r="ED79" s="449"/>
      <c r="EE79" s="449"/>
      <c r="EF79" s="449"/>
      <c r="EG79" s="449"/>
      <c r="EH79" s="449"/>
      <c r="EI79" s="449"/>
      <c r="EJ79" s="449"/>
      <c r="EK79" s="449"/>
      <c r="EL79" s="449"/>
      <c r="EM79" s="449"/>
      <c r="EN79" s="449"/>
      <c r="EO79" s="449"/>
      <c r="EP79" s="449"/>
      <c r="EQ79" s="449"/>
      <c r="ER79" s="449"/>
      <c r="ES79" s="449"/>
      <c r="ET79" s="449"/>
      <c r="EU79" s="449"/>
      <c r="EV79" s="449"/>
      <c r="EW79" s="449"/>
      <c r="EX79" s="449"/>
      <c r="EY79" s="449"/>
      <c r="EZ79" s="449"/>
      <c r="FA79" s="449"/>
      <c r="FB79" s="449"/>
      <c r="FC79" s="449"/>
      <c r="FD79" s="449"/>
      <c r="FE79" s="449"/>
      <c r="FF79" s="449"/>
      <c r="FG79" s="449"/>
      <c r="FH79" s="449"/>
      <c r="FI79" s="449"/>
      <c r="FJ79" s="449"/>
      <c r="FK79" s="449"/>
      <c r="FL79" s="449"/>
      <c r="FM79" s="449"/>
      <c r="FN79" s="449"/>
      <c r="FO79" s="449"/>
      <c r="FP79" s="449"/>
      <c r="FQ79" s="449"/>
      <c r="FR79" s="449"/>
      <c r="FS79" s="449"/>
      <c r="FT79" s="449"/>
      <c r="FU79" s="449"/>
      <c r="FV79" s="449"/>
      <c r="FW79" s="449"/>
      <c r="FX79" s="449"/>
      <c r="FY79" s="449"/>
      <c r="FZ79" s="449"/>
      <c r="GA79" s="449"/>
      <c r="GB79" s="449"/>
      <c r="GC79" s="449"/>
      <c r="GD79" s="449"/>
      <c r="GE79" s="449"/>
      <c r="GF79" s="449"/>
      <c r="GG79" s="449"/>
      <c r="GH79" s="449"/>
      <c r="GI79" s="449"/>
      <c r="GJ79" s="449"/>
      <c r="GK79" s="449"/>
      <c r="GL79" s="449"/>
      <c r="GM79" s="449"/>
      <c r="GN79" s="449"/>
      <c r="GO79" s="449"/>
      <c r="GP79" s="449"/>
      <c r="GQ79" s="449"/>
      <c r="GR79" s="449"/>
      <c r="GS79" s="449"/>
      <c r="GT79" s="449"/>
      <c r="GU79" s="449"/>
      <c r="GV79" s="449"/>
      <c r="GW79" s="449"/>
      <c r="GX79" s="449"/>
      <c r="GY79" s="449"/>
      <c r="GZ79" s="449"/>
      <c r="HA79" s="449"/>
      <c r="HB79" s="449"/>
      <c r="HC79" s="449"/>
      <c r="HD79" s="449"/>
      <c r="HE79" s="449"/>
      <c r="HF79" s="449"/>
      <c r="HG79" s="449"/>
      <c r="HH79" s="449"/>
      <c r="HI79" s="449"/>
      <c r="HJ79" s="449"/>
      <c r="HK79" s="449"/>
      <c r="HL79" s="449"/>
      <c r="HM79" s="449"/>
      <c r="HN79" s="449"/>
      <c r="HO79" s="449"/>
      <c r="HP79" s="449"/>
      <c r="HQ79" s="449"/>
      <c r="HR79" s="449"/>
      <c r="HS79" s="449"/>
      <c r="HT79" s="449"/>
      <c r="HU79" s="449"/>
      <c r="HV79" s="449"/>
      <c r="HW79" s="449"/>
      <c r="HX79" s="449"/>
      <c r="HY79" s="449"/>
      <c r="HZ79" s="449"/>
      <c r="IA79" s="449"/>
      <c r="IB79" s="449"/>
      <c r="IC79" s="449"/>
      <c r="ID79" s="449"/>
      <c r="IE79" s="449"/>
      <c r="IF79" s="449"/>
      <c r="IG79" s="449"/>
      <c r="IH79" s="449"/>
      <c r="II79" s="449"/>
      <c r="IJ79" s="449"/>
      <c r="IK79" s="449"/>
      <c r="IL79" s="449"/>
      <c r="IM79" s="449"/>
      <c r="IN79" s="449"/>
      <c r="IO79" s="449"/>
      <c r="IP79" s="449"/>
      <c r="IQ79" s="449"/>
      <c r="IR79" s="449"/>
      <c r="IS79" s="449"/>
      <c r="IT79" s="449"/>
      <c r="IU79" s="449"/>
      <c r="IV79" s="449"/>
    </row>
    <row r="80" spans="1:256" ht="17.5">
      <c r="A80" s="703"/>
      <c r="B80" s="449"/>
      <c r="C80" s="449"/>
      <c r="D80" s="449"/>
      <c r="E80" s="449"/>
      <c r="F80" s="449"/>
      <c r="G80" s="449"/>
      <c r="H80" s="449"/>
      <c r="I80" s="449"/>
      <c r="J80" s="449"/>
      <c r="K80" s="449"/>
      <c r="L80" s="449"/>
      <c r="M80" s="449"/>
      <c r="N80" s="449"/>
      <c r="O80" s="449"/>
      <c r="P80" s="449"/>
      <c r="Q80" s="449"/>
      <c r="R80" s="449"/>
      <c r="S80" s="449"/>
      <c r="T80" s="449"/>
      <c r="U80" s="449"/>
      <c r="V80" s="449"/>
      <c r="W80" s="449"/>
      <c r="X80" s="449"/>
      <c r="Y80" s="449"/>
      <c r="Z80" s="449"/>
      <c r="AA80" s="449"/>
      <c r="AB80" s="449"/>
      <c r="AC80" s="449"/>
      <c r="AD80" s="449"/>
      <c r="AE80" s="449"/>
      <c r="AF80" s="449"/>
      <c r="AG80" s="449"/>
      <c r="AH80" s="449"/>
      <c r="AI80" s="449"/>
      <c r="AJ80" s="449"/>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c r="BR80" s="449"/>
      <c r="BS80" s="449"/>
      <c r="BT80" s="449"/>
      <c r="BU80" s="449"/>
      <c r="BV80" s="449"/>
      <c r="BW80" s="449"/>
      <c r="BX80" s="449"/>
      <c r="BY80" s="449"/>
      <c r="BZ80" s="449"/>
      <c r="CA80" s="449"/>
      <c r="CB80" s="449"/>
      <c r="CC80" s="449"/>
      <c r="CD80" s="449"/>
      <c r="CE80" s="449"/>
      <c r="CF80" s="449"/>
      <c r="CG80" s="449"/>
      <c r="CH80" s="449"/>
      <c r="CI80" s="449"/>
      <c r="CJ80" s="449"/>
      <c r="CK80" s="449"/>
      <c r="CL80" s="449"/>
      <c r="CM80" s="449"/>
      <c r="CN80" s="449"/>
      <c r="CO80" s="449"/>
      <c r="CP80" s="449"/>
      <c r="CQ80" s="449"/>
      <c r="CR80" s="449"/>
      <c r="CS80" s="449"/>
      <c r="CT80" s="449"/>
      <c r="CU80" s="449"/>
      <c r="CV80" s="449"/>
      <c r="CW80" s="449"/>
      <c r="CX80" s="449"/>
      <c r="CY80" s="449"/>
      <c r="CZ80" s="449"/>
      <c r="DA80" s="449"/>
      <c r="DB80" s="449"/>
      <c r="DC80" s="449"/>
      <c r="DD80" s="449"/>
      <c r="DE80" s="449"/>
      <c r="DF80" s="449"/>
      <c r="DG80" s="449"/>
      <c r="DH80" s="449"/>
      <c r="DI80" s="449"/>
      <c r="DJ80" s="449"/>
      <c r="DK80" s="449"/>
      <c r="DL80" s="449"/>
      <c r="DM80" s="449"/>
      <c r="DN80" s="449"/>
      <c r="DO80" s="449"/>
      <c r="DP80" s="449"/>
      <c r="DQ80" s="449"/>
      <c r="DR80" s="449"/>
      <c r="DS80" s="449"/>
      <c r="DT80" s="449"/>
      <c r="DU80" s="449"/>
      <c r="DV80" s="449"/>
      <c r="DW80" s="449"/>
      <c r="DX80" s="449"/>
      <c r="DY80" s="449"/>
      <c r="DZ80" s="449"/>
      <c r="EA80" s="449"/>
      <c r="EB80" s="449"/>
      <c r="EC80" s="449"/>
      <c r="ED80" s="449"/>
      <c r="EE80" s="449"/>
      <c r="EF80" s="449"/>
      <c r="EG80" s="449"/>
      <c r="EH80" s="449"/>
      <c r="EI80" s="449"/>
      <c r="EJ80" s="449"/>
      <c r="EK80" s="449"/>
      <c r="EL80" s="449"/>
      <c r="EM80" s="449"/>
      <c r="EN80" s="449"/>
      <c r="EO80" s="449"/>
      <c r="EP80" s="449"/>
      <c r="EQ80" s="449"/>
      <c r="ER80" s="449"/>
      <c r="ES80" s="449"/>
      <c r="ET80" s="449"/>
      <c r="EU80" s="449"/>
      <c r="EV80" s="449"/>
      <c r="EW80" s="449"/>
      <c r="EX80" s="449"/>
      <c r="EY80" s="449"/>
      <c r="EZ80" s="449"/>
      <c r="FA80" s="449"/>
      <c r="FB80" s="449"/>
      <c r="FC80" s="449"/>
      <c r="FD80" s="449"/>
      <c r="FE80" s="449"/>
      <c r="FF80" s="449"/>
      <c r="FG80" s="449"/>
      <c r="FH80" s="449"/>
      <c r="FI80" s="449"/>
      <c r="FJ80" s="449"/>
      <c r="FK80" s="449"/>
      <c r="FL80" s="449"/>
      <c r="FM80" s="449"/>
      <c r="FN80" s="449"/>
      <c r="FO80" s="449"/>
      <c r="FP80" s="449"/>
      <c r="FQ80" s="449"/>
      <c r="FR80" s="449"/>
      <c r="FS80" s="449"/>
      <c r="FT80" s="449"/>
      <c r="FU80" s="449"/>
      <c r="FV80" s="449"/>
      <c r="FW80" s="449"/>
      <c r="FX80" s="449"/>
      <c r="FY80" s="449"/>
      <c r="FZ80" s="449"/>
      <c r="GA80" s="449"/>
      <c r="GB80" s="449"/>
      <c r="GC80" s="449"/>
      <c r="GD80" s="449"/>
      <c r="GE80" s="449"/>
      <c r="GF80" s="449"/>
      <c r="GG80" s="449"/>
      <c r="GH80" s="449"/>
      <c r="GI80" s="449"/>
      <c r="GJ80" s="449"/>
      <c r="GK80" s="449"/>
      <c r="GL80" s="449"/>
      <c r="GM80" s="449"/>
      <c r="GN80" s="449"/>
      <c r="GO80" s="449"/>
      <c r="GP80" s="449"/>
      <c r="GQ80" s="449"/>
      <c r="GR80" s="449"/>
      <c r="GS80" s="449"/>
      <c r="GT80" s="449"/>
      <c r="GU80" s="449"/>
      <c r="GV80" s="449"/>
      <c r="GW80" s="449"/>
      <c r="GX80" s="449"/>
      <c r="GY80" s="449"/>
      <c r="GZ80" s="449"/>
      <c r="HA80" s="449"/>
      <c r="HB80" s="449"/>
      <c r="HC80" s="449"/>
      <c r="HD80" s="449"/>
      <c r="HE80" s="449"/>
      <c r="HF80" s="449"/>
      <c r="HG80" s="449"/>
      <c r="HH80" s="449"/>
      <c r="HI80" s="449"/>
      <c r="HJ80" s="449"/>
      <c r="HK80" s="449"/>
      <c r="HL80" s="449"/>
      <c r="HM80" s="449"/>
      <c r="HN80" s="449"/>
      <c r="HO80" s="449"/>
      <c r="HP80" s="449"/>
      <c r="HQ80" s="449"/>
      <c r="HR80" s="449"/>
      <c r="HS80" s="449"/>
      <c r="HT80" s="449"/>
      <c r="HU80" s="449"/>
      <c r="HV80" s="449"/>
      <c r="HW80" s="449"/>
      <c r="HX80" s="449"/>
      <c r="HY80" s="449"/>
      <c r="HZ80" s="449"/>
      <c r="IA80" s="449"/>
      <c r="IB80" s="449"/>
      <c r="IC80" s="449"/>
      <c r="ID80" s="449"/>
      <c r="IE80" s="449"/>
      <c r="IF80" s="449"/>
      <c r="IG80" s="449"/>
      <c r="IH80" s="449"/>
      <c r="II80" s="449"/>
      <c r="IJ80" s="449"/>
      <c r="IK80" s="449"/>
      <c r="IL80" s="449"/>
      <c r="IM80" s="449"/>
      <c r="IN80" s="449"/>
      <c r="IO80" s="449"/>
      <c r="IP80" s="449"/>
      <c r="IQ80" s="449"/>
      <c r="IR80" s="449"/>
      <c r="IS80" s="449"/>
      <c r="IT80" s="449"/>
      <c r="IU80" s="449"/>
      <c r="IV80" s="449"/>
    </row>
    <row r="81" spans="1:256" s="449" customFormat="1" ht="17.5"/>
    <row r="82" spans="1:256" ht="17.5">
      <c r="A82" s="449"/>
      <c r="B82" s="449"/>
      <c r="C82" s="449"/>
      <c r="D82" s="449"/>
      <c r="E82" s="449"/>
      <c r="F82" s="449"/>
      <c r="G82" s="449"/>
      <c r="H82" s="449"/>
      <c r="I82" s="449"/>
      <c r="J82" s="449"/>
      <c r="K82" s="449"/>
      <c r="L82" s="449"/>
      <c r="M82" s="449"/>
      <c r="N82" s="449"/>
      <c r="O82" s="449"/>
      <c r="P82" s="449"/>
      <c r="Q82" s="449"/>
      <c r="R82" s="449"/>
      <c r="S82" s="449"/>
      <c r="T82" s="449"/>
      <c r="U82" s="449"/>
      <c r="V82" s="449"/>
      <c r="W82" s="449"/>
      <c r="X82" s="449"/>
      <c r="Y82" s="449"/>
      <c r="Z82" s="449"/>
      <c r="AA82" s="449"/>
      <c r="AB82" s="449"/>
      <c r="AC82" s="449"/>
      <c r="AD82" s="449"/>
      <c r="AE82" s="449"/>
      <c r="AF82" s="449"/>
      <c r="AG82" s="449"/>
      <c r="AH82" s="449"/>
      <c r="AI82" s="449"/>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449"/>
      <c r="BR82" s="449"/>
      <c r="BS82" s="449"/>
      <c r="BT82" s="449"/>
      <c r="BU82" s="449"/>
      <c r="BV82" s="449"/>
      <c r="BW82" s="449"/>
      <c r="BX82" s="449"/>
      <c r="BY82" s="449"/>
      <c r="BZ82" s="449"/>
      <c r="CA82" s="449"/>
      <c r="CB82" s="449"/>
      <c r="CC82" s="449"/>
      <c r="CD82" s="449"/>
      <c r="CE82" s="449"/>
      <c r="CF82" s="449"/>
      <c r="CG82" s="449"/>
      <c r="CH82" s="449"/>
      <c r="CI82" s="449"/>
      <c r="CJ82" s="449"/>
      <c r="CK82" s="449"/>
      <c r="CL82" s="449"/>
      <c r="CM82" s="449"/>
      <c r="CN82" s="449"/>
      <c r="CO82" s="449"/>
      <c r="CP82" s="449"/>
      <c r="CQ82" s="449"/>
      <c r="CR82" s="449"/>
      <c r="CS82" s="449"/>
      <c r="CT82" s="449"/>
      <c r="CU82" s="449"/>
      <c r="CV82" s="449"/>
      <c r="CW82" s="449"/>
      <c r="CX82" s="449"/>
      <c r="CY82" s="449"/>
      <c r="CZ82" s="449"/>
      <c r="DA82" s="449"/>
      <c r="DB82" s="449"/>
      <c r="DC82" s="449"/>
      <c r="DD82" s="449"/>
      <c r="DE82" s="449"/>
      <c r="DF82" s="449"/>
      <c r="DG82" s="449"/>
      <c r="DH82" s="449"/>
      <c r="DI82" s="449"/>
      <c r="DJ82" s="449"/>
      <c r="DK82" s="449"/>
      <c r="DL82" s="449"/>
      <c r="DM82" s="449"/>
      <c r="DN82" s="449"/>
      <c r="DO82" s="449"/>
      <c r="DP82" s="449"/>
      <c r="DQ82" s="449"/>
      <c r="DR82" s="449"/>
      <c r="DS82" s="449"/>
      <c r="DT82" s="449"/>
      <c r="DU82" s="449"/>
      <c r="DV82" s="449"/>
      <c r="DW82" s="449"/>
      <c r="DX82" s="449"/>
      <c r="DY82" s="449"/>
      <c r="DZ82" s="449"/>
      <c r="EA82" s="449"/>
      <c r="EB82" s="449"/>
      <c r="EC82" s="449"/>
      <c r="ED82" s="449"/>
      <c r="EE82" s="449"/>
      <c r="EF82" s="449"/>
      <c r="EG82" s="449"/>
      <c r="EH82" s="449"/>
      <c r="EI82" s="449"/>
      <c r="EJ82" s="449"/>
      <c r="EK82" s="449"/>
      <c r="EL82" s="449"/>
      <c r="EM82" s="449"/>
      <c r="EN82" s="449"/>
      <c r="EO82" s="449"/>
      <c r="EP82" s="449"/>
      <c r="EQ82" s="449"/>
      <c r="ER82" s="449"/>
      <c r="ES82" s="449"/>
      <c r="ET82" s="449"/>
      <c r="EU82" s="449"/>
      <c r="EV82" s="449"/>
      <c r="EW82" s="449"/>
      <c r="EX82" s="449"/>
      <c r="EY82" s="449"/>
      <c r="EZ82" s="449"/>
      <c r="FA82" s="449"/>
      <c r="FB82" s="449"/>
      <c r="FC82" s="449"/>
      <c r="FD82" s="449"/>
      <c r="FE82" s="449"/>
      <c r="FF82" s="449"/>
      <c r="FG82" s="449"/>
      <c r="FH82" s="449"/>
      <c r="FI82" s="449"/>
      <c r="FJ82" s="449"/>
      <c r="FK82" s="449"/>
      <c r="FL82" s="449"/>
      <c r="FM82" s="449"/>
      <c r="FN82" s="449"/>
      <c r="FO82" s="449"/>
      <c r="FP82" s="449"/>
      <c r="FQ82" s="449"/>
      <c r="FR82" s="449"/>
      <c r="FS82" s="449"/>
      <c r="FT82" s="449"/>
      <c r="FU82" s="449"/>
      <c r="FV82" s="449"/>
      <c r="FW82" s="449"/>
      <c r="FX82" s="449"/>
      <c r="FY82" s="449"/>
      <c r="FZ82" s="449"/>
      <c r="GA82" s="449"/>
      <c r="GB82" s="449"/>
      <c r="GC82" s="449"/>
      <c r="GD82" s="449"/>
      <c r="GE82" s="449"/>
      <c r="GF82" s="449"/>
      <c r="GG82" s="449"/>
      <c r="GH82" s="449"/>
      <c r="GI82" s="449"/>
      <c r="GJ82" s="449"/>
      <c r="GK82" s="449"/>
      <c r="GL82" s="449"/>
      <c r="GM82" s="449"/>
      <c r="GN82" s="449"/>
      <c r="GO82" s="449"/>
      <c r="GP82" s="449"/>
      <c r="GQ82" s="449"/>
      <c r="GR82" s="449"/>
      <c r="GS82" s="449"/>
      <c r="GT82" s="449"/>
      <c r="GU82" s="449"/>
      <c r="GV82" s="449"/>
      <c r="GW82" s="449"/>
      <c r="GX82" s="449"/>
      <c r="GY82" s="449"/>
      <c r="GZ82" s="449"/>
      <c r="HA82" s="449"/>
      <c r="HB82" s="449"/>
      <c r="HC82" s="449"/>
      <c r="HD82" s="449"/>
      <c r="HE82" s="449"/>
      <c r="HF82" s="449"/>
      <c r="HG82" s="449"/>
      <c r="HH82" s="449"/>
      <c r="HI82" s="449"/>
      <c r="HJ82" s="449"/>
      <c r="HK82" s="449"/>
      <c r="HL82" s="449"/>
      <c r="HM82" s="449"/>
      <c r="HN82" s="449"/>
      <c r="HO82" s="449"/>
      <c r="HP82" s="449"/>
      <c r="HQ82" s="449"/>
      <c r="HR82" s="449"/>
      <c r="HS82" s="449"/>
      <c r="HT82" s="449"/>
      <c r="HU82" s="449"/>
      <c r="HV82" s="449"/>
      <c r="HW82" s="449"/>
      <c r="HX82" s="449"/>
      <c r="HY82" s="449"/>
      <c r="HZ82" s="449"/>
      <c r="IA82" s="449"/>
      <c r="IB82" s="449"/>
      <c r="IC82" s="449"/>
      <c r="ID82" s="449"/>
      <c r="IE82" s="449"/>
      <c r="IF82" s="449"/>
      <c r="IG82" s="449"/>
      <c r="IH82" s="449"/>
      <c r="II82" s="449"/>
      <c r="IJ82" s="449"/>
      <c r="IK82" s="449"/>
      <c r="IL82" s="449"/>
      <c r="IM82" s="449"/>
      <c r="IN82" s="449"/>
      <c r="IO82" s="449"/>
      <c r="IP82" s="449"/>
      <c r="IQ82" s="449"/>
      <c r="IR82" s="449"/>
      <c r="IS82" s="449"/>
      <c r="IT82" s="449"/>
      <c r="IU82" s="449"/>
      <c r="IV82" s="449"/>
    </row>
    <row r="83" spans="1:256" s="449" customFormat="1" ht="17.5"/>
    <row r="84" spans="1:256" s="449" customFormat="1" ht="17.5"/>
    <row r="85" spans="1:256" s="449" customFormat="1" ht="17.5"/>
    <row r="86" spans="1:256" ht="17.5">
      <c r="A86" s="449"/>
      <c r="B86" s="449"/>
      <c r="C86" s="449"/>
      <c r="D86" s="449"/>
      <c r="E86" s="449"/>
      <c r="F86" s="449"/>
      <c r="G86" s="449"/>
      <c r="H86" s="449"/>
      <c r="I86" s="449"/>
      <c r="J86" s="449"/>
      <c r="K86" s="449"/>
      <c r="L86" s="449"/>
      <c r="M86" s="449"/>
      <c r="N86" s="449"/>
      <c r="O86" s="449"/>
      <c r="P86" s="449"/>
      <c r="Q86" s="449"/>
      <c r="R86" s="449"/>
      <c r="S86" s="449"/>
      <c r="T86" s="449"/>
      <c r="U86" s="449"/>
      <c r="V86" s="449"/>
      <c r="W86" s="449"/>
      <c r="X86" s="449"/>
      <c r="Y86" s="449"/>
      <c r="Z86" s="449"/>
      <c r="AA86" s="449"/>
      <c r="AB86" s="449"/>
      <c r="AC86" s="449"/>
      <c r="AD86" s="449"/>
      <c r="AE86" s="449"/>
      <c r="AF86" s="449"/>
      <c r="AG86" s="449"/>
      <c r="AH86" s="449"/>
      <c r="AI86" s="449"/>
      <c r="AJ86" s="449"/>
      <c r="AK86" s="449"/>
      <c r="AL86" s="449"/>
      <c r="AM86" s="449"/>
      <c r="AN86" s="449"/>
      <c r="AO86" s="449"/>
      <c r="AP86" s="449"/>
      <c r="AQ86" s="449"/>
      <c r="AR86" s="449"/>
      <c r="AS86" s="449"/>
      <c r="AT86" s="449"/>
      <c r="AU86" s="449"/>
      <c r="AV86" s="449"/>
      <c r="AW86" s="449"/>
      <c r="AX86" s="449"/>
      <c r="AY86" s="449"/>
      <c r="AZ86" s="449"/>
      <c r="BA86" s="449"/>
      <c r="BB86" s="449"/>
      <c r="BC86" s="449"/>
      <c r="BD86" s="449"/>
      <c r="BE86" s="449"/>
      <c r="BF86" s="449"/>
      <c r="BG86" s="449"/>
      <c r="BH86" s="449"/>
      <c r="BI86" s="449"/>
      <c r="BJ86" s="449"/>
      <c r="BK86" s="449"/>
      <c r="BL86" s="449"/>
      <c r="BM86" s="449"/>
      <c r="BN86" s="449"/>
      <c r="BO86" s="449"/>
      <c r="BP86" s="449"/>
      <c r="BQ86" s="449"/>
      <c r="BR86" s="449"/>
      <c r="BS86" s="449"/>
      <c r="BT86" s="449"/>
      <c r="BU86" s="449"/>
      <c r="BV86" s="449"/>
      <c r="BW86" s="449"/>
      <c r="BX86" s="449"/>
      <c r="BY86" s="449"/>
      <c r="BZ86" s="449"/>
      <c r="CA86" s="449"/>
      <c r="CB86" s="449"/>
      <c r="CC86" s="449"/>
      <c r="CD86" s="449"/>
      <c r="CE86" s="449"/>
      <c r="CF86" s="449"/>
      <c r="CG86" s="449"/>
      <c r="CH86" s="449"/>
      <c r="CI86" s="449"/>
      <c r="CJ86" s="449"/>
      <c r="CK86" s="449"/>
      <c r="CL86" s="449"/>
      <c r="CM86" s="449"/>
      <c r="CN86" s="449"/>
      <c r="CO86" s="449"/>
      <c r="CP86" s="449"/>
      <c r="CQ86" s="449"/>
      <c r="CR86" s="449"/>
      <c r="CS86" s="449"/>
      <c r="CT86" s="449"/>
      <c r="CU86" s="449"/>
      <c r="CV86" s="449"/>
      <c r="CW86" s="449"/>
      <c r="CX86" s="449"/>
      <c r="CY86" s="449"/>
      <c r="CZ86" s="449"/>
      <c r="DA86" s="449"/>
      <c r="DB86" s="449"/>
      <c r="DC86" s="449"/>
      <c r="DD86" s="449"/>
      <c r="DE86" s="449"/>
      <c r="DF86" s="449"/>
      <c r="DG86" s="449"/>
      <c r="DH86" s="449"/>
      <c r="DI86" s="449"/>
      <c r="DJ86" s="449"/>
      <c r="DK86" s="449"/>
      <c r="DL86" s="449"/>
      <c r="DM86" s="449"/>
      <c r="DN86" s="449"/>
      <c r="DO86" s="449"/>
      <c r="DP86" s="449"/>
      <c r="DQ86" s="449"/>
      <c r="DR86" s="449"/>
      <c r="DS86" s="449"/>
      <c r="DT86" s="449"/>
      <c r="DU86" s="449"/>
      <c r="DV86" s="449"/>
      <c r="DW86" s="449"/>
      <c r="DX86" s="449"/>
      <c r="DY86" s="449"/>
      <c r="DZ86" s="449"/>
      <c r="EA86" s="449"/>
      <c r="EB86" s="449"/>
      <c r="EC86" s="449"/>
      <c r="ED86" s="449"/>
      <c r="EE86" s="449"/>
      <c r="EF86" s="449"/>
      <c r="EG86" s="449"/>
      <c r="EH86" s="449"/>
      <c r="EI86" s="449"/>
      <c r="EJ86" s="449"/>
      <c r="EK86" s="449"/>
      <c r="EL86" s="449"/>
      <c r="EM86" s="449"/>
      <c r="EN86" s="449"/>
      <c r="EO86" s="449"/>
      <c r="EP86" s="449"/>
      <c r="EQ86" s="449"/>
      <c r="ER86" s="449"/>
      <c r="ES86" s="449"/>
      <c r="ET86" s="449"/>
      <c r="EU86" s="449"/>
      <c r="EV86" s="449"/>
      <c r="EW86" s="449"/>
      <c r="EX86" s="449"/>
      <c r="EY86" s="449"/>
      <c r="EZ86" s="449"/>
      <c r="FA86" s="449"/>
      <c r="FB86" s="449"/>
      <c r="FC86" s="449"/>
      <c r="FD86" s="449"/>
      <c r="FE86" s="449"/>
      <c r="FF86" s="449"/>
      <c r="FG86" s="449"/>
      <c r="FH86" s="449"/>
      <c r="FI86" s="449"/>
      <c r="FJ86" s="449"/>
      <c r="FK86" s="449"/>
      <c r="FL86" s="449"/>
      <c r="FM86" s="449"/>
      <c r="FN86" s="449"/>
      <c r="FO86" s="449"/>
      <c r="FP86" s="449"/>
      <c r="FQ86" s="449"/>
      <c r="FR86" s="449"/>
      <c r="FS86" s="449"/>
      <c r="FT86" s="449"/>
      <c r="FU86" s="449"/>
      <c r="FV86" s="449"/>
      <c r="FW86" s="449"/>
      <c r="FX86" s="449"/>
      <c r="FY86" s="449"/>
      <c r="FZ86" s="449"/>
      <c r="GA86" s="449"/>
      <c r="GB86" s="449"/>
      <c r="GC86" s="449"/>
      <c r="GD86" s="449"/>
      <c r="GE86" s="449"/>
      <c r="GF86" s="449"/>
      <c r="GG86" s="449"/>
      <c r="GH86" s="449"/>
      <c r="GI86" s="449"/>
      <c r="GJ86" s="449"/>
      <c r="GK86" s="449"/>
      <c r="GL86" s="449"/>
      <c r="GM86" s="449"/>
      <c r="GN86" s="449"/>
      <c r="GO86" s="449"/>
      <c r="GP86" s="449"/>
      <c r="GQ86" s="449"/>
      <c r="GR86" s="449"/>
      <c r="GS86" s="449"/>
      <c r="GT86" s="449"/>
      <c r="GU86" s="449"/>
      <c r="GV86" s="449"/>
      <c r="GW86" s="449"/>
      <c r="GX86" s="449"/>
      <c r="GY86" s="449"/>
      <c r="GZ86" s="449"/>
      <c r="HA86" s="449"/>
      <c r="HB86" s="449"/>
      <c r="HC86" s="449"/>
      <c r="HD86" s="449"/>
      <c r="HE86" s="449"/>
      <c r="HF86" s="449"/>
      <c r="HG86" s="449"/>
      <c r="HH86" s="449"/>
      <c r="HI86" s="449"/>
      <c r="HJ86" s="449"/>
      <c r="HK86" s="449"/>
      <c r="HL86" s="449"/>
      <c r="HM86" s="449"/>
      <c r="HN86" s="449"/>
      <c r="HO86" s="449"/>
      <c r="HP86" s="449"/>
      <c r="HQ86" s="449"/>
      <c r="HR86" s="449"/>
      <c r="HS86" s="449"/>
      <c r="HT86" s="449"/>
      <c r="HU86" s="449"/>
      <c r="HV86" s="449"/>
      <c r="HW86" s="449"/>
      <c r="HX86" s="449"/>
      <c r="HY86" s="449"/>
      <c r="HZ86" s="449"/>
      <c r="IA86" s="449"/>
      <c r="IB86" s="449"/>
      <c r="IC86" s="449"/>
      <c r="ID86" s="449"/>
      <c r="IE86" s="449"/>
      <c r="IF86" s="449"/>
      <c r="IG86" s="449"/>
      <c r="IH86" s="449"/>
      <c r="II86" s="449"/>
      <c r="IJ86" s="449"/>
      <c r="IK86" s="449"/>
      <c r="IL86" s="449"/>
      <c r="IM86" s="449"/>
      <c r="IN86" s="449"/>
      <c r="IO86" s="449"/>
      <c r="IP86" s="449"/>
      <c r="IQ86" s="449"/>
      <c r="IR86" s="449"/>
      <c r="IS86" s="449"/>
      <c r="IT86" s="449"/>
      <c r="IU86" s="449"/>
      <c r="IV86" s="449"/>
    </row>
    <row r="87" spans="1:256" s="449" customFormat="1" ht="17.5"/>
    <row r="88" spans="1:256" s="449" customFormat="1" ht="17.5"/>
    <row r="89" spans="1:256" s="449" customFormat="1" ht="17.5"/>
    <row r="90" spans="1:256" s="449" customFormat="1" ht="17.5"/>
    <row r="91" spans="1:256" s="449" customFormat="1" ht="17.5"/>
    <row r="92" spans="1:256" s="449" customFormat="1" ht="17.5"/>
    <row r="93" spans="1:256" s="449" customFormat="1" ht="17.5"/>
    <row r="94" spans="1:256" s="449" customFormat="1" ht="17.5"/>
    <row r="95" spans="1:256" s="449" customFormat="1" ht="17.5"/>
    <row r="96" spans="1:256" s="449" customFormat="1" ht="17.5"/>
    <row r="97" s="449" customFormat="1" ht="17.5"/>
    <row r="98" s="449" customFormat="1" ht="17.5"/>
    <row r="99" s="449" customFormat="1" ht="17.5"/>
    <row r="100" s="449" customFormat="1" ht="17.5"/>
    <row r="101" s="449" customFormat="1" ht="17.5"/>
    <row r="102" s="449" customFormat="1" ht="17.5"/>
    <row r="103" s="449" customFormat="1" ht="17.5"/>
    <row r="104" s="449" customFormat="1" ht="17.5"/>
    <row r="105" s="449" customFormat="1" ht="17.5"/>
    <row r="106" s="449" customFormat="1" ht="17.5"/>
    <row r="107" s="449" customFormat="1" ht="17.5"/>
    <row r="108" s="449" customFormat="1" ht="17.5"/>
    <row r="109" s="449" customFormat="1" ht="17.5"/>
    <row r="110" s="449" customFormat="1" ht="17.5"/>
    <row r="111" s="449" customFormat="1" ht="17.5"/>
    <row r="112" s="449" customFormat="1" ht="17.5"/>
    <row r="113" s="449" customFormat="1" ht="17.5"/>
    <row r="114" s="449" customFormat="1" ht="17.5"/>
    <row r="115" s="449" customFormat="1" ht="17.5"/>
    <row r="116" s="449" customFormat="1" ht="17.5"/>
    <row r="117" s="449" customFormat="1" ht="17.5"/>
    <row r="118" s="449" customFormat="1" ht="17.5"/>
    <row r="119" s="449" customFormat="1" ht="17.5"/>
    <row r="120" s="449" customFormat="1" ht="17.5"/>
    <row r="121" s="449" customFormat="1" ht="17.5"/>
    <row r="122" s="449" customFormat="1" ht="17.5"/>
    <row r="123" s="449" customFormat="1" ht="17.5"/>
    <row r="124" s="449" customFormat="1" ht="17.5"/>
    <row r="125" s="449" customFormat="1" ht="17.5"/>
    <row r="126" s="449" customFormat="1" ht="17.5"/>
    <row r="127" s="449" customFormat="1" ht="17.5"/>
    <row r="128" s="449" customFormat="1" ht="17.5"/>
    <row r="129" s="449" customFormat="1" ht="17.5"/>
    <row r="130" s="449" customFormat="1" ht="17.5"/>
    <row r="131" s="449" customFormat="1" ht="17.5"/>
    <row r="132" s="449" customFormat="1" ht="17.5"/>
    <row r="133" s="449" customFormat="1" ht="17.5"/>
    <row r="134" s="449" customFormat="1" ht="17.5"/>
    <row r="135" s="449" customFormat="1" ht="17.5"/>
    <row r="136" s="449" customFormat="1" ht="17.5"/>
  </sheetData>
  <pageMargins left="0.5" right="0.5" top="0.5" bottom="0.5" header="0" footer="0.25"/>
  <pageSetup scale="56"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pageSetUpPr fitToPage="1"/>
  </sheetPr>
  <dimension ref="A1:N54"/>
  <sheetViews>
    <sheetView showGridLines="0" zoomScale="90" zoomScaleNormal="70" workbookViewId="0"/>
  </sheetViews>
  <sheetFormatPr defaultColWidth="8.84375" defaultRowHeight="12.5"/>
  <cols>
    <col min="1" max="1" width="53.53515625" style="1882" customWidth="1"/>
    <col min="2" max="2" width="1.84375" style="1882" customWidth="1"/>
    <col min="3" max="3" width="2.84375" style="1882" customWidth="1"/>
    <col min="4" max="4" width="20.07421875" style="1882" customWidth="1"/>
    <col min="5" max="5" width="7.84375" style="1882" customWidth="1"/>
    <col min="6" max="6" width="18.84375" style="1882" customWidth="1"/>
    <col min="7" max="7" width="7.84375" style="1882" customWidth="1"/>
    <col min="8" max="8" width="18.84375" style="1882" customWidth="1"/>
    <col min="9" max="9" width="7.84375" style="1882" customWidth="1"/>
    <col min="10" max="10" width="21.84375" style="1882" customWidth="1"/>
    <col min="11" max="11" width="10.84375" style="1882" customWidth="1"/>
    <col min="12" max="16384" width="8.84375" style="1882"/>
  </cols>
  <sheetData>
    <row r="1" spans="1:10" ht="15.5">
      <c r="A1" s="635" t="s">
        <v>882</v>
      </c>
    </row>
    <row r="2" spans="1:10" ht="15.5">
      <c r="A2" s="1883"/>
    </row>
    <row r="3" spans="1:10" ht="18">
      <c r="A3" s="1884" t="s">
        <v>0</v>
      </c>
      <c r="B3" s="1885"/>
      <c r="C3" s="1885"/>
      <c r="D3" s="1885"/>
      <c r="E3" s="1885"/>
      <c r="F3" s="1885"/>
      <c r="G3" s="1884"/>
      <c r="H3" s="1884"/>
      <c r="I3" s="1884"/>
      <c r="J3" s="1887" t="s">
        <v>382</v>
      </c>
    </row>
    <row r="4" spans="1:10" ht="18">
      <c r="A4" s="1884" t="s">
        <v>383</v>
      </c>
      <c r="B4" s="1885"/>
      <c r="C4" s="1884"/>
      <c r="D4" s="1885"/>
      <c r="E4" s="1885"/>
      <c r="F4" s="1885"/>
      <c r="G4" s="1884"/>
      <c r="H4" s="1884"/>
      <c r="I4" s="1884"/>
      <c r="J4" s="1884"/>
    </row>
    <row r="5" spans="1:10" ht="18">
      <c r="A5" s="1884" t="s">
        <v>384</v>
      </c>
      <c r="B5" s="1885"/>
      <c r="C5" s="1884"/>
      <c r="D5" s="1885"/>
      <c r="E5" s="1885"/>
      <c r="F5" s="1885"/>
      <c r="G5" s="1884"/>
      <c r="H5" s="1884"/>
      <c r="I5" s="1884"/>
      <c r="J5" s="1884"/>
    </row>
    <row r="6" spans="1:10" ht="18">
      <c r="A6" s="1884" t="str">
        <f>'Sch 3 '!A6</f>
        <v>FISCAL YEAR 2021-2022</v>
      </c>
      <c r="B6" s="1885"/>
      <c r="C6" s="1884"/>
      <c r="D6" s="1885"/>
      <c r="E6" s="1885"/>
      <c r="F6" s="1885"/>
      <c r="G6" s="1884"/>
      <c r="H6" s="1884"/>
      <c r="I6" s="1884"/>
      <c r="J6" s="1884"/>
    </row>
    <row r="7" spans="1:10" ht="18">
      <c r="A7" s="1886" t="str">
        <f>'Sch 3 '!A7</f>
        <v>FOR THE MONTH OF SEPTEMBER 2021</v>
      </c>
      <c r="B7" s="1885"/>
      <c r="C7" s="1884"/>
      <c r="D7" s="3050"/>
      <c r="E7" s="1885"/>
      <c r="F7" s="1885"/>
      <c r="G7" s="1884"/>
      <c r="H7" s="1884"/>
      <c r="I7" s="1884"/>
      <c r="J7" s="1884"/>
    </row>
    <row r="8" spans="1:10" ht="18">
      <c r="A8" s="1884" t="s">
        <v>1277</v>
      </c>
      <c r="B8" s="1885"/>
      <c r="C8" s="1884"/>
      <c r="D8" s="3050"/>
      <c r="E8" s="1885"/>
      <c r="F8" s="1885"/>
      <c r="G8" s="1884"/>
      <c r="H8" s="1884"/>
      <c r="I8" s="1884"/>
      <c r="J8" s="1884"/>
    </row>
    <row r="9" spans="1:10" ht="18">
      <c r="A9" s="1884"/>
      <c r="B9" s="1885"/>
      <c r="C9" s="1884"/>
      <c r="D9" s="3050"/>
      <c r="E9" s="1885"/>
      <c r="F9" s="1885"/>
      <c r="G9" s="1884"/>
      <c r="H9" s="1884"/>
      <c r="I9" s="1884"/>
      <c r="J9" s="1884"/>
    </row>
    <row r="10" spans="1:10" ht="18">
      <c r="A10" s="1884"/>
      <c r="B10" s="1884"/>
      <c r="C10" s="1884"/>
      <c r="D10" s="3051"/>
      <c r="E10" s="1884"/>
      <c r="F10" s="1884"/>
      <c r="G10" s="1884"/>
      <c r="H10" s="1884"/>
      <c r="I10" s="1884"/>
      <c r="J10" s="1884"/>
    </row>
    <row r="11" spans="1:10" ht="18">
      <c r="A11" s="1884"/>
      <c r="B11" s="1884"/>
      <c r="C11" s="1884"/>
      <c r="D11" s="3052"/>
      <c r="E11" s="1884"/>
      <c r="F11" s="1884"/>
      <c r="G11" s="1884"/>
      <c r="H11" s="1884"/>
      <c r="I11" s="1884"/>
      <c r="J11" s="1887"/>
    </row>
    <row r="12" spans="1:10" ht="18">
      <c r="A12" s="1884"/>
      <c r="B12" s="1884"/>
      <c r="C12" s="1884"/>
      <c r="D12" s="3052" t="s">
        <v>232</v>
      </c>
      <c r="E12" s="1884"/>
      <c r="F12" s="1884"/>
      <c r="G12" s="1884"/>
      <c r="H12" s="1884"/>
      <c r="I12" s="1884"/>
      <c r="J12" s="1887" t="s">
        <v>232</v>
      </c>
    </row>
    <row r="13" spans="1:10" ht="18">
      <c r="A13" s="1888" t="s">
        <v>353</v>
      </c>
      <c r="B13" s="1884"/>
      <c r="C13" s="1884"/>
      <c r="D13" s="3347" t="str">
        <f>'Sch 3 '!D11</f>
        <v>SEPTEMBER 1, 2021</v>
      </c>
      <c r="E13" s="1884"/>
      <c r="F13" s="1887" t="s">
        <v>234</v>
      </c>
      <c r="G13" s="1884"/>
      <c r="H13" s="1887" t="s">
        <v>235</v>
      </c>
      <c r="I13" s="1884"/>
      <c r="J13" s="1889" t="str">
        <f>'Sch 3 '!L11</f>
        <v>SEPTEMBER 30, 2021</v>
      </c>
    </row>
    <row r="14" spans="1:10" ht="18">
      <c r="A14" s="1888"/>
      <c r="B14" s="1884"/>
      <c r="C14" s="1884"/>
      <c r="D14" s="3400"/>
      <c r="E14" s="1884"/>
      <c r="F14" s="1890"/>
      <c r="G14" s="1884"/>
      <c r="H14" s="1891" t="s">
        <v>231</v>
      </c>
      <c r="I14" s="1884"/>
      <c r="J14" s="1890"/>
    </row>
    <row r="15" spans="1:10" ht="18">
      <c r="A15" s="1892" t="s">
        <v>385</v>
      </c>
      <c r="B15" s="1884"/>
      <c r="C15" s="1884"/>
      <c r="D15" s="3051"/>
      <c r="E15" s="3051"/>
      <c r="F15" s="3063"/>
      <c r="G15" s="3051"/>
      <c r="H15" s="3051"/>
      <c r="I15" s="3051"/>
      <c r="J15" s="3051"/>
    </row>
    <row r="16" spans="1:10" ht="25.4" customHeight="1">
      <c r="A16" s="1885" t="s">
        <v>386</v>
      </c>
      <c r="B16" s="1884"/>
      <c r="C16" s="1885"/>
      <c r="D16" s="1675">
        <v>2.89</v>
      </c>
      <c r="E16" s="1893"/>
      <c r="F16" s="1675">
        <v>0</v>
      </c>
      <c r="G16" s="1893"/>
      <c r="H16" s="1675">
        <v>0</v>
      </c>
      <c r="I16" s="1893"/>
      <c r="J16" s="1893">
        <f>ROUND(D16+F16-H16,3)</f>
        <v>2.89</v>
      </c>
    </row>
    <row r="17" spans="1:14" s="3504" customFormat="1" ht="25.4" customHeight="1">
      <c r="A17" s="3050" t="s">
        <v>1379</v>
      </c>
      <c r="B17" s="3050"/>
      <c r="C17" s="3050"/>
      <c r="D17" s="1679">
        <v>240.46600000000001</v>
      </c>
      <c r="E17" s="1895"/>
      <c r="F17" s="1679">
        <v>231.57400000000001</v>
      </c>
      <c r="G17" s="1893"/>
      <c r="H17" s="1679">
        <v>257.10700000000003</v>
      </c>
      <c r="I17" s="1895"/>
      <c r="J17" s="1896">
        <f>ROUND(D17+F17-H17,3)</f>
        <v>214.93299999999999</v>
      </c>
    </row>
    <row r="18" spans="1:14" ht="25.4" customHeight="1">
      <c r="A18" s="1894" t="s">
        <v>1380</v>
      </c>
      <c r="B18" s="1885"/>
      <c r="C18" s="1885"/>
      <c r="D18" s="1679">
        <v>2441.576</v>
      </c>
      <c r="E18" s="1895"/>
      <c r="F18" s="1679">
        <v>2840.239</v>
      </c>
      <c r="G18" s="1893"/>
      <c r="H18" s="1679">
        <v>2250.75</v>
      </c>
      <c r="I18" s="1895"/>
      <c r="J18" s="1896">
        <f>ROUND(D18+F18-H18,3)</f>
        <v>3031.0650000000001</v>
      </c>
    </row>
    <row r="19" spans="1:14" ht="25.4" customHeight="1">
      <c r="A19" s="1885" t="s">
        <v>1220</v>
      </c>
      <c r="B19" s="1885"/>
      <c r="C19" s="1885"/>
      <c r="D19" s="1679">
        <v>0</v>
      </c>
      <c r="E19" s="1895"/>
      <c r="F19" s="1679">
        <v>246.90099999999998</v>
      </c>
      <c r="G19" s="1893"/>
      <c r="H19" s="1679">
        <v>246.90099999999998</v>
      </c>
      <c r="I19" s="1895"/>
      <c r="J19" s="1896">
        <f>ROUND(D19+F19-H19,3)</f>
        <v>0</v>
      </c>
    </row>
    <row r="20" spans="1:14" ht="25.4" customHeight="1" thickBot="1">
      <c r="A20" s="1897" t="s">
        <v>387</v>
      </c>
      <c r="B20" s="1885"/>
      <c r="C20" s="1885"/>
      <c r="D20" s="1898">
        <f>ROUND(SUM(D16:D19),3)</f>
        <v>2684.9319999999998</v>
      </c>
      <c r="E20" s="3064"/>
      <c r="F20" s="1898">
        <f>ROUND(SUM(F16:F19),3)</f>
        <v>3318.7139999999999</v>
      </c>
      <c r="G20" s="3064"/>
      <c r="H20" s="1898">
        <f>ROUND(SUM(H16:H19),3)</f>
        <v>2754.7579999999998</v>
      </c>
      <c r="I20" s="3064"/>
      <c r="J20" s="1898">
        <f>ROUND(SUM(J16:J19),3)</f>
        <v>3248.8879999999999</v>
      </c>
      <c r="K20" s="1899"/>
      <c r="L20" s="1899"/>
      <c r="M20" s="1899"/>
      <c r="N20" s="1899"/>
    </row>
    <row r="21" spans="1:14" ht="18" thickTop="1">
      <c r="A21" s="1885"/>
      <c r="B21" s="1885"/>
      <c r="C21" s="1885"/>
      <c r="D21" s="3053"/>
      <c r="E21" s="1885"/>
      <c r="F21" s="1900"/>
      <c r="G21" s="1885"/>
      <c r="H21" s="1900"/>
      <c r="I21" s="1885"/>
      <c r="J21" s="1900"/>
    </row>
    <row r="22" spans="1:14" ht="17.5">
      <c r="A22" s="1885"/>
      <c r="B22" s="1885"/>
      <c r="C22" s="1885"/>
      <c r="D22" s="3053"/>
      <c r="E22" s="1885"/>
      <c r="F22" s="1900"/>
      <c r="G22" s="1885"/>
      <c r="H22" s="1900"/>
      <c r="I22" s="1885"/>
      <c r="J22" s="1900"/>
    </row>
    <row r="23" spans="1:14" ht="6.75" customHeight="1">
      <c r="A23" s="1885"/>
      <c r="B23" s="1885"/>
      <c r="C23" s="1885"/>
      <c r="D23" s="1900"/>
      <c r="E23" s="1885"/>
      <c r="F23" s="1900"/>
      <c r="G23" s="1885"/>
      <c r="H23" s="1900"/>
      <c r="I23" s="1885"/>
      <c r="J23" s="1900"/>
    </row>
    <row r="24" spans="1:14" ht="17.5">
      <c r="A24" s="2147" t="s">
        <v>1381</v>
      </c>
      <c r="B24" s="1885"/>
      <c r="C24" s="1885"/>
      <c r="D24" s="1885"/>
      <c r="E24" s="1885"/>
      <c r="F24" s="1885" t="s">
        <v>14</v>
      </c>
      <c r="G24" s="1885"/>
      <c r="H24" s="1885"/>
      <c r="I24" s="1885"/>
      <c r="J24" s="1885"/>
    </row>
    <row r="25" spans="1:14" ht="6" customHeight="1"/>
    <row r="26" spans="1:14" ht="59.25" customHeight="1">
      <c r="A26" s="3986" t="s">
        <v>1207</v>
      </c>
      <c r="B26" s="3986"/>
      <c r="C26" s="3986"/>
      <c r="D26" s="3986"/>
      <c r="E26" s="3986"/>
      <c r="F26" s="3986"/>
      <c r="G26" s="3986"/>
      <c r="H26" s="3986"/>
      <c r="I26" s="3986"/>
      <c r="J26" s="3986"/>
    </row>
    <row r="27" spans="1:14" ht="43.4" customHeight="1">
      <c r="A27" s="3987" t="s">
        <v>1574</v>
      </c>
      <c r="B27" s="3987"/>
      <c r="C27" s="3987"/>
      <c r="D27" s="3987"/>
      <c r="E27" s="3987"/>
      <c r="F27" s="3987"/>
      <c r="G27" s="3987"/>
      <c r="H27" s="3987"/>
      <c r="I27" s="3987"/>
      <c r="J27" s="3987"/>
    </row>
    <row r="28" spans="1:14" ht="18.75" customHeight="1">
      <c r="A28" s="3988"/>
      <c r="B28" s="3988"/>
      <c r="C28" s="3988"/>
      <c r="D28" s="3988"/>
      <c r="E28" s="3988"/>
      <c r="F28" s="3988"/>
      <c r="G28" s="3988"/>
      <c r="H28" s="3988"/>
      <c r="I28" s="3988"/>
      <c r="J28" s="3988"/>
    </row>
    <row r="29" spans="1:14" ht="18" customHeight="1">
      <c r="A29" s="1901"/>
      <c r="B29" s="1926"/>
      <c r="C29" s="1926"/>
      <c r="D29" s="1926"/>
      <c r="E29" s="1926"/>
      <c r="F29" s="1679"/>
      <c r="G29" s="1926"/>
      <c r="H29" s="1926"/>
      <c r="I29" s="1926"/>
      <c r="J29" s="1926"/>
    </row>
    <row r="30" spans="1:14" ht="20.25" customHeight="1">
      <c r="A30" s="3989"/>
      <c r="B30" s="3989"/>
      <c r="C30" s="3989"/>
      <c r="D30" s="3989"/>
      <c r="E30" s="3989"/>
      <c r="F30" s="3989"/>
      <c r="G30" s="3989"/>
      <c r="H30" s="3989"/>
      <c r="I30" s="3989"/>
      <c r="J30" s="3989"/>
    </row>
    <row r="31" spans="1:14" ht="20.25" customHeight="1">
      <c r="A31" s="1927"/>
      <c r="B31" s="1926"/>
      <c r="C31" s="1926"/>
      <c r="D31" s="1926"/>
      <c r="E31" s="1926"/>
      <c r="F31" s="3723" t="s">
        <v>14</v>
      </c>
      <c r="G31" s="1926"/>
      <c r="H31" s="1926"/>
      <c r="I31" s="1926"/>
      <c r="J31" s="1926"/>
    </row>
    <row r="32" spans="1:14" ht="20.25" customHeight="1">
      <c r="A32" s="1927"/>
      <c r="B32" s="1926"/>
      <c r="C32" s="1926"/>
      <c r="D32" s="1926"/>
      <c r="E32" s="1926"/>
      <c r="F32" s="1926"/>
      <c r="G32" s="1926"/>
      <c r="H32" s="1926"/>
      <c r="I32" s="1926"/>
      <c r="J32" s="1926"/>
    </row>
    <row r="33" spans="1:10" ht="20.25" customHeight="1">
      <c r="A33" s="1927"/>
      <c r="B33" s="1926"/>
      <c r="C33" s="1926"/>
      <c r="D33" s="1926"/>
      <c r="E33" s="1926"/>
      <c r="F33" s="1926"/>
      <c r="G33" s="1926"/>
      <c r="H33" s="1926"/>
      <c r="I33" s="1926"/>
      <c r="J33" s="1926"/>
    </row>
    <row r="34" spans="1:10" ht="20.25" customHeight="1">
      <c r="A34" s="1927"/>
      <c r="B34" s="1926"/>
      <c r="C34" s="1926"/>
      <c r="D34" s="1926"/>
      <c r="E34" s="1926"/>
      <c r="F34" s="1926"/>
      <c r="G34" s="1926"/>
      <c r="H34" s="1926"/>
      <c r="I34" s="1926"/>
      <c r="J34" s="1926"/>
    </row>
    <row r="35" spans="1:10" ht="20.25" customHeight="1">
      <c r="A35" s="1927"/>
      <c r="B35" s="1926"/>
      <c r="C35" s="1926"/>
      <c r="D35" s="1926"/>
      <c r="E35" s="1926"/>
      <c r="F35" s="1926"/>
      <c r="G35" s="1926"/>
      <c r="H35" s="1926"/>
      <c r="I35" s="1926"/>
      <c r="J35" s="1926"/>
    </row>
    <row r="36" spans="1:10" ht="20.25" customHeight="1">
      <c r="A36" s="1927"/>
      <c r="B36" s="1926"/>
      <c r="C36" s="1926"/>
      <c r="D36" s="1926"/>
      <c r="E36" s="1926"/>
      <c r="F36" s="1926"/>
      <c r="G36" s="1926"/>
      <c r="H36" s="1926"/>
      <c r="I36" s="1926"/>
      <c r="J36" s="1926"/>
    </row>
    <row r="37" spans="1:10" ht="20.25" customHeight="1">
      <c r="A37" s="1927"/>
      <c r="B37" s="1926"/>
      <c r="C37" s="1926"/>
      <c r="D37" s="1926"/>
      <c r="E37" s="1926"/>
      <c r="F37" s="1926"/>
      <c r="G37" s="1926"/>
      <c r="H37" s="1926"/>
      <c r="I37" s="1926"/>
      <c r="J37" s="1926"/>
    </row>
    <row r="38" spans="1:10" ht="20.25" customHeight="1">
      <c r="A38" s="1927"/>
      <c r="B38" s="1926"/>
      <c r="C38" s="1926"/>
      <c r="D38" s="1926"/>
      <c r="E38" s="1926"/>
      <c r="F38" s="1926"/>
      <c r="G38" s="1926"/>
      <c r="H38" s="1926"/>
      <c r="I38" s="1926"/>
      <c r="J38" s="1926"/>
    </row>
    <row r="39" spans="1:10" ht="20.25" customHeight="1">
      <c r="A39" s="1927"/>
      <c r="B39" s="1926"/>
      <c r="C39" s="1926"/>
      <c r="D39" s="1926"/>
      <c r="E39" s="1926"/>
      <c r="F39" s="1926"/>
      <c r="G39" s="1926"/>
      <c r="H39" s="1926"/>
      <c r="I39" s="1926"/>
      <c r="J39" s="1926"/>
    </row>
    <row r="40" spans="1:10" ht="20.25" customHeight="1">
      <c r="A40" s="1927"/>
      <c r="B40" s="1926"/>
      <c r="C40" s="1926"/>
      <c r="D40" s="1926"/>
      <c r="E40" s="1926"/>
      <c r="F40" s="1926"/>
      <c r="G40" s="1926"/>
      <c r="H40" s="1926"/>
      <c r="I40" s="1926"/>
      <c r="J40" s="1926"/>
    </row>
    <row r="41" spans="1:10" ht="20.25" customHeight="1">
      <c r="A41" s="1927"/>
      <c r="B41" s="1926"/>
      <c r="C41" s="1926"/>
      <c r="D41" s="1926"/>
      <c r="E41" s="1926"/>
      <c r="F41" s="1926"/>
      <c r="G41" s="1926"/>
      <c r="H41" s="1926"/>
      <c r="I41" s="1926"/>
      <c r="J41" s="1926"/>
    </row>
    <row r="42" spans="1:10" ht="20.25" customHeight="1">
      <c r="A42" s="1927"/>
      <c r="B42" s="1926"/>
      <c r="C42" s="1926"/>
      <c r="D42" s="1926"/>
      <c r="E42" s="1926"/>
      <c r="F42" s="1926"/>
      <c r="G42" s="1926"/>
      <c r="H42" s="1926"/>
      <c r="I42" s="1926"/>
      <c r="J42" s="1926"/>
    </row>
    <row r="43" spans="1:10" ht="21" customHeight="1"/>
    <row r="44" spans="1:10" ht="21" customHeight="1">
      <c r="A44" s="1927"/>
      <c r="B44" s="1926"/>
      <c r="C44" s="1926"/>
      <c r="D44" s="1926"/>
      <c r="E44" s="1926"/>
      <c r="F44" s="1926"/>
      <c r="G44" s="1926"/>
      <c r="H44" s="1926"/>
      <c r="I44" s="1926"/>
      <c r="J44" s="1926"/>
    </row>
    <row r="45" spans="1:10" ht="18" customHeight="1">
      <c r="A45" s="1902"/>
      <c r="B45" s="1903"/>
      <c r="C45" s="1904"/>
      <c r="D45" s="1905"/>
      <c r="E45" s="1904"/>
      <c r="F45" s="1905"/>
      <c r="G45" s="1904"/>
      <c r="H45" s="1905"/>
      <c r="I45" s="1906"/>
    </row>
    <row r="46" spans="1:10" ht="18" customHeight="1">
      <c r="A46" s="1907"/>
      <c r="B46" s="1903"/>
      <c r="C46" s="1903"/>
      <c r="D46" s="1905"/>
      <c r="E46" s="1903"/>
      <c r="F46" s="1908"/>
      <c r="G46" s="1905"/>
      <c r="H46" s="1905"/>
      <c r="I46" s="1906"/>
    </row>
    <row r="47" spans="1:10" ht="18" customHeight="1">
      <c r="A47" s="1907"/>
      <c r="B47" s="1903"/>
      <c r="C47" s="1903"/>
      <c r="D47" s="1905"/>
      <c r="E47" s="1903"/>
      <c r="F47" s="1908"/>
      <c r="G47" s="1905"/>
      <c r="H47" s="1905"/>
      <c r="I47" s="1906"/>
    </row>
    <row r="48" spans="1:10" ht="18" customHeight="1">
      <c r="A48" s="1907"/>
      <c r="B48" s="1903"/>
      <c r="C48" s="1903"/>
      <c r="D48" s="1905"/>
      <c r="E48" s="1903"/>
      <c r="F48" s="1908"/>
      <c r="G48" s="1905"/>
      <c r="H48" s="1905"/>
      <c r="I48" s="1906"/>
    </row>
    <row r="49" spans="1:9" ht="18" customHeight="1">
      <c r="A49" s="1907"/>
      <c r="B49" s="1903"/>
      <c r="C49" s="1903"/>
      <c r="D49" s="1905"/>
      <c r="E49" s="1903"/>
      <c r="F49" s="1905"/>
      <c r="G49" s="1905"/>
      <c r="H49" s="1909"/>
      <c r="I49" s="1906"/>
    </row>
    <row r="50" spans="1:9" ht="18" customHeight="1">
      <c r="A50" s="1910"/>
      <c r="B50" s="1903"/>
      <c r="C50" s="1903"/>
      <c r="D50" s="1905"/>
      <c r="E50" s="1903"/>
      <c r="F50" s="1905"/>
      <c r="G50" s="1905"/>
      <c r="H50" s="1905"/>
      <c r="I50" s="1906"/>
    </row>
    <row r="51" spans="1:9" ht="18" customHeight="1">
      <c r="A51" s="1911"/>
      <c r="B51" s="1903"/>
      <c r="C51" s="1903"/>
      <c r="D51" s="1905"/>
      <c r="E51" s="1903"/>
      <c r="F51" s="1909"/>
      <c r="G51" s="1905"/>
      <c r="H51" s="1905"/>
      <c r="I51" s="1906"/>
    </row>
    <row r="52" spans="1:9" ht="18" customHeight="1">
      <c r="A52" s="1907"/>
      <c r="B52" s="1903"/>
      <c r="C52" s="1903"/>
      <c r="D52" s="1905"/>
      <c r="E52" s="1903"/>
      <c r="F52" s="1908"/>
      <c r="G52" s="1905"/>
      <c r="H52" s="1905"/>
      <c r="I52" s="1906"/>
    </row>
    <row r="53" spans="1:9" ht="18" customHeight="1">
      <c r="A53" s="1907"/>
      <c r="B53" s="1903"/>
      <c r="C53" s="1903"/>
      <c r="D53" s="1905"/>
      <c r="E53" s="1903"/>
      <c r="F53" s="1912"/>
      <c r="G53" s="1905"/>
      <c r="H53" s="1909"/>
      <c r="I53" s="1906"/>
    </row>
    <row r="54" spans="1:9" ht="18" customHeight="1">
      <c r="A54" s="1910"/>
      <c r="B54" s="1903"/>
      <c r="C54" s="1904"/>
      <c r="D54" s="1913"/>
      <c r="E54" s="1904"/>
      <c r="G54" s="1904"/>
      <c r="H54" s="1913"/>
      <c r="I54" s="1906"/>
    </row>
  </sheetData>
  <mergeCells count="4">
    <mergeCell ref="A26:J26"/>
    <mergeCell ref="A27:J27"/>
    <mergeCell ref="A28:J28"/>
    <mergeCell ref="A30:J30"/>
  </mergeCells>
  <pageMargins left="0.5" right="0.5" top="0.5" bottom="0.5" header="0" footer="0.25"/>
  <pageSetup scale="66"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pageSetUpPr fitToPage="1"/>
  </sheetPr>
  <dimension ref="A1:X85"/>
  <sheetViews>
    <sheetView showGridLines="0" zoomScale="80" zoomScaleNormal="60" workbookViewId="0"/>
  </sheetViews>
  <sheetFormatPr defaultColWidth="8.84375" defaultRowHeight="12.5"/>
  <cols>
    <col min="1" max="1" width="40.07421875" style="616" customWidth="1"/>
    <col min="2" max="2" width="2.07421875" style="616" customWidth="1"/>
    <col min="3" max="3" width="17.07421875" style="793" customWidth="1"/>
    <col min="4" max="4" width="2.07421875" style="616" customWidth="1"/>
    <col min="5" max="5" width="15.4609375" style="616" customWidth="1"/>
    <col min="6" max="6" width="2.07421875" style="616" customWidth="1"/>
    <col min="7" max="7" width="16.07421875" style="616" customWidth="1"/>
    <col min="8" max="8" width="2.07421875" style="616" customWidth="1"/>
    <col min="9" max="9" width="15.53515625" style="617" customWidth="1"/>
    <col min="10" max="10" width="2.07421875" style="616" customWidth="1"/>
    <col min="11" max="11" width="16.4609375" style="617" bestFit="1" customWidth="1"/>
    <col min="12" max="12" width="2.07421875" style="616" customWidth="1"/>
    <col min="13" max="13" width="17.07421875" style="793" customWidth="1"/>
    <col min="14" max="14" width="1.84375" style="616" customWidth="1"/>
    <col min="15" max="15" width="1.07421875" style="616" customWidth="1"/>
    <col min="16" max="16" width="2" style="616" customWidth="1"/>
    <col min="17" max="17" width="15.4609375" style="616" customWidth="1"/>
    <col min="18" max="18" width="2.07421875" style="616" customWidth="1"/>
    <col min="19" max="19" width="16.4609375" style="616" bestFit="1" customWidth="1"/>
    <col min="20" max="20" width="11.84375" style="616" customWidth="1"/>
    <col min="21" max="21" width="12.4609375" style="616" customWidth="1"/>
    <col min="22" max="22" width="9.84375" style="616" bestFit="1" customWidth="1"/>
    <col min="23" max="16384" width="8.84375" style="616"/>
  </cols>
  <sheetData>
    <row r="1" spans="1:23" ht="15.5">
      <c r="A1" s="926" t="s">
        <v>882</v>
      </c>
    </row>
    <row r="2" spans="1:23" ht="15.5">
      <c r="A2" s="1574"/>
    </row>
    <row r="3" spans="1:23" ht="18">
      <c r="A3" s="615" t="s">
        <v>0</v>
      </c>
      <c r="S3" s="615" t="s">
        <v>388</v>
      </c>
    </row>
    <row r="4" spans="1:23" ht="18">
      <c r="A4" s="615" t="s">
        <v>183</v>
      </c>
      <c r="J4" s="616" t="s">
        <v>14</v>
      </c>
    </row>
    <row r="5" spans="1:23" ht="18">
      <c r="A5" s="615" t="s">
        <v>389</v>
      </c>
    </row>
    <row r="6" spans="1:23" ht="18">
      <c r="A6" s="1575" t="str">
        <f>'Cashflow Governmental'!A6</f>
        <v xml:space="preserve">FISCAL YEAR 2021-2022   </v>
      </c>
    </row>
    <row r="9" spans="1:23" ht="15.65" customHeight="1">
      <c r="C9" s="3486"/>
      <c r="D9" s="3840"/>
      <c r="E9" s="3990" t="s">
        <v>1395</v>
      </c>
      <c r="F9" s="3990"/>
      <c r="G9" s="3990"/>
      <c r="H9" s="1507"/>
      <c r="I9" s="3538" t="s">
        <v>1211</v>
      </c>
      <c r="J9" s="3539"/>
      <c r="K9" s="3539"/>
      <c r="L9" s="1504"/>
      <c r="M9" s="1504"/>
      <c r="N9" s="1504"/>
      <c r="O9" s="1509"/>
      <c r="P9" s="1504"/>
    </row>
    <row r="10" spans="1:23" ht="13">
      <c r="C10" s="1512" t="s">
        <v>120</v>
      </c>
      <c r="D10" s="1511"/>
      <c r="E10" s="3533"/>
      <c r="F10" s="3534"/>
      <c r="G10" s="3535"/>
      <c r="H10" s="1504"/>
      <c r="I10" s="3536"/>
      <c r="J10" s="3537"/>
      <c r="K10" s="3537"/>
      <c r="L10" s="1504"/>
      <c r="M10" s="1512" t="s">
        <v>120</v>
      </c>
      <c r="N10" s="1504"/>
      <c r="O10" s="1513"/>
      <c r="P10" s="1504"/>
      <c r="Q10" s="1510" t="s">
        <v>846</v>
      </c>
      <c r="R10" s="1510"/>
      <c r="S10" s="1510"/>
    </row>
    <row r="11" spans="1:23" ht="13">
      <c r="C11" s="1512" t="s">
        <v>390</v>
      </c>
      <c r="D11" s="1511"/>
      <c r="E11" s="3545" t="s">
        <v>6</v>
      </c>
      <c r="F11" s="1511"/>
      <c r="G11" s="1514" t="s">
        <v>1567</v>
      </c>
      <c r="H11" s="1504"/>
      <c r="I11" s="1511" t="s">
        <v>391</v>
      </c>
      <c r="J11" s="1506" t="s">
        <v>14</v>
      </c>
      <c r="K11" s="1511" t="str">
        <f>G11</f>
        <v>6 MONTHS ENDED</v>
      </c>
      <c r="L11" s="1504"/>
      <c r="M11" s="1512" t="s">
        <v>390</v>
      </c>
      <c r="N11" s="1504"/>
      <c r="O11" s="1513"/>
      <c r="P11" s="1504"/>
      <c r="Q11" s="1511" t="s">
        <v>391</v>
      </c>
      <c r="R11" s="1506" t="s">
        <v>14</v>
      </c>
      <c r="S11" s="1511" t="str">
        <f>K11</f>
        <v>6 MONTHS ENDED</v>
      </c>
    </row>
    <row r="12" spans="1:23" ht="13">
      <c r="A12" s="1576" t="s">
        <v>392</v>
      </c>
      <c r="C12" s="3487" t="s">
        <v>1407</v>
      </c>
      <c r="D12" s="2141"/>
      <c r="E12" s="3546" t="s">
        <v>142</v>
      </c>
      <c r="F12" s="2141"/>
      <c r="G12" s="1577" t="s">
        <v>1566</v>
      </c>
      <c r="H12" s="1504"/>
      <c r="I12" s="1577" t="s">
        <v>142</v>
      </c>
      <c r="J12" s="1504"/>
      <c r="K12" s="1505" t="str">
        <f>G12</f>
        <v>SEPTEMBER 30, 2021</v>
      </c>
      <c r="L12" s="1504"/>
      <c r="M12" s="1505" t="str">
        <f>K12</f>
        <v>SEPTEMBER 30, 2021</v>
      </c>
      <c r="N12" s="1504"/>
      <c r="O12" s="1513"/>
      <c r="P12" s="1504"/>
      <c r="Q12" s="1508" t="s">
        <v>142</v>
      </c>
      <c r="R12" s="1504"/>
      <c r="S12" s="1505" t="str">
        <f>M12</f>
        <v>SEPTEMBER 30, 2021</v>
      </c>
    </row>
    <row r="13" spans="1:23">
      <c r="K13" s="1533"/>
      <c r="O13" s="1578"/>
    </row>
    <row r="14" spans="1:23" ht="13">
      <c r="A14" s="618" t="s">
        <v>393</v>
      </c>
      <c r="K14" s="1533"/>
      <c r="O14" s="1578"/>
      <c r="Q14" s="617"/>
    </row>
    <row r="15" spans="1:23" ht="12" customHeight="1">
      <c r="A15" s="618"/>
      <c r="K15" s="1533"/>
      <c r="M15" s="793" t="s">
        <v>14</v>
      </c>
      <c r="O15" s="1578"/>
      <c r="Q15" s="617"/>
    </row>
    <row r="16" spans="1:23">
      <c r="A16" s="616" t="s">
        <v>893</v>
      </c>
      <c r="B16" s="617"/>
      <c r="C16" s="3480">
        <v>9992174</v>
      </c>
      <c r="D16" s="1532"/>
      <c r="E16" s="3480">
        <v>0</v>
      </c>
      <c r="F16" s="1532"/>
      <c r="G16" s="3480">
        <f>E16</f>
        <v>0</v>
      </c>
      <c r="H16" s="3480"/>
      <c r="I16" s="3480">
        <v>0</v>
      </c>
      <c r="J16" s="1532"/>
      <c r="K16" s="3480">
        <v>785635</v>
      </c>
      <c r="L16" s="1532" t="s">
        <v>14</v>
      </c>
      <c r="M16" s="3480">
        <f>ROUND(SUM(C16)-SUM(K16)+SUM(G16),0)</f>
        <v>9206539</v>
      </c>
      <c r="N16" s="631"/>
      <c r="O16" s="1579"/>
      <c r="P16" s="617"/>
      <c r="Q16" s="3480">
        <v>0</v>
      </c>
      <c r="R16" s="3480"/>
      <c r="S16" s="3480">
        <v>157684</v>
      </c>
      <c r="T16" s="620"/>
      <c r="U16" s="1532"/>
      <c r="V16" s="2135"/>
      <c r="W16" s="711"/>
    </row>
    <row r="17" spans="1:23">
      <c r="C17" s="794"/>
      <c r="D17" s="709"/>
      <c r="E17" s="622"/>
      <c r="F17" s="709"/>
      <c r="G17" s="794"/>
      <c r="H17" s="631"/>
      <c r="I17" s="622"/>
      <c r="J17" s="631"/>
      <c r="K17" s="1533"/>
      <c r="L17" s="631"/>
      <c r="M17" s="794"/>
      <c r="N17" s="631"/>
      <c r="O17" s="1579"/>
      <c r="P17" s="631"/>
      <c r="Q17" s="622"/>
      <c r="R17" s="631"/>
      <c r="S17" s="1533"/>
      <c r="U17" s="622"/>
      <c r="V17" s="710"/>
      <c r="W17" s="711"/>
    </row>
    <row r="18" spans="1:23">
      <c r="A18" s="616" t="s">
        <v>394</v>
      </c>
      <c r="C18" s="794"/>
      <c r="D18" s="709"/>
      <c r="E18" s="617"/>
      <c r="F18" s="709"/>
      <c r="G18" s="794"/>
      <c r="H18" s="631"/>
      <c r="J18" s="617"/>
      <c r="K18" s="1533"/>
      <c r="L18" s="631"/>
      <c r="M18" s="794"/>
      <c r="N18" s="631"/>
      <c r="O18" s="1579"/>
      <c r="P18" s="631"/>
      <c r="Q18" s="617"/>
      <c r="R18" s="617"/>
      <c r="S18" s="1533"/>
      <c r="U18" s="617"/>
      <c r="V18" s="710"/>
      <c r="W18" s="620"/>
    </row>
    <row r="19" spans="1:23" ht="12" customHeight="1">
      <c r="A19" s="616" t="s">
        <v>894</v>
      </c>
      <c r="C19" s="3482">
        <v>1321445</v>
      </c>
      <c r="D19" s="1534"/>
      <c r="E19" s="3482">
        <v>0</v>
      </c>
      <c r="F19" s="1534"/>
      <c r="G19" s="3482">
        <f>E19</f>
        <v>0</v>
      </c>
      <c r="H19" s="3482"/>
      <c r="I19" s="3482">
        <v>0</v>
      </c>
      <c r="J19" s="1534"/>
      <c r="K19" s="3482">
        <v>0</v>
      </c>
      <c r="L19" s="1534" t="s">
        <v>14</v>
      </c>
      <c r="M19" s="3482">
        <f>ROUND(SUM(C19)-SUM(K19)+SUM(G19),0)</f>
        <v>1321445</v>
      </c>
      <c r="N19" s="631"/>
      <c r="O19" s="1579"/>
      <c r="P19" s="631" t="s">
        <v>14</v>
      </c>
      <c r="Q19" s="3482">
        <v>0</v>
      </c>
      <c r="R19" s="3482"/>
      <c r="S19" s="3482">
        <v>20042</v>
      </c>
      <c r="T19" s="620"/>
      <c r="U19" s="794"/>
      <c r="V19" s="710"/>
      <c r="W19" s="711"/>
    </row>
    <row r="20" spans="1:23">
      <c r="A20" s="616" t="s">
        <v>395</v>
      </c>
      <c r="C20" s="3482">
        <v>0</v>
      </c>
      <c r="D20" s="1534"/>
      <c r="E20" s="3482">
        <v>0</v>
      </c>
      <c r="F20" s="1534"/>
      <c r="G20" s="3482">
        <f t="shared" ref="G20:G63" si="0">E20</f>
        <v>0</v>
      </c>
      <c r="H20" s="3482"/>
      <c r="I20" s="3482">
        <v>0</v>
      </c>
      <c r="J20" s="1534"/>
      <c r="K20" s="3482">
        <v>0</v>
      </c>
      <c r="L20" s="1534"/>
      <c r="M20" s="3482">
        <f>ROUND(SUM(C20)-SUM(K20)+SUM(G20),0)</f>
        <v>0</v>
      </c>
      <c r="N20" s="631"/>
      <c r="O20" s="1579"/>
      <c r="P20" s="631"/>
      <c r="Q20" s="3482">
        <v>0</v>
      </c>
      <c r="R20" s="3482"/>
      <c r="S20" s="3482">
        <v>0</v>
      </c>
      <c r="T20" s="620"/>
      <c r="U20" s="794"/>
      <c r="V20" s="710"/>
      <c r="W20" s="711"/>
    </row>
    <row r="21" spans="1:23">
      <c r="A21" s="616" t="s">
        <v>1204</v>
      </c>
      <c r="C21" s="3482">
        <v>277661899</v>
      </c>
      <c r="D21" s="1534"/>
      <c r="E21" s="3482">
        <v>0</v>
      </c>
      <c r="F21" s="1534"/>
      <c r="G21" s="3482">
        <f t="shared" si="0"/>
        <v>0</v>
      </c>
      <c r="H21" s="3482"/>
      <c r="I21" s="3482">
        <v>0</v>
      </c>
      <c r="J21" s="1534"/>
      <c r="K21" s="3482">
        <v>9125472</v>
      </c>
      <c r="L21" s="1534" t="s">
        <v>14</v>
      </c>
      <c r="M21" s="3482">
        <f>ROUND(SUM(C21)-SUM(K21)+SUM(G21),0)</f>
        <v>268536427</v>
      </c>
      <c r="N21" s="631"/>
      <c r="O21" s="1579"/>
      <c r="P21" s="631"/>
      <c r="Q21" s="3482">
        <v>1208047</v>
      </c>
      <c r="R21" s="3482"/>
      <c r="S21" s="3482">
        <v>3938505</v>
      </c>
      <c r="T21" s="620"/>
      <c r="U21" s="794"/>
      <c r="V21" s="710"/>
      <c r="W21" s="711"/>
    </row>
    <row r="22" spans="1:23">
      <c r="A22" s="616" t="s">
        <v>396</v>
      </c>
      <c r="C22" s="3482">
        <v>11083955</v>
      </c>
      <c r="D22" s="1534"/>
      <c r="E22" s="3482">
        <v>0</v>
      </c>
      <c r="F22" s="1534"/>
      <c r="G22" s="3482">
        <f t="shared" si="0"/>
        <v>0</v>
      </c>
      <c r="H22" s="3482"/>
      <c r="I22" s="3482">
        <v>0</v>
      </c>
      <c r="J22" s="1534"/>
      <c r="K22" s="3482">
        <v>163906</v>
      </c>
      <c r="L22" s="1534" t="s">
        <v>14</v>
      </c>
      <c r="M22" s="3482">
        <f>ROUND(SUM(C22)-SUM(K22)+SUM(G22),0)</f>
        <v>10920049</v>
      </c>
      <c r="N22" s="631"/>
      <c r="O22" s="1579"/>
      <c r="P22" s="631"/>
      <c r="Q22" s="3482">
        <v>7739</v>
      </c>
      <c r="R22" s="3482"/>
      <c r="S22" s="3482">
        <v>195524</v>
      </c>
      <c r="T22" s="620"/>
      <c r="U22" s="794"/>
      <c r="V22" s="710"/>
      <c r="W22" s="711"/>
    </row>
    <row r="23" spans="1:23">
      <c r="A23" s="616" t="s">
        <v>895</v>
      </c>
      <c r="C23" s="3482">
        <v>36701555</v>
      </c>
      <c r="D23" s="1534"/>
      <c r="E23" s="3482">
        <v>0</v>
      </c>
      <c r="F23" s="1534"/>
      <c r="G23" s="3482">
        <f t="shared" si="0"/>
        <v>0</v>
      </c>
      <c r="H23" s="3482"/>
      <c r="I23" s="3482">
        <v>0</v>
      </c>
      <c r="J23" s="1534"/>
      <c r="K23" s="3482">
        <v>165000</v>
      </c>
      <c r="L23" s="1534" t="s">
        <v>14</v>
      </c>
      <c r="M23" s="3482">
        <f>ROUND(SUM(C23)-SUM(K23)+SUM(G23),0)</f>
        <v>36536555</v>
      </c>
      <c r="N23" s="631"/>
      <c r="O23" s="1579"/>
      <c r="P23" s="631"/>
      <c r="Q23" s="3482">
        <v>416390</v>
      </c>
      <c r="R23" s="3482"/>
      <c r="S23" s="3482">
        <v>548903</v>
      </c>
      <c r="T23" s="620"/>
      <c r="U23" s="794"/>
      <c r="V23" s="710"/>
      <c r="W23" s="711"/>
    </row>
    <row r="24" spans="1:23">
      <c r="C24" s="3482"/>
      <c r="D24" s="794"/>
      <c r="E24" s="3481"/>
      <c r="F24" s="794"/>
      <c r="G24" s="3482" t="s">
        <v>14</v>
      </c>
      <c r="H24" s="3481"/>
      <c r="I24" s="3481"/>
      <c r="J24" s="794"/>
      <c r="K24" s="3481"/>
      <c r="L24" s="794"/>
      <c r="M24" s="3482" t="s">
        <v>14</v>
      </c>
      <c r="N24" s="631"/>
      <c r="O24" s="1579"/>
      <c r="P24" s="631"/>
      <c r="Q24" s="3482"/>
      <c r="R24" s="3482"/>
      <c r="S24" s="3482"/>
      <c r="U24" s="622"/>
      <c r="V24" s="710"/>
      <c r="W24" s="711"/>
    </row>
    <row r="25" spans="1:23">
      <c r="A25" s="616" t="s">
        <v>802</v>
      </c>
      <c r="C25" s="3482"/>
      <c r="D25" s="794"/>
      <c r="E25" s="3481"/>
      <c r="F25" s="794"/>
      <c r="G25" s="3482" t="s">
        <v>14</v>
      </c>
      <c r="H25" s="3481"/>
      <c r="I25" s="3481"/>
      <c r="J25" s="794"/>
      <c r="K25" s="3481"/>
      <c r="L25" s="794"/>
      <c r="M25" s="3482" t="s">
        <v>14</v>
      </c>
      <c r="N25" s="631"/>
      <c r="O25" s="1579"/>
      <c r="P25" s="631"/>
      <c r="Q25" s="3482"/>
      <c r="R25" s="3482"/>
      <c r="S25" s="3482"/>
      <c r="U25" s="622"/>
      <c r="V25" s="710"/>
      <c r="W25" s="620"/>
    </row>
    <row r="26" spans="1:23">
      <c r="A26" s="616" t="s">
        <v>911</v>
      </c>
      <c r="C26" s="3482">
        <v>1022456</v>
      </c>
      <c r="D26" s="1534"/>
      <c r="E26" s="3482">
        <v>0</v>
      </c>
      <c r="F26" s="1534"/>
      <c r="G26" s="3482">
        <f t="shared" si="0"/>
        <v>0</v>
      </c>
      <c r="H26" s="3482"/>
      <c r="I26" s="3482">
        <v>0</v>
      </c>
      <c r="J26" s="1534"/>
      <c r="K26" s="3482">
        <v>263713</v>
      </c>
      <c r="L26" s="1534"/>
      <c r="M26" s="3482">
        <f>ROUND(SUM(C26)-SUM(K26)+SUM(G26),0)</f>
        <v>758743</v>
      </c>
      <c r="N26" s="631"/>
      <c r="O26" s="1579"/>
      <c r="P26" s="631"/>
      <c r="Q26" s="3482">
        <v>0</v>
      </c>
      <c r="R26" s="3482"/>
      <c r="S26" s="3482">
        <v>22550</v>
      </c>
      <c r="T26" s="620"/>
      <c r="U26" s="794"/>
      <c r="V26" s="710"/>
      <c r="W26" s="711"/>
    </row>
    <row r="27" spans="1:23">
      <c r="C27" s="3482"/>
      <c r="D27" s="794"/>
      <c r="E27" s="3481"/>
      <c r="F27" s="794"/>
      <c r="G27" s="3482" t="s">
        <v>14</v>
      </c>
      <c r="H27" s="3481"/>
      <c r="I27" s="3481"/>
      <c r="J27" s="794"/>
      <c r="K27" s="3481"/>
      <c r="L27" s="794"/>
      <c r="M27" s="3482" t="s">
        <v>14</v>
      </c>
      <c r="N27" s="631"/>
      <c r="O27" s="1579"/>
      <c r="P27" s="631"/>
      <c r="Q27" s="3482"/>
      <c r="R27" s="3482"/>
      <c r="S27" s="3482"/>
      <c r="U27" s="622"/>
      <c r="V27" s="710"/>
      <c r="W27" s="711"/>
    </row>
    <row r="28" spans="1:23">
      <c r="A28" s="616" t="s">
        <v>1154</v>
      </c>
      <c r="C28" s="3482"/>
      <c r="D28" s="794"/>
      <c r="E28" s="3481"/>
      <c r="F28" s="794"/>
      <c r="G28" s="3482" t="s">
        <v>14</v>
      </c>
      <c r="H28" s="3481"/>
      <c r="I28" s="3481"/>
      <c r="J28" s="794"/>
      <c r="K28" s="3481"/>
      <c r="L28" s="794"/>
      <c r="M28" s="3482" t="s">
        <v>14</v>
      </c>
      <c r="N28" s="631"/>
      <c r="O28" s="1579"/>
      <c r="P28" s="631"/>
      <c r="Q28" s="3482"/>
      <c r="R28" s="3482"/>
      <c r="S28" s="3482"/>
      <c r="U28" s="622"/>
      <c r="V28" s="710"/>
    </row>
    <row r="29" spans="1:23">
      <c r="A29" s="616" t="s">
        <v>397</v>
      </c>
      <c r="C29" s="3482">
        <v>0</v>
      </c>
      <c r="D29" s="1534"/>
      <c r="E29" s="3482">
        <v>0</v>
      </c>
      <c r="F29" s="1534"/>
      <c r="G29" s="3482">
        <f t="shared" si="0"/>
        <v>0</v>
      </c>
      <c r="H29" s="3482"/>
      <c r="I29" s="3482">
        <v>0</v>
      </c>
      <c r="J29" s="1534"/>
      <c r="K29" s="3482">
        <v>0</v>
      </c>
      <c r="L29" s="1534"/>
      <c r="M29" s="3482">
        <f>ROUND(SUM(C29)-SUM(K29)+SUM(G29),0)</f>
        <v>0</v>
      </c>
      <c r="N29" s="631"/>
      <c r="O29" s="1579"/>
      <c r="P29" s="631"/>
      <c r="Q29" s="3482">
        <v>0</v>
      </c>
      <c r="R29" s="3482"/>
      <c r="S29" s="3482">
        <v>0</v>
      </c>
      <c r="T29" s="620"/>
      <c r="U29" s="794"/>
      <c r="V29" s="710"/>
      <c r="W29" s="711"/>
    </row>
    <row r="30" spans="1:23">
      <c r="A30" s="616" t="s">
        <v>896</v>
      </c>
      <c r="C30" s="3482">
        <v>4267512</v>
      </c>
      <c r="D30" s="1534"/>
      <c r="E30" s="3482">
        <v>0</v>
      </c>
      <c r="F30" s="1534"/>
      <c r="G30" s="3482">
        <f t="shared" si="0"/>
        <v>0</v>
      </c>
      <c r="H30" s="3482"/>
      <c r="I30" s="3482">
        <v>0</v>
      </c>
      <c r="J30" s="1534" t="s">
        <v>14</v>
      </c>
      <c r="K30" s="3482">
        <v>25000</v>
      </c>
      <c r="L30" s="1534"/>
      <c r="M30" s="3482">
        <f>ROUND(SUM(C30)-SUM(K30)+SUM(G30),0)</f>
        <v>4242512</v>
      </c>
      <c r="N30" s="631"/>
      <c r="O30" s="1579"/>
      <c r="P30" s="631"/>
      <c r="Q30" s="3482">
        <v>96534</v>
      </c>
      <c r="R30" s="3482"/>
      <c r="S30" s="3482">
        <v>103951</v>
      </c>
      <c r="T30" s="620" t="s">
        <v>14</v>
      </c>
      <c r="U30" s="794" t="s">
        <v>14</v>
      </c>
      <c r="V30" s="710"/>
      <c r="W30" s="711"/>
    </row>
    <row r="31" spans="1:23">
      <c r="A31" s="616" t="s">
        <v>398</v>
      </c>
      <c r="C31" s="3482">
        <v>5538761</v>
      </c>
      <c r="D31" s="1534"/>
      <c r="E31" s="3482">
        <v>0</v>
      </c>
      <c r="F31" s="1534"/>
      <c r="G31" s="3482">
        <f t="shared" si="0"/>
        <v>0</v>
      </c>
      <c r="H31" s="3482"/>
      <c r="I31" s="3482">
        <v>1005000</v>
      </c>
      <c r="J31" s="1534"/>
      <c r="K31" s="3482">
        <v>1720000</v>
      </c>
      <c r="L31" s="1534"/>
      <c r="M31" s="3482">
        <f>ROUND(SUM(C31)-SUM(K31)+SUM(G31),0)</f>
        <v>3818761</v>
      </c>
      <c r="N31" s="631"/>
      <c r="O31" s="1579"/>
      <c r="P31" s="631"/>
      <c r="Q31" s="3482">
        <v>30944</v>
      </c>
      <c r="R31" s="3482"/>
      <c r="S31" s="3482">
        <v>101730</v>
      </c>
      <c r="T31" s="620" t="s">
        <v>14</v>
      </c>
      <c r="U31" s="794" t="s">
        <v>14</v>
      </c>
      <c r="V31" s="710"/>
      <c r="W31" s="711"/>
    </row>
    <row r="32" spans="1:23">
      <c r="C32" s="3482"/>
      <c r="D32" s="794"/>
      <c r="E32" s="3481"/>
      <c r="F32" s="794"/>
      <c r="G32" s="3482" t="s">
        <v>14</v>
      </c>
      <c r="H32" s="3481"/>
      <c r="I32" s="3481"/>
      <c r="J32" s="794"/>
      <c r="K32" s="3481"/>
      <c r="L32" s="794"/>
      <c r="M32" s="3482" t="s">
        <v>14</v>
      </c>
      <c r="N32" s="631"/>
      <c r="O32" s="1579"/>
      <c r="P32" s="631"/>
      <c r="Q32" s="3482"/>
      <c r="R32" s="3482"/>
      <c r="S32" s="3482"/>
      <c r="T32" s="620" t="s">
        <v>14</v>
      </c>
      <c r="U32" s="622"/>
      <c r="V32" s="710"/>
      <c r="W32" s="711"/>
    </row>
    <row r="33" spans="1:24">
      <c r="A33" s="616" t="s">
        <v>399</v>
      </c>
      <c r="C33" s="3482"/>
      <c r="D33" s="794"/>
      <c r="E33" s="3481"/>
      <c r="F33" s="794"/>
      <c r="G33" s="3482" t="s">
        <v>14</v>
      </c>
      <c r="H33" s="3481"/>
      <c r="I33" s="3481"/>
      <c r="J33" s="794"/>
      <c r="K33" s="3481"/>
      <c r="L33" s="794"/>
      <c r="M33" s="3482" t="s">
        <v>14</v>
      </c>
      <c r="N33" s="631"/>
      <c r="O33" s="1579"/>
      <c r="P33" s="631"/>
      <c r="Q33" s="3482"/>
      <c r="R33" s="3482"/>
      <c r="S33" s="3482"/>
      <c r="U33" s="622"/>
      <c r="V33" s="710"/>
      <c r="W33" s="620"/>
    </row>
    <row r="34" spans="1:24">
      <c r="A34" s="616" t="s">
        <v>1155</v>
      </c>
      <c r="C34" s="3482">
        <v>2692870</v>
      </c>
      <c r="D34" s="1534"/>
      <c r="E34" s="3482">
        <v>0</v>
      </c>
      <c r="F34" s="1534"/>
      <c r="G34" s="3482">
        <f t="shared" si="0"/>
        <v>0</v>
      </c>
      <c r="H34" s="3482"/>
      <c r="I34" s="3482">
        <v>0</v>
      </c>
      <c r="J34" s="1534"/>
      <c r="K34" s="3482">
        <v>202816</v>
      </c>
      <c r="L34" s="1534" t="s">
        <v>14</v>
      </c>
      <c r="M34" s="3482">
        <f>ROUND(SUM(C34)-SUM(K34)+SUM(G34),0)</f>
        <v>2490054</v>
      </c>
      <c r="N34" s="631"/>
      <c r="O34" s="1579"/>
      <c r="P34" s="631"/>
      <c r="Q34" s="3482">
        <v>19795</v>
      </c>
      <c r="R34" s="3482" t="s">
        <v>14</v>
      </c>
      <c r="S34" s="3482">
        <v>47299</v>
      </c>
      <c r="T34" s="620"/>
      <c r="U34" s="794"/>
      <c r="V34" s="710"/>
      <c r="W34" s="711"/>
    </row>
    <row r="35" spans="1:24">
      <c r="A35" s="616" t="s">
        <v>400</v>
      </c>
      <c r="C35" s="3482">
        <v>83003304</v>
      </c>
      <c r="D35" s="1534"/>
      <c r="E35" s="3482">
        <v>0</v>
      </c>
      <c r="F35" s="1534"/>
      <c r="G35" s="3482">
        <f t="shared" si="0"/>
        <v>0</v>
      </c>
      <c r="H35" s="3482"/>
      <c r="I35" s="3482">
        <v>0</v>
      </c>
      <c r="J35" s="1534"/>
      <c r="K35" s="3482">
        <v>7383811</v>
      </c>
      <c r="L35" s="1534"/>
      <c r="M35" s="3482">
        <f>ROUND(SUM(C35)-SUM(K35)+SUM(G35),0)</f>
        <v>75619493</v>
      </c>
      <c r="N35" s="631"/>
      <c r="O35" s="1579"/>
      <c r="P35" s="631"/>
      <c r="Q35" s="3482">
        <v>334942</v>
      </c>
      <c r="R35" s="3482"/>
      <c r="S35" s="3482">
        <v>1386506</v>
      </c>
      <c r="T35" s="620"/>
      <c r="U35" s="794"/>
      <c r="V35" s="710"/>
      <c r="W35" s="711"/>
      <c r="X35" s="620"/>
    </row>
    <row r="36" spans="1:24">
      <c r="C36" s="3482"/>
      <c r="D36" s="794"/>
      <c r="E36" s="3481"/>
      <c r="F36" s="794"/>
      <c r="G36" s="3482" t="s">
        <v>14</v>
      </c>
      <c r="H36" s="3481"/>
      <c r="I36" s="3481"/>
      <c r="J36" s="794"/>
      <c r="K36" s="3481"/>
      <c r="L36" s="794"/>
      <c r="M36" s="3482" t="s">
        <v>14</v>
      </c>
      <c r="N36" s="631"/>
      <c r="O36" s="1579"/>
      <c r="P36" s="631"/>
      <c r="Q36" s="3482"/>
      <c r="R36" s="3482"/>
      <c r="S36" s="3482"/>
      <c r="U36" s="622"/>
      <c r="V36" s="710"/>
      <c r="W36" s="711"/>
    </row>
    <row r="37" spans="1:24">
      <c r="A37" s="616" t="s">
        <v>401</v>
      </c>
      <c r="C37" s="3482"/>
      <c r="D37" s="794"/>
      <c r="E37" s="3481"/>
      <c r="F37" s="794"/>
      <c r="G37" s="3482" t="s">
        <v>14</v>
      </c>
      <c r="H37" s="3481"/>
      <c r="I37" s="3481"/>
      <c r="J37" s="794"/>
      <c r="K37" s="3481"/>
      <c r="L37" s="794"/>
      <c r="M37" s="3482" t="s">
        <v>14</v>
      </c>
      <c r="N37" s="631"/>
      <c r="O37" s="1579"/>
      <c r="P37" s="631"/>
      <c r="Q37" s="3482"/>
      <c r="R37" s="3482"/>
      <c r="S37" s="3482"/>
      <c r="U37" s="1820"/>
      <c r="V37" s="710"/>
      <c r="W37" s="620"/>
    </row>
    <row r="38" spans="1:24">
      <c r="A38" s="616" t="s">
        <v>1205</v>
      </c>
      <c r="C38" s="3482">
        <v>4115000</v>
      </c>
      <c r="D38" s="1534"/>
      <c r="E38" s="3482">
        <v>0</v>
      </c>
      <c r="F38" s="1534"/>
      <c r="G38" s="3482">
        <f t="shared" si="0"/>
        <v>0</v>
      </c>
      <c r="H38" s="3482"/>
      <c r="I38" s="3482">
        <v>0</v>
      </c>
      <c r="J38" s="1534"/>
      <c r="K38" s="3482">
        <v>0</v>
      </c>
      <c r="L38" s="1534"/>
      <c r="M38" s="3482">
        <f>ROUND(SUM(C38)-SUM(K38)+SUM(G38),0)</f>
        <v>4115000</v>
      </c>
      <c r="N38" s="631"/>
      <c r="O38" s="1579"/>
      <c r="P38" s="631"/>
      <c r="Q38" s="3482">
        <v>0</v>
      </c>
      <c r="R38" s="3482"/>
      <c r="S38" s="3482">
        <v>0</v>
      </c>
      <c r="T38" s="620"/>
      <c r="U38" s="794"/>
      <c r="V38" s="710"/>
      <c r="W38" s="711"/>
    </row>
    <row r="39" spans="1:24">
      <c r="A39" s="616" t="s">
        <v>897</v>
      </c>
      <c r="C39" s="3482">
        <v>1795000</v>
      </c>
      <c r="D39" s="1534"/>
      <c r="E39" s="3482">
        <v>0</v>
      </c>
      <c r="F39" s="1534"/>
      <c r="G39" s="3482">
        <f t="shared" si="0"/>
        <v>0</v>
      </c>
      <c r="H39" s="3482"/>
      <c r="I39" s="3482">
        <v>1280000</v>
      </c>
      <c r="J39" s="1534"/>
      <c r="K39" s="3482">
        <v>1280000</v>
      </c>
      <c r="L39" s="1534"/>
      <c r="M39" s="3482">
        <f>ROUND(SUM(C39)-SUM(K39)+SUM(G39),0)</f>
        <v>515000</v>
      </c>
      <c r="N39" s="631"/>
      <c r="O39" s="1579"/>
      <c r="P39" s="631"/>
      <c r="Q39" s="3482">
        <v>0</v>
      </c>
      <c r="R39" s="3482"/>
      <c r="S39" s="3482">
        <v>0</v>
      </c>
      <c r="T39" s="620"/>
      <c r="U39" s="794"/>
      <c r="V39" s="710"/>
      <c r="W39" s="711"/>
    </row>
    <row r="40" spans="1:24">
      <c r="C40" s="3482"/>
      <c r="D40" s="794"/>
      <c r="E40" s="3481"/>
      <c r="F40" s="794"/>
      <c r="G40" s="3482" t="s">
        <v>14</v>
      </c>
      <c r="H40" s="3481"/>
      <c r="I40" s="3481"/>
      <c r="J40" s="794"/>
      <c r="K40" s="3481"/>
      <c r="L40" s="794"/>
      <c r="M40" s="3482" t="s">
        <v>14</v>
      </c>
      <c r="N40" s="631"/>
      <c r="O40" s="1579"/>
      <c r="P40" s="631"/>
      <c r="Q40" s="3482"/>
      <c r="R40" s="3482"/>
      <c r="S40" s="3482"/>
      <c r="U40" s="1820"/>
      <c r="V40" s="710"/>
      <c r="W40" s="711"/>
    </row>
    <row r="41" spans="1:24">
      <c r="A41" s="616" t="s">
        <v>898</v>
      </c>
      <c r="C41" s="3482">
        <v>0</v>
      </c>
      <c r="D41" s="1534"/>
      <c r="E41" s="3482">
        <v>0</v>
      </c>
      <c r="F41" s="1534"/>
      <c r="G41" s="3482">
        <f t="shared" si="0"/>
        <v>0</v>
      </c>
      <c r="H41" s="3482"/>
      <c r="I41" s="3482">
        <v>0</v>
      </c>
      <c r="J41" s="1534"/>
      <c r="K41" s="3482">
        <v>0</v>
      </c>
      <c r="L41" s="1534"/>
      <c r="M41" s="3482">
        <f>ROUND(SUM(C41)-SUM(K41)+SUM(G41),0)</f>
        <v>0</v>
      </c>
      <c r="N41" s="631"/>
      <c r="O41" s="1579"/>
      <c r="P41" s="631"/>
      <c r="Q41" s="3482">
        <v>0</v>
      </c>
      <c r="R41" s="3482"/>
      <c r="S41" s="3482">
        <v>0</v>
      </c>
      <c r="T41" s="620"/>
      <c r="U41" s="794"/>
      <c r="V41" s="710"/>
      <c r="W41" s="711"/>
    </row>
    <row r="42" spans="1:24">
      <c r="C42" s="3482"/>
      <c r="D42" s="1534"/>
      <c r="E42" s="3482"/>
      <c r="F42" s="1534"/>
      <c r="G42" s="3482" t="s">
        <v>14</v>
      </c>
      <c r="H42" s="3482"/>
      <c r="I42" s="3482"/>
      <c r="J42" s="1534"/>
      <c r="K42" s="3482"/>
      <c r="L42" s="1534"/>
      <c r="M42" s="3482" t="s">
        <v>14</v>
      </c>
      <c r="N42" s="631"/>
      <c r="O42" s="1579"/>
      <c r="P42" s="631"/>
      <c r="Q42" s="3482"/>
      <c r="R42" s="3482"/>
      <c r="S42" s="3482"/>
      <c r="U42" s="1820"/>
      <c r="V42" s="710"/>
      <c r="W42" s="711"/>
    </row>
    <row r="43" spans="1:24">
      <c r="A43" s="616" t="s">
        <v>402</v>
      </c>
      <c r="C43" s="3482">
        <v>13485946</v>
      </c>
      <c r="D43" s="1534"/>
      <c r="E43" s="3482">
        <v>0</v>
      </c>
      <c r="F43" s="1534"/>
      <c r="G43" s="3482">
        <f t="shared" si="0"/>
        <v>0</v>
      </c>
      <c r="H43" s="3482"/>
      <c r="I43" s="3482">
        <v>0</v>
      </c>
      <c r="J43" s="1534"/>
      <c r="K43" s="3482">
        <v>833700</v>
      </c>
      <c r="L43" s="1534"/>
      <c r="M43" s="3482">
        <f>ROUND(SUM(C43)-SUM(K43)+SUM(G43),0)</f>
        <v>12652246</v>
      </c>
      <c r="N43" s="631"/>
      <c r="O43" s="1579"/>
      <c r="P43" s="631"/>
      <c r="Q43" s="3482">
        <v>25134</v>
      </c>
      <c r="R43" s="3482"/>
      <c r="S43" s="3482">
        <v>221977</v>
      </c>
      <c r="T43" s="620"/>
      <c r="U43" s="794"/>
      <c r="V43" s="710"/>
      <c r="W43" s="711"/>
    </row>
    <row r="44" spans="1:24">
      <c r="C44" s="3482"/>
      <c r="D44" s="1534"/>
      <c r="E44" s="3482"/>
      <c r="F44" s="1534"/>
      <c r="G44" s="3482" t="s">
        <v>14</v>
      </c>
      <c r="H44" s="3482"/>
      <c r="I44" s="3482"/>
      <c r="J44" s="1534"/>
      <c r="K44" s="3482"/>
      <c r="L44" s="1534"/>
      <c r="M44" s="3482" t="s">
        <v>14</v>
      </c>
      <c r="N44" s="631"/>
      <c r="O44" s="1579"/>
      <c r="P44" s="631"/>
      <c r="Q44" s="3482"/>
      <c r="R44" s="3482"/>
      <c r="S44" s="3482"/>
      <c r="U44" s="764"/>
      <c r="V44" s="710"/>
      <c r="W44" s="711"/>
    </row>
    <row r="45" spans="1:24">
      <c r="A45" s="616" t="s">
        <v>403</v>
      </c>
      <c r="C45" s="3482">
        <v>0</v>
      </c>
      <c r="D45" s="1534"/>
      <c r="E45" s="3482">
        <v>0</v>
      </c>
      <c r="F45" s="1534"/>
      <c r="G45" s="3482">
        <f t="shared" si="0"/>
        <v>0</v>
      </c>
      <c r="H45" s="3482"/>
      <c r="I45" s="3482">
        <v>0</v>
      </c>
      <c r="J45" s="1534"/>
      <c r="K45" s="3482">
        <v>0</v>
      </c>
      <c r="L45" s="1534"/>
      <c r="M45" s="3482">
        <f>ROUND(SUM(C45)-SUM(K45)+SUM(G45),0)</f>
        <v>0</v>
      </c>
      <c r="N45" s="631"/>
      <c r="O45" s="1579"/>
      <c r="P45" s="631"/>
      <c r="Q45" s="3482">
        <v>0</v>
      </c>
      <c r="R45" s="3482"/>
      <c r="S45" s="3482">
        <v>0</v>
      </c>
      <c r="T45" s="620"/>
      <c r="U45" s="794"/>
      <c r="V45" s="710"/>
      <c r="W45" s="711"/>
    </row>
    <row r="46" spans="1:24">
      <c r="C46" s="3482"/>
      <c r="D46" s="1534"/>
      <c r="E46" s="3482"/>
      <c r="F46" s="1534"/>
      <c r="G46" s="3482" t="s">
        <v>14</v>
      </c>
      <c r="H46" s="3482"/>
      <c r="I46" s="3482"/>
      <c r="J46" s="1534"/>
      <c r="K46" s="3482"/>
      <c r="L46" s="1534"/>
      <c r="M46" s="3482" t="s">
        <v>14</v>
      </c>
      <c r="N46" s="631"/>
      <c r="O46" s="1579"/>
      <c r="P46" s="631"/>
      <c r="Q46" s="3482"/>
      <c r="R46" s="3482"/>
      <c r="S46" s="3482"/>
      <c r="U46" s="622"/>
      <c r="V46" s="710"/>
      <c r="W46" s="711"/>
    </row>
    <row r="47" spans="1:24">
      <c r="A47" s="616" t="s">
        <v>404</v>
      </c>
      <c r="C47" s="3482"/>
      <c r="D47" s="1535"/>
      <c r="E47" s="3483"/>
      <c r="F47" s="1535"/>
      <c r="G47" s="3482" t="s">
        <v>14</v>
      </c>
      <c r="H47" s="3483"/>
      <c r="I47" s="3483"/>
      <c r="J47" s="1535"/>
      <c r="K47" s="3483" t="s">
        <v>14</v>
      </c>
      <c r="L47" s="1535"/>
      <c r="M47" s="3482" t="s">
        <v>14</v>
      </c>
      <c r="N47" s="631"/>
      <c r="O47" s="1579"/>
      <c r="P47" s="631"/>
      <c r="Q47" s="3482"/>
      <c r="R47" s="3482"/>
      <c r="S47" s="3482"/>
      <c r="U47" s="1820"/>
      <c r="V47" s="710"/>
      <c r="W47" s="711"/>
    </row>
    <row r="48" spans="1:24">
      <c r="A48" s="616" t="s">
        <v>405</v>
      </c>
      <c r="C48" s="3482">
        <v>562450682</v>
      </c>
      <c r="D48" s="1535"/>
      <c r="E48" s="3483">
        <v>0</v>
      </c>
      <c r="F48" s="1535"/>
      <c r="G48" s="3482">
        <f t="shared" si="0"/>
        <v>0</v>
      </c>
      <c r="H48" s="3483"/>
      <c r="I48" s="3483">
        <v>0</v>
      </c>
      <c r="J48" s="1535"/>
      <c r="K48" s="3483">
        <v>0</v>
      </c>
      <c r="L48" s="1535" t="s">
        <v>14</v>
      </c>
      <c r="M48" s="3482">
        <f t="shared" ref="M48:M53" si="1">ROUND(SUM(C48)-SUM(K48)+SUM(G48),0)</f>
        <v>562450682</v>
      </c>
      <c r="N48" s="631"/>
      <c r="O48" s="1579"/>
      <c r="P48" s="631"/>
      <c r="Q48" s="3482">
        <v>4898911</v>
      </c>
      <c r="R48" s="3482"/>
      <c r="S48" s="3482">
        <v>7956515</v>
      </c>
      <c r="T48" s="1580"/>
      <c r="U48" s="794"/>
      <c r="V48" s="710"/>
      <c r="W48" s="711"/>
    </row>
    <row r="49" spans="1:23">
      <c r="A49" s="616" t="s">
        <v>406</v>
      </c>
      <c r="C49" s="3482">
        <v>7620311</v>
      </c>
      <c r="D49" s="1535"/>
      <c r="E49" s="3483">
        <v>0</v>
      </c>
      <c r="F49" s="1535"/>
      <c r="G49" s="3482">
        <f t="shared" si="0"/>
        <v>0</v>
      </c>
      <c r="H49" s="3483"/>
      <c r="I49" s="3483">
        <v>0</v>
      </c>
      <c r="J49" s="1535" t="s">
        <v>14</v>
      </c>
      <c r="K49" s="3483">
        <v>0</v>
      </c>
      <c r="L49" s="1535"/>
      <c r="M49" s="3482">
        <f t="shared" si="1"/>
        <v>7620311</v>
      </c>
      <c r="N49" s="631"/>
      <c r="O49" s="1579"/>
      <c r="P49" s="631"/>
      <c r="Q49" s="3482">
        <v>77367</v>
      </c>
      <c r="R49" s="3482"/>
      <c r="S49" s="3482">
        <v>150656</v>
      </c>
      <c r="T49" s="1580"/>
      <c r="U49" s="794"/>
      <c r="V49" s="710"/>
      <c r="W49" s="711"/>
    </row>
    <row r="50" spans="1:23">
      <c r="A50" s="616" t="s">
        <v>407</v>
      </c>
      <c r="C50" s="3482">
        <v>40464691</v>
      </c>
      <c r="D50" s="1535"/>
      <c r="E50" s="3483">
        <v>0</v>
      </c>
      <c r="F50" s="1535"/>
      <c r="G50" s="3482">
        <f t="shared" si="0"/>
        <v>0</v>
      </c>
      <c r="H50" s="3483"/>
      <c r="I50" s="3483">
        <v>0</v>
      </c>
      <c r="J50" s="1535"/>
      <c r="K50" s="3483">
        <v>0</v>
      </c>
      <c r="L50" s="1535"/>
      <c r="M50" s="3482">
        <f t="shared" si="1"/>
        <v>40464691</v>
      </c>
      <c r="N50" s="631"/>
      <c r="O50" s="1579"/>
      <c r="P50" s="631"/>
      <c r="Q50" s="3482">
        <v>159078</v>
      </c>
      <c r="R50" s="3482"/>
      <c r="S50" s="3482">
        <v>543569</v>
      </c>
      <c r="T50" s="1580"/>
      <c r="U50" s="794"/>
      <c r="V50" s="710"/>
      <c r="W50" s="711"/>
    </row>
    <row r="51" spans="1:23">
      <c r="A51" s="616" t="s">
        <v>408</v>
      </c>
      <c r="C51" s="3482">
        <v>90201189</v>
      </c>
      <c r="D51" s="1535"/>
      <c r="E51" s="3483">
        <v>0</v>
      </c>
      <c r="F51" s="1535"/>
      <c r="G51" s="3482">
        <f t="shared" si="0"/>
        <v>0</v>
      </c>
      <c r="H51" s="3483"/>
      <c r="I51" s="3483">
        <v>0</v>
      </c>
      <c r="J51" s="1535"/>
      <c r="K51" s="3483">
        <v>0</v>
      </c>
      <c r="L51" s="1535"/>
      <c r="M51" s="3482">
        <f t="shared" si="1"/>
        <v>90201189</v>
      </c>
      <c r="N51" s="631"/>
      <c r="O51" s="1579"/>
      <c r="P51" s="631"/>
      <c r="Q51" s="3482">
        <v>291783</v>
      </c>
      <c r="R51" s="3482"/>
      <c r="S51" s="3482">
        <v>1321629</v>
      </c>
      <c r="T51" s="1580"/>
      <c r="U51" s="794"/>
      <c r="V51" s="710"/>
      <c r="W51" s="711"/>
    </row>
    <row r="52" spans="1:23">
      <c r="A52" s="616" t="s">
        <v>409</v>
      </c>
      <c r="C52" s="3482">
        <v>13929540</v>
      </c>
      <c r="D52" s="1535"/>
      <c r="E52" s="3483">
        <v>0</v>
      </c>
      <c r="F52" s="1535"/>
      <c r="G52" s="3482">
        <f t="shared" si="0"/>
        <v>0</v>
      </c>
      <c r="H52" s="3483"/>
      <c r="I52" s="3483">
        <v>0</v>
      </c>
      <c r="J52" s="1535"/>
      <c r="K52" s="3483">
        <v>0</v>
      </c>
      <c r="L52" s="1535"/>
      <c r="M52" s="3482">
        <f t="shared" si="1"/>
        <v>13929540</v>
      </c>
      <c r="N52" s="631"/>
      <c r="O52" s="1579"/>
      <c r="P52" s="631"/>
      <c r="Q52" s="3482">
        <v>228616</v>
      </c>
      <c r="R52" s="3482"/>
      <c r="S52" s="3482">
        <v>271912</v>
      </c>
      <c r="T52" s="1580"/>
      <c r="U52" s="794"/>
      <c r="V52" s="710"/>
      <c r="W52" s="711"/>
    </row>
    <row r="53" spans="1:23">
      <c r="A53" s="616" t="s">
        <v>803</v>
      </c>
      <c r="C53" s="3482">
        <v>691109424</v>
      </c>
      <c r="D53" s="1534"/>
      <c r="E53" s="3482">
        <v>0</v>
      </c>
      <c r="F53" s="1534"/>
      <c r="G53" s="3482">
        <f t="shared" si="0"/>
        <v>0</v>
      </c>
      <c r="H53" s="3482"/>
      <c r="I53" s="3482">
        <v>0</v>
      </c>
      <c r="J53" s="1534" t="s">
        <v>14</v>
      </c>
      <c r="K53" s="3482">
        <v>0</v>
      </c>
      <c r="L53" s="1534"/>
      <c r="M53" s="3482">
        <f t="shared" si="1"/>
        <v>691109424</v>
      </c>
      <c r="N53" s="631"/>
      <c r="O53" s="1579"/>
      <c r="P53" s="631"/>
      <c r="Q53" s="3482">
        <v>4965225</v>
      </c>
      <c r="R53" s="3482"/>
      <c r="S53" s="3482">
        <v>10070016</v>
      </c>
      <c r="T53" s="1580"/>
      <c r="U53" s="794"/>
      <c r="V53" s="710"/>
      <c r="W53" s="711"/>
    </row>
    <row r="54" spans="1:23">
      <c r="C54" s="3482"/>
      <c r="D54" s="1534"/>
      <c r="E54" s="3482"/>
      <c r="F54" s="1534"/>
      <c r="G54" s="3482" t="s">
        <v>14</v>
      </c>
      <c r="H54" s="3482"/>
      <c r="I54" s="3482"/>
      <c r="J54" s="1534"/>
      <c r="K54" s="3482"/>
      <c r="L54" s="1534"/>
      <c r="M54" s="3482" t="s">
        <v>14</v>
      </c>
      <c r="N54" s="631"/>
      <c r="O54" s="1579"/>
      <c r="P54" s="631"/>
      <c r="Q54" s="3482"/>
      <c r="R54" s="3482"/>
      <c r="S54" s="3482"/>
      <c r="U54" s="622"/>
      <c r="V54" s="710"/>
      <c r="W54" s="711"/>
    </row>
    <row r="55" spans="1:23">
      <c r="A55" s="616" t="s">
        <v>804</v>
      </c>
      <c r="C55" s="3482"/>
      <c r="D55" s="1534"/>
      <c r="E55" s="3482"/>
      <c r="F55" s="1534"/>
      <c r="G55" s="3482" t="s">
        <v>14</v>
      </c>
      <c r="H55" s="3482"/>
      <c r="I55" s="3482"/>
      <c r="J55" s="1534"/>
      <c r="K55" s="3482"/>
      <c r="L55" s="1534"/>
      <c r="M55" s="3482" t="s">
        <v>14</v>
      </c>
      <c r="N55" s="631"/>
      <c r="O55" s="1579"/>
      <c r="P55" s="631"/>
      <c r="Q55" s="3482"/>
      <c r="R55" s="3482"/>
      <c r="S55" s="3482"/>
      <c r="U55" s="1820"/>
      <c r="V55" s="710"/>
      <c r="W55" s="620"/>
    </row>
    <row r="56" spans="1:23">
      <c r="A56" s="616" t="s">
        <v>899</v>
      </c>
      <c r="C56" s="3482">
        <v>357668</v>
      </c>
      <c r="D56" s="1534"/>
      <c r="E56" s="3482">
        <v>0</v>
      </c>
      <c r="F56" s="1534"/>
      <c r="G56" s="3482">
        <f t="shared" si="0"/>
        <v>0</v>
      </c>
      <c r="H56" s="3482"/>
      <c r="I56" s="3482">
        <v>0</v>
      </c>
      <c r="J56" s="1534"/>
      <c r="K56" s="3482">
        <v>0</v>
      </c>
      <c r="L56" s="1534"/>
      <c r="M56" s="3482">
        <f>ROUND(SUM(C56)-SUM(K56)+SUM(G56),0)</f>
        <v>357668</v>
      </c>
      <c r="N56" s="631"/>
      <c r="O56" s="1579"/>
      <c r="P56" s="631"/>
      <c r="Q56" s="3482">
        <v>7665</v>
      </c>
      <c r="R56" s="3482"/>
      <c r="S56" s="3482">
        <v>8101</v>
      </c>
      <c r="T56" s="620"/>
      <c r="U56" s="794"/>
      <c r="V56" s="710"/>
      <c r="W56" s="711"/>
    </row>
    <row r="57" spans="1:23">
      <c r="A57" s="902" t="s">
        <v>872</v>
      </c>
      <c r="C57" s="3482">
        <v>1563392</v>
      </c>
      <c r="D57" s="1534"/>
      <c r="E57" s="3482">
        <v>0</v>
      </c>
      <c r="F57" s="1534"/>
      <c r="G57" s="3482">
        <f t="shared" si="0"/>
        <v>0</v>
      </c>
      <c r="H57" s="3482"/>
      <c r="I57" s="3482">
        <v>0</v>
      </c>
      <c r="J57" s="1534"/>
      <c r="K57" s="3482">
        <v>393136</v>
      </c>
      <c r="L57" s="1534"/>
      <c r="M57" s="3482">
        <f>ROUND(SUM(C57)-SUM(K57)+SUM(G57),0)</f>
        <v>1170256</v>
      </c>
      <c r="N57" s="631"/>
      <c r="O57" s="1579"/>
      <c r="P57" s="631"/>
      <c r="Q57" s="3738">
        <v>0</v>
      </c>
      <c r="R57" s="3738"/>
      <c r="S57" s="3738">
        <v>37391</v>
      </c>
      <c r="T57" s="620"/>
      <c r="U57" s="794"/>
      <c r="V57" s="710"/>
      <c r="W57" s="711"/>
    </row>
    <row r="58" spans="1:23" ht="13.5" customHeight="1">
      <c r="C58" s="3482"/>
      <c r="D58" s="1534"/>
      <c r="E58" s="3482"/>
      <c r="F58" s="1534"/>
      <c r="G58" s="3482" t="s">
        <v>14</v>
      </c>
      <c r="H58" s="3482"/>
      <c r="I58" s="3482"/>
      <c r="J58" s="1534"/>
      <c r="K58" s="3482"/>
      <c r="L58" s="1534"/>
      <c r="M58" s="3482" t="s">
        <v>14</v>
      </c>
      <c r="N58" s="631"/>
      <c r="O58" s="1579"/>
      <c r="P58" s="631"/>
      <c r="Q58" s="3482"/>
      <c r="R58" s="3482"/>
      <c r="S58" s="3482"/>
      <c r="U58" s="622"/>
      <c r="V58" s="710"/>
      <c r="W58" s="711"/>
    </row>
    <row r="59" spans="1:23">
      <c r="A59" s="616" t="s">
        <v>1190</v>
      </c>
      <c r="C59" s="3482">
        <v>306942604</v>
      </c>
      <c r="D59" s="1534"/>
      <c r="E59" s="3482">
        <v>0</v>
      </c>
      <c r="F59" s="1534"/>
      <c r="G59" s="3482">
        <f t="shared" si="0"/>
        <v>0</v>
      </c>
      <c r="H59" s="3482"/>
      <c r="I59" s="3482">
        <v>0</v>
      </c>
      <c r="J59" s="1534"/>
      <c r="K59" s="3482">
        <v>0</v>
      </c>
      <c r="L59" s="1534"/>
      <c r="M59" s="3482">
        <f>ROUND(SUM(C59)-SUM(K59)+SUM(G59),0)</f>
        <v>306942604</v>
      </c>
      <c r="N59" s="631"/>
      <c r="O59" s="1579"/>
      <c r="P59" s="631"/>
      <c r="Q59" s="3482">
        <v>4191535</v>
      </c>
      <c r="R59" s="3482"/>
      <c r="S59" s="3482">
        <v>5959880</v>
      </c>
      <c r="T59" s="620"/>
      <c r="U59" s="794"/>
      <c r="V59" s="710"/>
      <c r="W59" s="711"/>
    </row>
    <row r="60" spans="1:23" ht="13.5" customHeight="1">
      <c r="C60" s="3482"/>
      <c r="D60" s="1534"/>
      <c r="E60" s="3482"/>
      <c r="F60" s="1534"/>
      <c r="G60" s="3482" t="s">
        <v>14</v>
      </c>
      <c r="H60" s="3482"/>
      <c r="I60" s="3482"/>
      <c r="J60" s="1534"/>
      <c r="K60" s="3482"/>
      <c r="L60" s="1534"/>
      <c r="M60" s="3482" t="s">
        <v>14</v>
      </c>
      <c r="N60" s="631"/>
      <c r="O60" s="1579"/>
      <c r="P60" s="631"/>
      <c r="Q60" s="3482"/>
      <c r="R60" s="3482"/>
      <c r="S60" s="3482"/>
      <c r="U60" s="622"/>
      <c r="V60" s="710"/>
      <c r="W60" s="711"/>
    </row>
    <row r="61" spans="1:23">
      <c r="A61" s="616" t="s">
        <v>410</v>
      </c>
      <c r="C61" s="3482"/>
      <c r="D61" s="1534"/>
      <c r="E61" s="3482"/>
      <c r="F61" s="1534"/>
      <c r="G61" s="3482"/>
      <c r="H61" s="3482"/>
      <c r="I61" s="3482"/>
      <c r="J61" s="1534"/>
      <c r="K61" s="3482"/>
      <c r="L61" s="1534"/>
      <c r="M61" s="3482" t="s">
        <v>14</v>
      </c>
      <c r="N61" s="631"/>
      <c r="O61" s="1579"/>
      <c r="P61" s="631"/>
      <c r="Q61" s="3482"/>
      <c r="R61" s="3482"/>
      <c r="S61" s="3482"/>
      <c r="U61" s="1820"/>
      <c r="V61" s="710"/>
      <c r="W61" s="620"/>
    </row>
    <row r="62" spans="1:23">
      <c r="A62" s="616" t="s">
        <v>407</v>
      </c>
      <c r="C62" s="3482">
        <v>1648621</v>
      </c>
      <c r="D62" s="1534"/>
      <c r="E62" s="3482">
        <v>0</v>
      </c>
      <c r="F62" s="1534"/>
      <c r="G62" s="3482">
        <f t="shared" si="0"/>
        <v>0</v>
      </c>
      <c r="H62" s="3482"/>
      <c r="I62" s="3482">
        <v>0</v>
      </c>
      <c r="J62" s="1534"/>
      <c r="K62" s="3482">
        <v>837811</v>
      </c>
      <c r="L62" s="1534"/>
      <c r="M62" s="3482">
        <f>ROUND(SUM(C62)-SUM(K62)+SUM(G62),0)</f>
        <v>810810</v>
      </c>
      <c r="N62" s="631"/>
      <c r="O62" s="1579"/>
      <c r="P62" s="631"/>
      <c r="Q62" s="3482">
        <v>0</v>
      </c>
      <c r="R62" s="3482"/>
      <c r="S62" s="3482">
        <v>40662</v>
      </c>
      <c r="T62" s="620"/>
      <c r="U62" s="794"/>
      <c r="V62" s="710"/>
      <c r="W62" s="711"/>
    </row>
    <row r="63" spans="1:23">
      <c r="A63" s="616" t="s">
        <v>411</v>
      </c>
      <c r="C63" s="3482">
        <v>0</v>
      </c>
      <c r="D63" s="1534"/>
      <c r="E63" s="3482">
        <v>0</v>
      </c>
      <c r="F63" s="1534"/>
      <c r="G63" s="3482">
        <f t="shared" si="0"/>
        <v>0</v>
      </c>
      <c r="H63" s="3482"/>
      <c r="I63" s="3482">
        <v>0</v>
      </c>
      <c r="J63" s="1534"/>
      <c r="K63" s="1534">
        <v>0</v>
      </c>
      <c r="L63" s="1534"/>
      <c r="M63" s="3482">
        <f>ROUND(SUM(C63)-SUM(K63)+SUM(G63),0)</f>
        <v>0</v>
      </c>
      <c r="N63" s="631"/>
      <c r="O63" s="1579"/>
      <c r="P63" s="631"/>
      <c r="Q63" s="3482">
        <v>0</v>
      </c>
      <c r="R63" s="3482"/>
      <c r="S63" s="3482">
        <v>0</v>
      </c>
      <c r="T63" s="620"/>
      <c r="U63" s="794"/>
      <c r="V63" s="710"/>
      <c r="W63" s="711"/>
    </row>
    <row r="64" spans="1:23">
      <c r="B64" s="631"/>
      <c r="C64" s="3488"/>
      <c r="D64" s="1581"/>
      <c r="E64" s="3484"/>
      <c r="F64" s="1581"/>
      <c r="G64" s="3484"/>
      <c r="H64" s="3484"/>
      <c r="I64" s="3484"/>
      <c r="J64" s="3484"/>
      <c r="K64" s="3484"/>
      <c r="L64" s="3484"/>
      <c r="M64" s="3484"/>
      <c r="N64" s="631"/>
      <c r="O64" s="1579"/>
      <c r="P64" s="631"/>
      <c r="Q64" s="1582"/>
      <c r="R64" s="631"/>
      <c r="S64" s="1583"/>
      <c r="T64" s="626"/>
    </row>
    <row r="65" spans="1:23" ht="15" customHeight="1" thickBot="1">
      <c r="A65" s="618" t="s">
        <v>412</v>
      </c>
      <c r="B65" s="1584"/>
      <c r="C65" s="3485">
        <f>ROUND(SUM(C16:C63),2)</f>
        <v>2168969999</v>
      </c>
      <c r="D65" s="2136"/>
      <c r="E65" s="3485">
        <f>ROUND(SUM(E16:E64),2)</f>
        <v>0</v>
      </c>
      <c r="F65" s="2136"/>
      <c r="G65" s="3485">
        <f>ROUND(SUM(G16:G63),2)</f>
        <v>0</v>
      </c>
      <c r="H65" s="1584"/>
      <c r="I65" s="3485">
        <f>ROUND(SUM(I16:I63),2)</f>
        <v>2285000</v>
      </c>
      <c r="J65" s="1584"/>
      <c r="K65" s="3485">
        <f>ROUND(SUM(K16:K63),0)</f>
        <v>23180000</v>
      </c>
      <c r="L65" s="1584"/>
      <c r="M65" s="3485">
        <f>ROUND(SUM(M16:M63),2)</f>
        <v>2145789999</v>
      </c>
      <c r="N65" s="1585"/>
      <c r="O65" s="1586"/>
      <c r="P65" s="1584"/>
      <c r="Q65" s="3485">
        <f>ROUND(SUM(Q16:Q63),2)</f>
        <v>16959705</v>
      </c>
      <c r="R65" s="1584"/>
      <c r="S65" s="3485">
        <f>ROUND(SUM(S16:S63),0)</f>
        <v>33105002</v>
      </c>
      <c r="T65" s="1587"/>
      <c r="U65" s="2136"/>
      <c r="V65" s="765"/>
      <c r="W65" s="765"/>
    </row>
    <row r="66" spans="1:23" ht="15" customHeight="1" thickTop="1">
      <c r="A66" s="1588"/>
      <c r="B66" s="1589"/>
      <c r="C66" s="862"/>
      <c r="D66" s="1587"/>
      <c r="E66" s="1590"/>
      <c r="F66" s="1587"/>
      <c r="G66" s="1590"/>
      <c r="H66" s="1589"/>
      <c r="I66" s="1587"/>
      <c r="J66" s="1589"/>
      <c r="K66" s="1591"/>
      <c r="L66" s="1589"/>
      <c r="M66" s="862"/>
      <c r="N66" s="618"/>
      <c r="O66" s="618"/>
      <c r="P66" s="1589"/>
      <c r="Q66" s="1591"/>
      <c r="R66" s="1589"/>
      <c r="S66" s="1587"/>
      <c r="U66" s="766"/>
      <c r="V66" s="766"/>
      <c r="W66" s="766"/>
    </row>
    <row r="67" spans="1:23">
      <c r="A67" s="3830"/>
      <c r="B67" s="626"/>
      <c r="C67" s="866"/>
      <c r="D67" s="626"/>
      <c r="E67" s="626"/>
      <c r="F67" s="626"/>
      <c r="H67" s="631"/>
      <c r="I67" s="616"/>
      <c r="J67" s="631"/>
      <c r="K67" s="3819" t="s">
        <v>14</v>
      </c>
      <c r="L67" s="631"/>
      <c r="N67" s="626"/>
      <c r="P67" s="712"/>
    </row>
    <row r="68" spans="1:23">
      <c r="A68" s="712"/>
      <c r="C68" s="866" t="s">
        <v>14</v>
      </c>
      <c r="D68" s="626" t="s">
        <v>1172</v>
      </c>
      <c r="E68" s="767"/>
      <c r="F68" s="626"/>
      <c r="G68" s="626"/>
      <c r="H68" s="710"/>
      <c r="I68" s="631"/>
      <c r="J68" s="710"/>
      <c r="K68" s="3480" t="s">
        <v>14</v>
      </c>
      <c r="L68" s="711"/>
      <c r="M68" s="793" t="s">
        <v>14</v>
      </c>
      <c r="O68" s="626"/>
      <c r="P68" s="711"/>
      <c r="Q68" s="1846"/>
      <c r="R68" s="620"/>
      <c r="S68" s="1846"/>
    </row>
    <row r="69" spans="1:23">
      <c r="A69" s="632"/>
      <c r="C69" s="793" t="s">
        <v>14</v>
      </c>
      <c r="E69" s="1592"/>
      <c r="G69" s="630"/>
      <c r="I69" s="622"/>
      <c r="K69" s="622" t="s">
        <v>14</v>
      </c>
      <c r="Q69" s="620"/>
      <c r="S69" s="620"/>
      <c r="T69" s="619"/>
    </row>
    <row r="70" spans="1:23">
      <c r="C70" s="793" t="s">
        <v>14</v>
      </c>
      <c r="E70" s="631"/>
      <c r="G70" s="631"/>
      <c r="K70" s="3909"/>
      <c r="M70" s="794"/>
      <c r="O70" s="626"/>
      <c r="Q70" s="712"/>
    </row>
    <row r="71" spans="1:23">
      <c r="C71" s="793" t="s">
        <v>14</v>
      </c>
      <c r="D71" s="620"/>
      <c r="E71" s="621"/>
      <c r="F71" s="620"/>
      <c r="G71" s="621"/>
      <c r="I71" s="622"/>
      <c r="K71" s="622" t="s">
        <v>14</v>
      </c>
      <c r="M71" s="623"/>
      <c r="O71" s="626"/>
      <c r="Q71" s="627"/>
      <c r="S71" s="620"/>
    </row>
    <row r="72" spans="1:23">
      <c r="C72" s="793" t="s">
        <v>14</v>
      </c>
      <c r="D72" s="620"/>
      <c r="E72" s="621"/>
      <c r="F72" s="620"/>
      <c r="G72" s="711"/>
      <c r="I72" s="622"/>
      <c r="K72" s="622"/>
      <c r="M72" s="863"/>
      <c r="O72" s="626"/>
      <c r="Q72" s="711"/>
      <c r="S72" s="620"/>
    </row>
    <row r="73" spans="1:23">
      <c r="D73" s="620"/>
      <c r="E73" s="621"/>
      <c r="F73" s="620"/>
      <c r="G73" s="709"/>
      <c r="I73" s="622"/>
      <c r="K73" s="622"/>
      <c r="M73" s="794"/>
      <c r="O73" s="626"/>
      <c r="Q73" s="764"/>
      <c r="S73" s="620"/>
    </row>
    <row r="74" spans="1:23">
      <c r="D74" s="620"/>
      <c r="E74" s="621"/>
      <c r="F74" s="620"/>
      <c r="G74" s="621"/>
      <c r="I74" s="622"/>
      <c r="K74" s="622"/>
      <c r="M74" s="623"/>
      <c r="O74" s="626"/>
      <c r="Q74" s="627"/>
      <c r="S74" s="620"/>
      <c r="T74" s="619"/>
    </row>
    <row r="75" spans="1:23">
      <c r="D75" s="620"/>
      <c r="E75" s="621"/>
      <c r="F75" s="620"/>
      <c r="G75" s="621"/>
      <c r="I75" s="622"/>
      <c r="K75" s="622"/>
      <c r="M75" s="623"/>
      <c r="O75" s="626"/>
      <c r="Q75" s="627"/>
      <c r="S75" s="620"/>
    </row>
    <row r="76" spans="1:23">
      <c r="D76" s="620"/>
      <c r="E76" s="621"/>
      <c r="F76" s="620"/>
      <c r="G76" s="711"/>
      <c r="I76" s="622"/>
      <c r="K76" s="622"/>
      <c r="M76" s="863"/>
      <c r="O76" s="626"/>
      <c r="Q76" s="711"/>
      <c r="S76" s="620"/>
    </row>
    <row r="77" spans="1:23">
      <c r="D77" s="620"/>
      <c r="E77" s="621"/>
      <c r="F77" s="620"/>
      <c r="G77" s="709"/>
      <c r="I77" s="622"/>
      <c r="K77" s="622"/>
      <c r="M77" s="794"/>
      <c r="O77" s="626"/>
      <c r="Q77" s="764"/>
      <c r="S77" s="620"/>
    </row>
    <row r="78" spans="1:23">
      <c r="B78" s="626"/>
      <c r="C78" s="866"/>
      <c r="D78" s="768"/>
      <c r="E78" s="769"/>
      <c r="F78" s="768"/>
      <c r="G78" s="769"/>
      <c r="H78" s="626"/>
      <c r="I78" s="770"/>
      <c r="J78" s="626"/>
      <c r="K78" s="770"/>
      <c r="L78" s="626"/>
      <c r="M78" s="864"/>
      <c r="N78" s="626"/>
      <c r="O78" s="626"/>
      <c r="P78" s="626"/>
      <c r="Q78" s="771"/>
      <c r="R78" s="626"/>
      <c r="S78" s="768"/>
    </row>
    <row r="79" spans="1:23" ht="13">
      <c r="A79" s="626"/>
      <c r="B79" s="626"/>
      <c r="C79" s="3489"/>
      <c r="D79" s="625"/>
      <c r="E79" s="772"/>
      <c r="F79" s="625"/>
      <c r="G79" s="772"/>
      <c r="H79" s="624"/>
      <c r="I79" s="628"/>
      <c r="J79" s="624"/>
      <c r="K79" s="628"/>
      <c r="L79" s="624"/>
      <c r="M79" s="865"/>
      <c r="N79" s="624"/>
      <c r="O79" s="624"/>
      <c r="P79" s="624"/>
      <c r="Q79" s="772"/>
      <c r="R79" s="624"/>
      <c r="S79" s="625"/>
    </row>
    <row r="80" spans="1:23" ht="13">
      <c r="A80" s="624"/>
      <c r="C80" s="862"/>
      <c r="D80" s="766"/>
      <c r="E80" s="766"/>
      <c r="F80" s="766"/>
      <c r="G80" s="766"/>
      <c r="H80" s="618"/>
      <c r="I80" s="763"/>
      <c r="J80" s="618"/>
      <c r="K80" s="763"/>
      <c r="L80" s="618"/>
      <c r="M80" s="862"/>
      <c r="N80" s="618"/>
      <c r="O80" s="618"/>
      <c r="P80" s="618"/>
      <c r="Q80" s="766"/>
      <c r="R80" s="618"/>
      <c r="S80" s="766"/>
    </row>
    <row r="81" spans="1:13" ht="13">
      <c r="A81" s="618"/>
    </row>
    <row r="82" spans="1:13">
      <c r="C82" s="3490"/>
      <c r="D82" s="712"/>
      <c r="F82" s="712"/>
    </row>
    <row r="83" spans="1:13">
      <c r="C83" s="3491"/>
      <c r="D83" s="632"/>
      <c r="E83" s="767"/>
      <c r="F83" s="632"/>
      <c r="G83" s="767"/>
      <c r="H83" s="626"/>
      <c r="I83" s="629"/>
      <c r="J83" s="626"/>
      <c r="K83" s="629"/>
      <c r="L83" s="626"/>
      <c r="M83" s="866"/>
    </row>
    <row r="84" spans="1:13">
      <c r="E84" s="1536"/>
      <c r="G84" s="713"/>
    </row>
    <row r="85" spans="1:13">
      <c r="E85" s="1593"/>
      <c r="G85" s="630"/>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Y52"/>
  <sheetViews>
    <sheetView showGridLines="0" zoomScale="80" zoomScaleNormal="60" workbookViewId="0"/>
  </sheetViews>
  <sheetFormatPr defaultColWidth="8.84375" defaultRowHeight="12.5"/>
  <cols>
    <col min="1" max="1" width="3.84375" style="1594" customWidth="1"/>
    <col min="2" max="2" width="43.84375" style="1594" customWidth="1"/>
    <col min="3" max="3" width="2.07421875" style="1594" customWidth="1"/>
    <col min="4" max="4" width="13.84375" style="1594" customWidth="1"/>
    <col min="5" max="5" width="2.07421875" style="1594" customWidth="1"/>
    <col min="6" max="6" width="24" style="1594" bestFit="1" customWidth="1"/>
    <col min="7" max="7" width="2.07421875" style="1594" customWidth="1"/>
    <col min="8" max="8" width="20.07421875" style="1594" customWidth="1"/>
    <col min="9" max="9" width="2.07421875" style="1594" customWidth="1"/>
    <col min="10" max="10" width="17.84375" style="1594" bestFit="1" customWidth="1"/>
    <col min="11" max="11" width="2.07421875" style="1594" customWidth="1"/>
    <col min="12" max="12" width="17.84375" style="1594" bestFit="1" customWidth="1"/>
    <col min="13" max="13" width="2.07421875" style="1594" customWidth="1"/>
    <col min="14" max="14" width="19.84375" style="1594" bestFit="1" customWidth="1"/>
    <col min="15" max="15" width="2.07421875" style="1594" customWidth="1"/>
    <col min="16" max="16" width="18.4609375" style="1594" bestFit="1" customWidth="1"/>
    <col min="17" max="17" width="2.07421875" style="1594" customWidth="1"/>
    <col min="18" max="18" width="19.84375" style="1594" customWidth="1"/>
    <col min="19" max="19" width="2.07421875" style="1594" customWidth="1"/>
    <col min="20" max="20" width="19.84375" style="1594" bestFit="1" customWidth="1"/>
    <col min="21" max="21" width="2.07421875" style="1594" customWidth="1"/>
    <col min="22" max="22" width="20.84375" style="1594" bestFit="1" customWidth="1"/>
    <col min="23" max="23" width="17.07421875" style="1594" customWidth="1"/>
    <col min="24" max="24" width="18.53515625" style="1594" customWidth="1"/>
    <col min="25" max="25" width="35.07421875" style="1594" bestFit="1" customWidth="1"/>
    <col min="26" max="16384" width="8.84375" style="1594"/>
  </cols>
  <sheetData>
    <row r="1" spans="1:23" ht="15.5">
      <c r="B1" s="926" t="s">
        <v>882</v>
      </c>
    </row>
    <row r="2" spans="1:23" ht="15.5">
      <c r="B2" s="2044"/>
      <c r="C2" s="2044"/>
      <c r="D2" s="2044"/>
      <c r="E2" s="2044"/>
      <c r="F2" s="2044"/>
      <c r="G2" s="2044"/>
      <c r="H2" s="2044"/>
      <c r="I2" s="2044"/>
      <c r="J2" s="2044"/>
      <c r="K2" s="2044"/>
      <c r="L2" s="2044"/>
      <c r="M2" s="2044"/>
      <c r="N2" s="2044"/>
      <c r="O2" s="2044"/>
      <c r="P2" s="2044"/>
      <c r="Q2" s="2044"/>
      <c r="R2" s="2044"/>
      <c r="S2" s="2044"/>
      <c r="T2" s="2044"/>
      <c r="U2" s="2044"/>
      <c r="V2" s="2044"/>
      <c r="W2" s="2045"/>
    </row>
    <row r="3" spans="1:23" ht="18">
      <c r="A3" s="1595"/>
      <c r="B3" s="2046" t="s">
        <v>0</v>
      </c>
      <c r="C3" s="2047"/>
      <c r="D3" s="2047"/>
      <c r="E3" s="2047"/>
      <c r="F3" s="2044"/>
      <c r="G3" s="2044"/>
      <c r="H3" s="2044"/>
      <c r="I3" s="2044"/>
      <c r="J3" s="2044"/>
      <c r="K3" s="2044"/>
      <c r="L3" s="2044"/>
      <c r="M3" s="2044"/>
      <c r="N3" s="2044"/>
      <c r="O3" s="2044"/>
      <c r="P3" s="2044"/>
      <c r="Q3" s="2044"/>
      <c r="R3" s="2044"/>
      <c r="S3" s="2044"/>
      <c r="T3" s="2044"/>
      <c r="U3" s="2044"/>
      <c r="V3" s="2048" t="s">
        <v>413</v>
      </c>
      <c r="W3" s="2049"/>
    </row>
    <row r="4" spans="1:23" ht="18">
      <c r="A4" s="1595"/>
      <c r="B4" s="2046" t="s">
        <v>414</v>
      </c>
      <c r="C4" s="2047"/>
      <c r="D4" s="2047"/>
      <c r="E4" s="2047"/>
      <c r="F4" s="2044"/>
      <c r="G4" s="2044"/>
      <c r="H4" s="2044"/>
      <c r="I4" s="2044"/>
      <c r="J4" s="2044"/>
      <c r="K4" s="2044"/>
      <c r="L4" s="2044"/>
      <c r="M4" s="2044"/>
      <c r="N4" s="2044"/>
      <c r="O4" s="2044"/>
      <c r="P4" s="2044"/>
      <c r="Q4" s="2044"/>
      <c r="R4" s="2044"/>
      <c r="S4" s="2044"/>
      <c r="T4" s="2044"/>
      <c r="U4" s="2044"/>
      <c r="V4" s="2050"/>
      <c r="W4" s="2045"/>
    </row>
    <row r="5" spans="1:23" ht="18">
      <c r="A5" s="1595"/>
      <c r="B5" s="2046" t="s">
        <v>415</v>
      </c>
      <c r="C5" s="2047"/>
      <c r="D5" s="2047"/>
      <c r="E5" s="2047"/>
      <c r="F5" s="2044"/>
      <c r="G5" s="2044"/>
      <c r="H5" s="2044"/>
      <c r="I5" s="2044"/>
      <c r="J5" s="2044"/>
      <c r="K5" s="2044"/>
      <c r="L5" s="2044"/>
      <c r="M5" s="2044"/>
      <c r="N5" s="2044"/>
      <c r="O5" s="2044"/>
      <c r="P5" s="2044"/>
      <c r="Q5" s="2044"/>
      <c r="R5" s="2044"/>
      <c r="S5" s="2044"/>
      <c r="T5" s="2044"/>
      <c r="U5" s="2044"/>
      <c r="V5" s="2044"/>
      <c r="W5" s="2045"/>
    </row>
    <row r="6" spans="1:23" ht="18">
      <c r="A6" s="1595"/>
      <c r="B6" s="2051" t="s">
        <v>1568</v>
      </c>
      <c r="C6" s="2052"/>
      <c r="D6" s="2047"/>
      <c r="E6" s="2047"/>
      <c r="F6" s="2044"/>
      <c r="G6" s="2044"/>
      <c r="H6" s="2044"/>
      <c r="I6" s="2044"/>
      <c r="J6" s="2044"/>
      <c r="K6" s="2044"/>
      <c r="L6" s="2044"/>
      <c r="M6" s="2044"/>
      <c r="N6" s="2044"/>
      <c r="O6" s="2044"/>
      <c r="P6" s="2044"/>
      <c r="Q6" s="2044"/>
      <c r="R6" s="2044"/>
      <c r="S6" s="2044"/>
      <c r="T6" s="2044"/>
      <c r="U6" s="2044"/>
      <c r="V6" s="2044"/>
      <c r="W6" s="2045"/>
    </row>
    <row r="7" spans="1:23" ht="16">
      <c r="A7" s="1595"/>
      <c r="B7" s="2053"/>
      <c r="C7" s="2053"/>
      <c r="D7" s="2047"/>
      <c r="E7" s="2047"/>
      <c r="F7" s="2044"/>
      <c r="G7" s="2044"/>
      <c r="H7" s="2044"/>
      <c r="I7" s="2044"/>
      <c r="J7" s="2044"/>
      <c r="K7" s="2044"/>
      <c r="L7" s="2044"/>
      <c r="M7" s="2044"/>
      <c r="N7" s="2044"/>
      <c r="O7" s="2044"/>
      <c r="P7" s="2044"/>
      <c r="Q7" s="2044"/>
      <c r="R7" s="2044"/>
      <c r="S7" s="2044"/>
      <c r="T7" s="2044"/>
      <c r="U7" s="2044"/>
      <c r="V7" s="2044"/>
      <c r="W7" s="2045"/>
    </row>
    <row r="8" spans="1:23" ht="5.25" customHeight="1">
      <c r="B8" s="2054"/>
      <c r="C8" s="2054"/>
      <c r="D8" s="2044"/>
      <c r="E8" s="2044"/>
      <c r="F8" s="2044"/>
      <c r="G8" s="2044"/>
      <c r="H8" s="2044"/>
      <c r="I8" s="2044"/>
      <c r="J8" s="2044"/>
      <c r="K8" s="2044"/>
      <c r="L8" s="2044"/>
      <c r="M8" s="2044"/>
      <c r="N8" s="2044"/>
      <c r="O8" s="2044"/>
      <c r="P8" s="2044"/>
      <c r="Q8" s="2044"/>
      <c r="R8" s="2044"/>
      <c r="S8" s="2044"/>
      <c r="T8" s="2044"/>
      <c r="U8" s="2044"/>
      <c r="V8" s="2044"/>
      <c r="W8" s="2045"/>
    </row>
    <row r="9" spans="1:23" ht="16">
      <c r="B9" s="2044"/>
      <c r="C9" s="2044"/>
      <c r="E9" s="2055"/>
      <c r="F9" s="2055"/>
      <c r="G9" s="2055"/>
      <c r="H9" s="2055"/>
      <c r="I9" s="2055"/>
      <c r="J9" s="2055" t="s">
        <v>416</v>
      </c>
      <c r="K9" s="2055"/>
      <c r="L9" s="2055"/>
      <c r="M9" s="2055"/>
      <c r="N9" s="2055"/>
      <c r="O9" s="2055"/>
      <c r="P9" s="2055"/>
      <c r="Q9" s="2055"/>
      <c r="R9" s="2044"/>
      <c r="S9" s="2044"/>
      <c r="T9" s="2044"/>
      <c r="U9" s="2044"/>
      <c r="V9" s="2044"/>
      <c r="W9" s="2045"/>
    </row>
    <row r="10" spans="1:23" ht="16">
      <c r="B10" s="2044"/>
      <c r="C10" s="2044"/>
      <c r="D10" s="2055" t="s">
        <v>120</v>
      </c>
      <c r="E10" s="2056"/>
      <c r="F10" s="2056" t="s">
        <v>103</v>
      </c>
      <c r="G10" s="2056"/>
      <c r="H10" s="2056" t="s">
        <v>418</v>
      </c>
      <c r="I10" s="2056"/>
      <c r="J10" s="2056" t="s">
        <v>419</v>
      </c>
      <c r="K10" s="2056"/>
      <c r="L10" s="2056" t="s">
        <v>420</v>
      </c>
      <c r="M10" s="2056"/>
      <c r="N10" s="2056" t="s">
        <v>9</v>
      </c>
      <c r="O10" s="2056"/>
      <c r="P10" s="2056" t="s">
        <v>805</v>
      </c>
      <c r="Q10" s="2056"/>
      <c r="R10" s="2044"/>
      <c r="S10" s="2044"/>
      <c r="T10" s="2044"/>
      <c r="U10" s="2044"/>
      <c r="V10" s="2044"/>
      <c r="W10" s="2045"/>
    </row>
    <row r="11" spans="1:23" ht="16">
      <c r="B11" s="2044"/>
      <c r="C11" s="2044"/>
      <c r="D11" s="2056" t="s">
        <v>417</v>
      </c>
      <c r="E11" s="2056"/>
      <c r="F11" s="2056" t="s">
        <v>120</v>
      </c>
      <c r="G11" s="2056"/>
      <c r="H11" s="2056" t="s">
        <v>422</v>
      </c>
      <c r="I11" s="2056"/>
      <c r="J11" s="2056" t="s">
        <v>423</v>
      </c>
      <c r="K11" s="2056"/>
      <c r="L11" s="2056" t="s">
        <v>424</v>
      </c>
      <c r="M11" s="2056"/>
      <c r="N11" s="2057" t="s">
        <v>425</v>
      </c>
      <c r="O11" s="2056"/>
      <c r="P11" s="2056" t="s">
        <v>806</v>
      </c>
      <c r="Q11" s="2056"/>
      <c r="R11" s="2059" t="s">
        <v>426</v>
      </c>
      <c r="S11" s="2059"/>
      <c r="T11" s="2059"/>
      <c r="U11" s="2044"/>
      <c r="V11" s="2044"/>
      <c r="W11" s="2045"/>
    </row>
    <row r="12" spans="1:23" ht="17.5">
      <c r="B12" s="2044"/>
      <c r="C12" s="2044"/>
      <c r="D12" s="2056" t="s">
        <v>421</v>
      </c>
      <c r="E12" s="2056"/>
      <c r="F12" s="2056" t="s">
        <v>10</v>
      </c>
      <c r="G12" s="2056"/>
      <c r="H12" s="2056" t="s">
        <v>427</v>
      </c>
      <c r="I12" s="2056"/>
      <c r="J12" s="2056" t="s">
        <v>428</v>
      </c>
      <c r="K12" s="2056"/>
      <c r="L12" s="2056" t="s">
        <v>1540</v>
      </c>
      <c r="M12" s="2056"/>
      <c r="N12" s="2057" t="s">
        <v>1534</v>
      </c>
      <c r="O12" s="2057"/>
      <c r="P12" s="2056" t="s">
        <v>428</v>
      </c>
      <c r="Q12" s="2056"/>
      <c r="R12" s="2058" t="s">
        <v>1569</v>
      </c>
      <c r="S12" s="2058"/>
      <c r="T12" s="2058"/>
      <c r="U12" s="2044"/>
      <c r="V12" s="2055" t="s">
        <v>807</v>
      </c>
      <c r="W12" s="2060"/>
    </row>
    <row r="13" spans="1:23" ht="16">
      <c r="A13" s="1596"/>
      <c r="B13" s="2061" t="s">
        <v>436</v>
      </c>
      <c r="C13" s="2062"/>
      <c r="D13" s="2063" t="s">
        <v>429</v>
      </c>
      <c r="E13" s="2060"/>
      <c r="F13" s="2063" t="s">
        <v>430</v>
      </c>
      <c r="G13" s="2060"/>
      <c r="H13" s="2064" t="s">
        <v>431</v>
      </c>
      <c r="I13" s="2060"/>
      <c r="J13" s="2064" t="s">
        <v>432</v>
      </c>
      <c r="K13" s="2060"/>
      <c r="L13" s="2064" t="s">
        <v>433</v>
      </c>
      <c r="M13" s="2060"/>
      <c r="N13" s="2065" t="s">
        <v>434</v>
      </c>
      <c r="O13" s="2060"/>
      <c r="P13" s="2065" t="s">
        <v>808</v>
      </c>
      <c r="Q13" s="2060"/>
      <c r="R13" s="2066">
        <v>2021</v>
      </c>
      <c r="S13" s="2066"/>
      <c r="T13" s="2066">
        <v>2020</v>
      </c>
      <c r="U13" s="2060"/>
      <c r="V13" s="2067" t="s">
        <v>435</v>
      </c>
      <c r="W13" s="2060"/>
    </row>
    <row r="14" spans="1:23" ht="16">
      <c r="B14" s="2062" t="s">
        <v>437</v>
      </c>
      <c r="C14" s="2062"/>
      <c r="D14" s="2068"/>
      <c r="E14" s="2068"/>
      <c r="F14" s="2069"/>
      <c r="G14" s="2069"/>
      <c r="H14" s="2070"/>
      <c r="I14" s="2070"/>
      <c r="J14" s="2070"/>
      <c r="K14" s="2070"/>
      <c r="L14" s="2070"/>
      <c r="M14" s="2070"/>
      <c r="N14" s="2068"/>
      <c r="O14" s="2068"/>
      <c r="P14" s="2068"/>
      <c r="Q14" s="2068"/>
      <c r="R14" s="2070"/>
      <c r="S14" s="2070"/>
      <c r="T14" s="2071"/>
      <c r="U14" s="2071"/>
      <c r="V14" s="2072"/>
      <c r="W14" s="2045"/>
    </row>
    <row r="15" spans="1:23" ht="15.5">
      <c r="A15" s="1597"/>
      <c r="B15" s="2054" t="s">
        <v>438</v>
      </c>
      <c r="C15" s="2054"/>
      <c r="D15" s="2073">
        <v>0</v>
      </c>
      <c r="E15" s="2073"/>
      <c r="F15" s="2073">
        <v>21210856</v>
      </c>
      <c r="G15" s="2074"/>
      <c r="H15" s="2073">
        <v>0</v>
      </c>
      <c r="I15" s="2074"/>
      <c r="J15" s="2073">
        <v>0</v>
      </c>
      <c r="K15" s="2074"/>
      <c r="L15" s="2073">
        <v>0</v>
      </c>
      <c r="M15" s="2074"/>
      <c r="N15" s="2073">
        <v>0</v>
      </c>
      <c r="O15" s="2074"/>
      <c r="P15" s="2073">
        <v>0</v>
      </c>
      <c r="Q15" s="2074"/>
      <c r="R15" s="2073">
        <f>ROUND(SUM(D15:Q15),0)</f>
        <v>21210856</v>
      </c>
      <c r="S15" s="2073"/>
      <c r="T15" s="3467">
        <v>0</v>
      </c>
      <c r="U15" s="2074"/>
      <c r="V15" s="2075">
        <f>ROUND(R15-T15,0)</f>
        <v>21210856</v>
      </c>
      <c r="W15" s="2073"/>
    </row>
    <row r="16" spans="1:23" ht="15.5">
      <c r="A16" s="1597"/>
      <c r="B16" s="2044" t="s">
        <v>439</v>
      </c>
      <c r="C16" s="2044"/>
      <c r="D16" s="2076"/>
      <c r="E16" s="2076"/>
      <c r="F16" s="2076"/>
      <c r="G16" s="2076"/>
      <c r="H16" s="2076"/>
      <c r="I16" s="2076"/>
      <c r="J16" s="2076"/>
      <c r="K16" s="2074"/>
      <c r="L16" s="2076"/>
      <c r="M16" s="2077"/>
      <c r="N16" s="2076"/>
      <c r="O16" s="2077"/>
      <c r="P16" s="2076"/>
      <c r="Q16" s="2077"/>
      <c r="R16" s="2077"/>
      <c r="S16" s="2077"/>
      <c r="T16" s="3468"/>
      <c r="U16" s="2077"/>
      <c r="V16" s="2078"/>
      <c r="W16" s="2073"/>
    </row>
    <row r="17" spans="1:23" ht="15.5">
      <c r="A17" s="1597"/>
      <c r="B17" s="2044" t="s">
        <v>1148</v>
      </c>
      <c r="C17" s="2044"/>
      <c r="D17" s="2076">
        <v>0</v>
      </c>
      <c r="E17" s="2076">
        <v>0</v>
      </c>
      <c r="F17" s="2076">
        <v>0</v>
      </c>
      <c r="G17" s="2076">
        <v>0</v>
      </c>
      <c r="H17" s="2076">
        <v>0</v>
      </c>
      <c r="I17" s="2076">
        <v>0</v>
      </c>
      <c r="J17" s="2076">
        <v>0</v>
      </c>
      <c r="K17" s="2076">
        <v>0</v>
      </c>
      <c r="L17" s="2076">
        <v>0</v>
      </c>
      <c r="M17" s="2076"/>
      <c r="N17" s="2076">
        <v>0</v>
      </c>
      <c r="O17" s="2076">
        <v>0</v>
      </c>
      <c r="P17" s="2076">
        <v>0</v>
      </c>
      <c r="Q17" s="2076">
        <v>0</v>
      </c>
      <c r="R17" s="2077">
        <f>ROUND(SUM(D17:Q17),0)</f>
        <v>0</v>
      </c>
      <c r="S17" s="2077"/>
      <c r="T17" s="3469">
        <v>0</v>
      </c>
      <c r="U17" s="2079"/>
      <c r="V17" s="2079">
        <f t="shared" ref="V17:V26" si="0">SUM(R17-T17,0)</f>
        <v>0</v>
      </c>
      <c r="W17" s="2073"/>
    </row>
    <row r="18" spans="1:23" ht="15.5">
      <c r="A18" s="1597"/>
      <c r="B18" s="2044" t="s">
        <v>1149</v>
      </c>
      <c r="C18" s="2044"/>
      <c r="D18" s="2076">
        <v>0</v>
      </c>
      <c r="E18" s="2076">
        <v>0</v>
      </c>
      <c r="F18" s="2076">
        <v>0</v>
      </c>
      <c r="G18" s="2076">
        <v>0</v>
      </c>
      <c r="H18" s="2076">
        <v>0</v>
      </c>
      <c r="I18" s="2076">
        <v>0</v>
      </c>
      <c r="J18" s="2076">
        <v>0</v>
      </c>
      <c r="K18" s="2076">
        <v>0</v>
      </c>
      <c r="L18" s="2076">
        <v>0</v>
      </c>
      <c r="M18" s="2076"/>
      <c r="N18" s="2076">
        <v>550857612</v>
      </c>
      <c r="O18" s="2076"/>
      <c r="P18" s="2076">
        <v>29531110</v>
      </c>
      <c r="Q18" s="2076">
        <v>0</v>
      </c>
      <c r="R18" s="2077">
        <f t="shared" ref="R18:R26" si="1">ROUND(SUM(D18:Q18),0)</f>
        <v>580388722</v>
      </c>
      <c r="S18" s="2077"/>
      <c r="T18" s="2076">
        <v>797263004</v>
      </c>
      <c r="U18" s="2079"/>
      <c r="V18" s="2079">
        <f t="shared" si="0"/>
        <v>-216874282</v>
      </c>
      <c r="W18" s="2073"/>
    </row>
    <row r="19" spans="1:23" ht="15.5">
      <c r="A19" s="1597"/>
      <c r="B19" s="2044" t="s">
        <v>440</v>
      </c>
      <c r="C19" s="2044"/>
      <c r="D19" s="2076">
        <v>0</v>
      </c>
      <c r="E19" s="2076">
        <v>0</v>
      </c>
      <c r="F19" s="2076">
        <v>0</v>
      </c>
      <c r="G19" s="2076">
        <v>0</v>
      </c>
      <c r="H19" s="2076">
        <v>12067914</v>
      </c>
      <c r="I19" s="2076">
        <v>0</v>
      </c>
      <c r="J19" s="2076">
        <v>0</v>
      </c>
      <c r="K19" s="2076">
        <v>0</v>
      </c>
      <c r="L19" s="2076">
        <v>0</v>
      </c>
      <c r="M19" s="2076"/>
      <c r="N19" s="2076">
        <v>0</v>
      </c>
      <c r="O19" s="2076"/>
      <c r="P19" s="2076">
        <v>0</v>
      </c>
      <c r="Q19" s="2076">
        <v>0</v>
      </c>
      <c r="R19" s="2077">
        <f>ROUND(SUM(D19:Q19),0)</f>
        <v>12067914</v>
      </c>
      <c r="S19" s="2077"/>
      <c r="T19" s="2076">
        <v>12802026</v>
      </c>
      <c r="U19" s="2079"/>
      <c r="V19" s="2079">
        <f t="shared" si="0"/>
        <v>-734112</v>
      </c>
      <c r="W19" s="2073"/>
    </row>
    <row r="20" spans="1:23" ht="15.5">
      <c r="A20" s="1597"/>
      <c r="B20" s="2044" t="s">
        <v>900</v>
      </c>
      <c r="C20" s="2044"/>
      <c r="D20" s="2076">
        <v>0</v>
      </c>
      <c r="E20" s="2076">
        <v>0</v>
      </c>
      <c r="F20" s="2076">
        <v>0</v>
      </c>
      <c r="G20" s="2076">
        <v>0</v>
      </c>
      <c r="H20" s="2076">
        <v>0</v>
      </c>
      <c r="I20" s="2076">
        <v>0</v>
      </c>
      <c r="J20" s="2076">
        <v>0</v>
      </c>
      <c r="K20" s="2076">
        <v>0</v>
      </c>
      <c r="L20" s="2076">
        <v>-144157</v>
      </c>
      <c r="M20" s="2076"/>
      <c r="N20" s="2076">
        <v>0</v>
      </c>
      <c r="O20" s="2076"/>
      <c r="P20" s="2076">
        <v>0</v>
      </c>
      <c r="Q20" s="2076">
        <v>0</v>
      </c>
      <c r="R20" s="2077">
        <f>ROUND(SUM(D20:Q20),0)</f>
        <v>-144157</v>
      </c>
      <c r="S20" s="2077"/>
      <c r="T20" s="2076">
        <v>8615353</v>
      </c>
      <c r="U20" s="2080"/>
      <c r="V20" s="2079">
        <f t="shared" si="0"/>
        <v>-8759510</v>
      </c>
      <c r="W20" s="2073"/>
    </row>
    <row r="21" spans="1:23" ht="15.5">
      <c r="A21" s="1597"/>
      <c r="B21" s="2044" t="s">
        <v>753</v>
      </c>
      <c r="C21" s="2044"/>
      <c r="D21" s="2076">
        <v>0</v>
      </c>
      <c r="E21" s="2076">
        <v>0</v>
      </c>
      <c r="F21" s="2076">
        <v>1627568</v>
      </c>
      <c r="G21" s="2076">
        <v>0</v>
      </c>
      <c r="H21" s="2076">
        <v>0</v>
      </c>
      <c r="I21" s="2076">
        <v>0</v>
      </c>
      <c r="J21" s="2076">
        <v>0</v>
      </c>
      <c r="K21" s="2076">
        <v>0</v>
      </c>
      <c r="L21" s="2076">
        <v>0</v>
      </c>
      <c r="M21" s="2076"/>
      <c r="N21" s="2076">
        <v>0</v>
      </c>
      <c r="O21" s="2076"/>
      <c r="P21" s="2076">
        <v>0</v>
      </c>
      <c r="Q21" s="2076">
        <v>0</v>
      </c>
      <c r="R21" s="2077">
        <f t="shared" si="1"/>
        <v>1627568</v>
      </c>
      <c r="S21" s="2077"/>
      <c r="T21" s="2076">
        <v>2495165</v>
      </c>
      <c r="U21" s="2080"/>
      <c r="V21" s="2079">
        <f t="shared" si="0"/>
        <v>-867597</v>
      </c>
      <c r="W21" s="2073"/>
    </row>
    <row r="22" spans="1:23" ht="15.5">
      <c r="A22" s="1597"/>
      <c r="B22" s="2044" t="s">
        <v>1150</v>
      </c>
      <c r="C22" s="2044"/>
      <c r="D22" s="2076">
        <v>0</v>
      </c>
      <c r="E22" s="2076">
        <v>0</v>
      </c>
      <c r="F22" s="2076">
        <v>10879525</v>
      </c>
      <c r="G22" s="2076">
        <v>0</v>
      </c>
      <c r="H22" s="2076">
        <v>0</v>
      </c>
      <c r="I22" s="2076">
        <v>0</v>
      </c>
      <c r="J22" s="2076">
        <v>0</v>
      </c>
      <c r="K22" s="2076">
        <v>0</v>
      </c>
      <c r="L22" s="2076">
        <v>0</v>
      </c>
      <c r="M22" s="2076"/>
      <c r="N22" s="2076">
        <v>0</v>
      </c>
      <c r="O22" s="2076"/>
      <c r="P22" s="2076">
        <v>0</v>
      </c>
      <c r="Q22" s="2076">
        <v>0</v>
      </c>
      <c r="R22" s="2077">
        <f t="shared" si="1"/>
        <v>10879525</v>
      </c>
      <c r="S22" s="2077"/>
      <c r="T22" s="2076">
        <v>8347200</v>
      </c>
      <c r="U22" s="2079"/>
      <c r="V22" s="2079">
        <f t="shared" si="0"/>
        <v>2532325</v>
      </c>
      <c r="W22" s="2073"/>
    </row>
    <row r="23" spans="1:23" ht="15.5">
      <c r="A23" s="1597"/>
      <c r="B23" s="2044" t="s">
        <v>1151</v>
      </c>
      <c r="C23" s="2044"/>
      <c r="D23" s="2076">
        <v>0</v>
      </c>
      <c r="E23" s="2076">
        <v>0</v>
      </c>
      <c r="F23" s="2076">
        <v>105416691</v>
      </c>
      <c r="G23" s="2076">
        <v>0</v>
      </c>
      <c r="H23" s="2076">
        <v>0</v>
      </c>
      <c r="I23" s="2076">
        <v>0</v>
      </c>
      <c r="J23" s="2076">
        <v>0</v>
      </c>
      <c r="K23" s="2076">
        <v>0</v>
      </c>
      <c r="L23" s="2076">
        <v>0</v>
      </c>
      <c r="M23" s="2076"/>
      <c r="N23" s="2076">
        <v>0</v>
      </c>
      <c r="O23" s="2076"/>
      <c r="P23" s="2076">
        <v>0</v>
      </c>
      <c r="Q23" s="2076">
        <v>0</v>
      </c>
      <c r="R23" s="2077">
        <f t="shared" si="1"/>
        <v>105416691</v>
      </c>
      <c r="S23" s="2077"/>
      <c r="T23" s="2076">
        <v>0</v>
      </c>
      <c r="U23" s="2079"/>
      <c r="V23" s="2079">
        <f t="shared" si="0"/>
        <v>105416691</v>
      </c>
      <c r="W23" s="2073"/>
    </row>
    <row r="24" spans="1:23" ht="15.5">
      <c r="A24" s="1597"/>
      <c r="B24" s="2044" t="s">
        <v>441</v>
      </c>
      <c r="C24" s="2044"/>
      <c r="D24" s="2076">
        <v>0</v>
      </c>
      <c r="E24" s="2076">
        <v>0</v>
      </c>
      <c r="F24" s="2076">
        <v>0</v>
      </c>
      <c r="G24" s="2076">
        <v>0</v>
      </c>
      <c r="H24" s="2076">
        <v>0</v>
      </c>
      <c r="I24" s="2076">
        <v>0</v>
      </c>
      <c r="J24" s="2076">
        <v>0</v>
      </c>
      <c r="K24" s="2076">
        <v>0</v>
      </c>
      <c r="L24" s="2076">
        <v>0</v>
      </c>
      <c r="M24" s="2076"/>
      <c r="N24" s="2076">
        <v>0</v>
      </c>
      <c r="O24" s="2076"/>
      <c r="P24" s="2076">
        <v>0</v>
      </c>
      <c r="Q24" s="2076">
        <v>0</v>
      </c>
      <c r="R24" s="2077">
        <f t="shared" si="1"/>
        <v>0</v>
      </c>
      <c r="S24" s="2077"/>
      <c r="T24" s="3469">
        <v>430631</v>
      </c>
      <c r="U24" s="2079"/>
      <c r="V24" s="2079">
        <f t="shared" si="0"/>
        <v>-430631</v>
      </c>
      <c r="W24" s="2073"/>
    </row>
    <row r="25" spans="1:23" ht="15.5">
      <c r="A25" s="1597"/>
      <c r="B25" s="2044" t="s">
        <v>442</v>
      </c>
      <c r="C25" s="2044"/>
      <c r="D25" s="2076">
        <v>0</v>
      </c>
      <c r="E25" s="2076">
        <v>0</v>
      </c>
      <c r="F25" s="2076">
        <v>1772122</v>
      </c>
      <c r="G25" s="2076">
        <v>0</v>
      </c>
      <c r="H25" s="2076">
        <v>0</v>
      </c>
      <c r="I25" s="2076">
        <v>0</v>
      </c>
      <c r="J25" s="2076">
        <v>0</v>
      </c>
      <c r="K25" s="2076">
        <v>0</v>
      </c>
      <c r="L25" s="2076">
        <v>0</v>
      </c>
      <c r="M25" s="2076"/>
      <c r="N25" s="2076">
        <v>0</v>
      </c>
      <c r="O25" s="2076"/>
      <c r="P25" s="2076">
        <v>0</v>
      </c>
      <c r="Q25" s="2076">
        <v>0</v>
      </c>
      <c r="R25" s="2077">
        <f t="shared" si="1"/>
        <v>1772122</v>
      </c>
      <c r="S25" s="2077"/>
      <c r="T25" s="3469">
        <v>15828552</v>
      </c>
      <c r="U25" s="2079"/>
      <c r="V25" s="2079">
        <f t="shared" si="0"/>
        <v>-14056430</v>
      </c>
      <c r="W25" s="2073"/>
    </row>
    <row r="26" spans="1:23" ht="15.5">
      <c r="A26" s="1597"/>
      <c r="B26" s="2044" t="s">
        <v>1152</v>
      </c>
      <c r="C26" s="2044"/>
      <c r="D26" s="2076">
        <v>0</v>
      </c>
      <c r="E26" s="2076">
        <v>0</v>
      </c>
      <c r="F26" s="2076">
        <v>0</v>
      </c>
      <c r="G26" s="2076">
        <v>0</v>
      </c>
      <c r="H26" s="2076">
        <v>0</v>
      </c>
      <c r="I26" s="2076">
        <v>0</v>
      </c>
      <c r="J26" s="2076">
        <v>0</v>
      </c>
      <c r="K26" s="2076">
        <v>0</v>
      </c>
      <c r="L26" s="2076">
        <v>0</v>
      </c>
      <c r="M26" s="2076"/>
      <c r="N26" s="2076">
        <v>0</v>
      </c>
      <c r="O26" s="2076"/>
      <c r="P26" s="2076">
        <v>0</v>
      </c>
      <c r="Q26" s="2076">
        <v>0</v>
      </c>
      <c r="R26" s="2077">
        <f t="shared" si="1"/>
        <v>0</v>
      </c>
      <c r="S26" s="2077"/>
      <c r="T26" s="3469">
        <v>0</v>
      </c>
      <c r="U26" s="2079"/>
      <c r="V26" s="2079">
        <f t="shared" si="0"/>
        <v>0</v>
      </c>
      <c r="W26" s="2073"/>
    </row>
    <row r="27" spans="1:23" ht="15.5">
      <c r="A27" s="1597"/>
      <c r="B27" s="2044" t="s">
        <v>443</v>
      </c>
      <c r="C27" s="2044"/>
      <c r="D27" s="2081"/>
      <c r="E27" s="2081"/>
      <c r="F27" s="2081"/>
      <c r="G27" s="2081"/>
      <c r="H27" s="2081"/>
      <c r="I27" s="2081"/>
      <c r="J27" s="2081"/>
      <c r="K27" s="2081"/>
      <c r="L27" s="2081"/>
      <c r="M27" s="2081"/>
      <c r="N27" s="2081"/>
      <c r="O27" s="2081"/>
      <c r="P27" s="2081"/>
      <c r="Q27" s="2081"/>
      <c r="R27" s="2077"/>
      <c r="S27" s="2077"/>
      <c r="T27" s="3469"/>
      <c r="U27" s="2079"/>
      <c r="V27" s="2077"/>
      <c r="W27" s="2073"/>
    </row>
    <row r="28" spans="1:23" ht="15.5">
      <c r="A28" s="1597"/>
      <c r="B28" s="2044" t="s">
        <v>444</v>
      </c>
      <c r="C28" s="2044"/>
      <c r="D28" s="2076">
        <v>0</v>
      </c>
      <c r="E28" s="2076">
        <v>0</v>
      </c>
      <c r="F28" s="2076">
        <v>0</v>
      </c>
      <c r="G28" s="2076">
        <v>0</v>
      </c>
      <c r="H28" s="2076">
        <v>0</v>
      </c>
      <c r="I28" s="2076">
        <v>0</v>
      </c>
      <c r="J28" s="2076">
        <v>0</v>
      </c>
      <c r="K28" s="2076">
        <v>0</v>
      </c>
      <c r="L28" s="2076">
        <v>0</v>
      </c>
      <c r="M28" s="2076"/>
      <c r="N28" s="2076">
        <v>0</v>
      </c>
      <c r="O28" s="2076"/>
      <c r="P28" s="2076">
        <v>0</v>
      </c>
      <c r="Q28" s="2076">
        <v>0</v>
      </c>
      <c r="R28" s="2077">
        <f>ROUND(SUM(D28:Q28),0)</f>
        <v>0</v>
      </c>
      <c r="S28" s="2077"/>
      <c r="T28" s="3469">
        <v>0</v>
      </c>
      <c r="U28" s="2079"/>
      <c r="V28" s="2079">
        <f>SUM(R28-T28,0)</f>
        <v>0</v>
      </c>
      <c r="W28" s="2073"/>
    </row>
    <row r="29" spans="1:23" ht="15.5">
      <c r="A29" s="1597"/>
      <c r="B29" s="2044" t="s">
        <v>859</v>
      </c>
      <c r="C29" s="2044"/>
      <c r="D29" s="2076"/>
      <c r="E29" s="2076"/>
      <c r="F29" s="2076"/>
      <c r="G29" s="2077"/>
      <c r="H29" s="2076"/>
      <c r="I29" s="2076"/>
      <c r="J29" s="2076"/>
      <c r="K29" s="2077"/>
      <c r="L29" s="2076"/>
      <c r="M29" s="2077"/>
      <c r="N29" s="2076"/>
      <c r="O29" s="2077"/>
      <c r="P29" s="2076"/>
      <c r="Q29" s="2077"/>
      <c r="R29" s="2077"/>
      <c r="S29" s="2077"/>
      <c r="T29" s="3469"/>
      <c r="U29" s="2079"/>
      <c r="V29" s="2077"/>
      <c r="W29" s="2073"/>
    </row>
    <row r="30" spans="1:23" ht="17.149999999999999" customHeight="1">
      <c r="A30" s="1597"/>
      <c r="B30" s="2044" t="s">
        <v>858</v>
      </c>
      <c r="C30" s="2044"/>
      <c r="D30" s="2076">
        <v>0</v>
      </c>
      <c r="E30" s="2076"/>
      <c r="F30" s="2076">
        <v>40584750</v>
      </c>
      <c r="G30" s="2077"/>
      <c r="H30" s="2076">
        <v>0</v>
      </c>
      <c r="I30" s="2076"/>
      <c r="J30" s="2076">
        <v>0</v>
      </c>
      <c r="K30" s="2077"/>
      <c r="L30" s="2076">
        <v>0</v>
      </c>
      <c r="M30" s="2077"/>
      <c r="N30" s="2076">
        <v>0</v>
      </c>
      <c r="O30" s="2077"/>
      <c r="P30" s="2076">
        <v>0</v>
      </c>
      <c r="Q30" s="2077"/>
      <c r="R30" s="2077">
        <f>ROUND(SUM(D30:Q30),0)</f>
        <v>40584750</v>
      </c>
      <c r="S30" s="2077"/>
      <c r="T30" s="3503">
        <v>59613177</v>
      </c>
      <c r="U30" s="2079"/>
      <c r="V30" s="2079">
        <f t="shared" ref="V30:V41" si="2">SUM(R30-T30,0)</f>
        <v>-19028427</v>
      </c>
      <c r="W30" s="2073"/>
    </row>
    <row r="31" spans="1:23" ht="15.5">
      <c r="A31" s="1597"/>
      <c r="B31" s="2044" t="s">
        <v>857</v>
      </c>
      <c r="C31" s="2044"/>
      <c r="D31" s="2076">
        <v>0</v>
      </c>
      <c r="E31" s="2076">
        <v>0</v>
      </c>
      <c r="F31" s="2076">
        <v>0</v>
      </c>
      <c r="G31" s="2076">
        <v>0</v>
      </c>
      <c r="H31" s="2076">
        <v>0</v>
      </c>
      <c r="I31" s="2076">
        <v>0</v>
      </c>
      <c r="J31" s="2076">
        <v>0</v>
      </c>
      <c r="K31" s="2076">
        <v>0</v>
      </c>
      <c r="L31" s="2076">
        <v>0</v>
      </c>
      <c r="M31" s="2076"/>
      <c r="N31" s="2076">
        <v>0</v>
      </c>
      <c r="O31" s="2076"/>
      <c r="P31" s="2076">
        <v>0</v>
      </c>
      <c r="Q31" s="2076">
        <v>0</v>
      </c>
      <c r="R31" s="2077">
        <f>ROUND(SUM(D31:Q31),0)</f>
        <v>0</v>
      </c>
      <c r="S31" s="2077"/>
      <c r="T31" s="2076">
        <v>0</v>
      </c>
      <c r="U31" s="2079"/>
      <c r="V31" s="2079">
        <f t="shared" si="2"/>
        <v>0</v>
      </c>
      <c r="W31" s="2073"/>
    </row>
    <row r="32" spans="1:23" ht="15.5">
      <c r="A32" s="1597"/>
      <c r="B32" s="2044" t="s">
        <v>809</v>
      </c>
      <c r="C32" s="2044"/>
      <c r="D32" s="2076">
        <v>0</v>
      </c>
      <c r="E32" s="2076">
        <v>0</v>
      </c>
      <c r="F32" s="2076">
        <v>0</v>
      </c>
      <c r="G32" s="2076">
        <v>0</v>
      </c>
      <c r="H32" s="2076">
        <v>0</v>
      </c>
      <c r="I32" s="2076">
        <v>0</v>
      </c>
      <c r="J32" s="2076">
        <v>0</v>
      </c>
      <c r="K32" s="2076">
        <v>0</v>
      </c>
      <c r="L32" s="2076">
        <v>0</v>
      </c>
      <c r="M32" s="2076"/>
      <c r="N32" s="2076">
        <v>4675750</v>
      </c>
      <c r="O32" s="2076"/>
      <c r="P32" s="2076">
        <v>0</v>
      </c>
      <c r="Q32" s="2076">
        <v>0</v>
      </c>
      <c r="R32" s="2077">
        <f>ROUND(SUM(D32:Q32),0)</f>
        <v>4675750</v>
      </c>
      <c r="S32" s="2077"/>
      <c r="T32" s="2076">
        <v>17821175</v>
      </c>
      <c r="U32" s="2079"/>
      <c r="V32" s="2079">
        <f t="shared" si="2"/>
        <v>-13145425</v>
      </c>
      <c r="W32" s="2073"/>
    </row>
    <row r="33" spans="1:25" ht="15.5">
      <c r="A33" s="1597"/>
      <c r="B33" s="2044" t="s">
        <v>445</v>
      </c>
      <c r="C33" s="2044"/>
      <c r="D33" s="2076"/>
      <c r="E33" s="2076"/>
      <c r="F33" s="2076"/>
      <c r="G33" s="2076"/>
      <c r="H33" s="2076"/>
      <c r="I33" s="2076"/>
      <c r="J33" s="2076"/>
      <c r="K33" s="2076"/>
      <c r="L33" s="2076"/>
      <c r="M33" s="2076"/>
      <c r="N33" s="2076"/>
      <c r="O33" s="2076"/>
      <c r="P33" s="2076"/>
      <c r="Q33" s="2076"/>
      <c r="R33" s="2077"/>
      <c r="S33" s="2077"/>
      <c r="T33" s="3469"/>
      <c r="U33" s="2079"/>
      <c r="V33" s="2077"/>
      <c r="W33" s="2073"/>
    </row>
    <row r="34" spans="1:25" ht="15.5">
      <c r="A34" s="1597"/>
      <c r="B34" s="2044" t="s">
        <v>446</v>
      </c>
      <c r="C34" s="2044"/>
      <c r="D34" s="2076">
        <v>0</v>
      </c>
      <c r="E34" s="2076"/>
      <c r="F34" s="2076">
        <v>0</v>
      </c>
      <c r="G34" s="2076">
        <v>0</v>
      </c>
      <c r="H34" s="2076">
        <v>0</v>
      </c>
      <c r="I34" s="2076">
        <v>0</v>
      </c>
      <c r="J34" s="2076">
        <v>0</v>
      </c>
      <c r="K34" s="2076">
        <v>0</v>
      </c>
      <c r="L34" s="2076">
        <v>0</v>
      </c>
      <c r="M34" s="2076"/>
      <c r="N34" s="2076">
        <v>0</v>
      </c>
      <c r="O34" s="2076"/>
      <c r="P34" s="2076">
        <v>0</v>
      </c>
      <c r="Q34" s="2076">
        <v>0</v>
      </c>
      <c r="R34" s="2077">
        <f t="shared" ref="R34:R39" si="3">ROUND(SUM(D34:Q34),0)</f>
        <v>0</v>
      </c>
      <c r="S34" s="2077"/>
      <c r="T34" s="2076">
        <v>0</v>
      </c>
      <c r="U34" s="2080"/>
      <c r="V34" s="2079">
        <f t="shared" si="2"/>
        <v>0</v>
      </c>
      <c r="W34" s="2073"/>
    </row>
    <row r="35" spans="1:25" ht="15.5">
      <c r="A35" s="1597"/>
      <c r="B35" s="2082" t="s">
        <v>447</v>
      </c>
      <c r="C35" s="2083"/>
      <c r="D35" s="2076">
        <v>0</v>
      </c>
      <c r="E35" s="2076">
        <v>0</v>
      </c>
      <c r="F35" s="2076">
        <v>0</v>
      </c>
      <c r="G35" s="2076">
        <v>0</v>
      </c>
      <c r="H35" s="2076">
        <v>0</v>
      </c>
      <c r="I35" s="2076">
        <v>0</v>
      </c>
      <c r="J35" s="2076">
        <v>0</v>
      </c>
      <c r="K35" s="2076">
        <v>0</v>
      </c>
      <c r="L35" s="2076">
        <v>0</v>
      </c>
      <c r="M35" s="2076"/>
      <c r="N35" s="2076">
        <v>0</v>
      </c>
      <c r="O35" s="2076"/>
      <c r="P35" s="2076">
        <v>0</v>
      </c>
      <c r="Q35" s="2076">
        <v>0</v>
      </c>
      <c r="R35" s="2077">
        <f t="shared" si="3"/>
        <v>0</v>
      </c>
      <c r="S35" s="2077"/>
      <c r="T35" s="2076">
        <v>0</v>
      </c>
      <c r="U35" s="2080"/>
      <c r="V35" s="2079">
        <f t="shared" si="2"/>
        <v>0</v>
      </c>
      <c r="W35" s="2073"/>
    </row>
    <row r="36" spans="1:25" ht="15.5">
      <c r="A36" s="1597"/>
      <c r="B36" s="2044" t="s">
        <v>1148</v>
      </c>
      <c r="C36" s="2044"/>
      <c r="D36" s="2076">
        <v>0</v>
      </c>
      <c r="E36" s="2076">
        <v>0</v>
      </c>
      <c r="F36" s="2076">
        <v>2180971</v>
      </c>
      <c r="G36" s="2076">
        <v>0</v>
      </c>
      <c r="H36" s="2076">
        <v>0</v>
      </c>
      <c r="I36" s="2076">
        <v>0</v>
      </c>
      <c r="J36" s="2076">
        <v>0</v>
      </c>
      <c r="K36" s="2076">
        <v>0</v>
      </c>
      <c r="L36" s="2076">
        <v>0</v>
      </c>
      <c r="M36" s="2076"/>
      <c r="N36" s="2076">
        <v>0</v>
      </c>
      <c r="O36" s="2076"/>
      <c r="P36" s="2076">
        <v>0</v>
      </c>
      <c r="Q36" s="2076">
        <v>0</v>
      </c>
      <c r="R36" s="2077">
        <f t="shared" si="3"/>
        <v>2180971</v>
      </c>
      <c r="S36" s="2077"/>
      <c r="T36" s="2076">
        <v>4297108</v>
      </c>
      <c r="U36" s="2080"/>
      <c r="V36" s="2079">
        <f t="shared" si="2"/>
        <v>-2116137</v>
      </c>
      <c r="W36" s="2073"/>
    </row>
    <row r="37" spans="1:25" ht="15.5">
      <c r="A37" s="1597"/>
      <c r="B37" s="2082" t="s">
        <v>448</v>
      </c>
      <c r="C37" s="2083"/>
      <c r="D37" s="2076">
        <v>0</v>
      </c>
      <c r="E37" s="2076">
        <v>0</v>
      </c>
      <c r="F37" s="2076">
        <v>0</v>
      </c>
      <c r="G37" s="2076">
        <v>0</v>
      </c>
      <c r="H37" s="2076">
        <v>0</v>
      </c>
      <c r="I37" s="2076">
        <v>0</v>
      </c>
      <c r="J37" s="2076">
        <v>0</v>
      </c>
      <c r="K37" s="2076">
        <v>0</v>
      </c>
      <c r="L37" s="2076">
        <v>0</v>
      </c>
      <c r="M37" s="2076"/>
      <c r="N37" s="2076">
        <v>0</v>
      </c>
      <c r="O37" s="2076"/>
      <c r="P37" s="2076">
        <v>0</v>
      </c>
      <c r="Q37" s="2076">
        <v>0</v>
      </c>
      <c r="R37" s="2077">
        <f t="shared" si="3"/>
        <v>0</v>
      </c>
      <c r="S37" s="2077"/>
      <c r="T37" s="2076">
        <v>0</v>
      </c>
      <c r="U37" s="2079"/>
      <c r="V37" s="2079">
        <f t="shared" si="2"/>
        <v>0</v>
      </c>
      <c r="W37" s="2073"/>
    </row>
    <row r="38" spans="1:25" ht="15.5">
      <c r="A38" s="1597"/>
      <c r="B38" s="2054" t="s">
        <v>449</v>
      </c>
      <c r="C38" s="2054"/>
      <c r="D38" s="2076">
        <v>0</v>
      </c>
      <c r="E38" s="2076">
        <v>0</v>
      </c>
      <c r="F38" s="2076">
        <v>0</v>
      </c>
      <c r="G38" s="2076">
        <v>0</v>
      </c>
      <c r="H38" s="2076">
        <v>0</v>
      </c>
      <c r="I38" s="2076">
        <v>0</v>
      </c>
      <c r="J38" s="2076">
        <v>0</v>
      </c>
      <c r="K38" s="2076">
        <v>0</v>
      </c>
      <c r="L38" s="2076">
        <v>0</v>
      </c>
      <c r="M38" s="2076"/>
      <c r="N38" s="2076">
        <v>0</v>
      </c>
      <c r="O38" s="2076"/>
      <c r="P38" s="2076">
        <v>0</v>
      </c>
      <c r="Q38" s="2076">
        <v>0</v>
      </c>
      <c r="R38" s="2077">
        <f t="shared" si="3"/>
        <v>0</v>
      </c>
      <c r="S38" s="2077"/>
      <c r="T38" s="2076">
        <v>0</v>
      </c>
      <c r="U38" s="2079"/>
      <c r="V38" s="2079">
        <f t="shared" si="2"/>
        <v>0</v>
      </c>
      <c r="W38" s="2073"/>
    </row>
    <row r="39" spans="1:25" ht="15.5">
      <c r="A39" s="1597"/>
      <c r="B39" s="2082" t="s">
        <v>1065</v>
      </c>
      <c r="C39" s="2083"/>
      <c r="D39" s="2076">
        <v>0</v>
      </c>
      <c r="E39" s="2076">
        <v>0</v>
      </c>
      <c r="F39" s="2076">
        <v>0</v>
      </c>
      <c r="G39" s="2076">
        <v>0</v>
      </c>
      <c r="H39" s="2076">
        <v>0</v>
      </c>
      <c r="I39" s="2076">
        <v>0</v>
      </c>
      <c r="J39" s="2076">
        <v>0</v>
      </c>
      <c r="K39" s="2076">
        <v>0</v>
      </c>
      <c r="L39" s="2076">
        <v>0</v>
      </c>
      <c r="M39" s="2076"/>
      <c r="N39" s="2076">
        <v>0</v>
      </c>
      <c r="O39" s="2076"/>
      <c r="P39" s="2076">
        <v>0</v>
      </c>
      <c r="Q39" s="2076">
        <v>0</v>
      </c>
      <c r="R39" s="2077">
        <f t="shared" si="3"/>
        <v>0</v>
      </c>
      <c r="S39" s="2077"/>
      <c r="T39" s="2076">
        <v>0</v>
      </c>
      <c r="U39" s="2079"/>
      <c r="V39" s="2079">
        <f t="shared" si="2"/>
        <v>0</v>
      </c>
      <c r="W39" s="2073"/>
    </row>
    <row r="40" spans="1:25" ht="16">
      <c r="A40" s="1596"/>
      <c r="B40" s="2044" t="s">
        <v>913</v>
      </c>
      <c r="C40" s="2044"/>
      <c r="D40" s="2076">
        <v>0</v>
      </c>
      <c r="E40" s="2076">
        <v>0</v>
      </c>
      <c r="F40" s="2076">
        <v>0</v>
      </c>
      <c r="G40" s="2076">
        <v>0</v>
      </c>
      <c r="H40" s="2076">
        <v>0</v>
      </c>
      <c r="I40" s="2076">
        <v>0</v>
      </c>
      <c r="J40" s="2076">
        <v>0</v>
      </c>
      <c r="K40" s="2076">
        <v>0</v>
      </c>
      <c r="L40" s="2076">
        <v>0</v>
      </c>
      <c r="M40" s="2076"/>
      <c r="N40" s="2076">
        <v>361261266</v>
      </c>
      <c r="O40" s="2076"/>
      <c r="P40" s="2076">
        <v>0</v>
      </c>
      <c r="Q40" s="2076">
        <v>0</v>
      </c>
      <c r="R40" s="2077">
        <f>ROUND(SUM(D40:Q40),0)</f>
        <v>361261266</v>
      </c>
      <c r="S40" s="2077"/>
      <c r="T40" s="2076">
        <v>286525473</v>
      </c>
      <c r="U40" s="2084"/>
      <c r="V40" s="2079">
        <f t="shared" si="2"/>
        <v>74735793</v>
      </c>
      <c r="W40" s="2073"/>
      <c r="Y40" s="1598"/>
    </row>
    <row r="41" spans="1:25" ht="16">
      <c r="B41" s="2044" t="s">
        <v>450</v>
      </c>
      <c r="C41" s="2044"/>
      <c r="D41" s="2076">
        <v>0</v>
      </c>
      <c r="E41" s="2076">
        <v>0</v>
      </c>
      <c r="F41" s="2076">
        <v>0</v>
      </c>
      <c r="G41" s="2076">
        <v>0</v>
      </c>
      <c r="H41" s="2076">
        <v>0</v>
      </c>
      <c r="I41" s="2076">
        <v>0</v>
      </c>
      <c r="J41" s="2076">
        <v>0</v>
      </c>
      <c r="K41" s="2076">
        <v>0</v>
      </c>
      <c r="L41" s="2076">
        <v>0</v>
      </c>
      <c r="M41" s="2076"/>
      <c r="N41" s="2076">
        <v>0</v>
      </c>
      <c r="O41" s="2076"/>
      <c r="P41" s="2076">
        <v>0</v>
      </c>
      <c r="Q41" s="2076">
        <v>0</v>
      </c>
      <c r="R41" s="2077">
        <f>ROUND(SUM(D41:Q41),0)</f>
        <v>0</v>
      </c>
      <c r="S41" s="2077"/>
      <c r="T41" s="3469">
        <v>11603</v>
      </c>
      <c r="U41" s="2085"/>
      <c r="V41" s="2079">
        <f t="shared" si="2"/>
        <v>-11603</v>
      </c>
      <c r="W41" s="2073"/>
    </row>
    <row r="42" spans="1:25" ht="16">
      <c r="A42" s="1599"/>
      <c r="B42" s="2047" t="s">
        <v>451</v>
      </c>
      <c r="C42" s="2047"/>
      <c r="D42" s="2050"/>
      <c r="E42" s="2050"/>
      <c r="F42" s="2050"/>
      <c r="G42" s="2050"/>
      <c r="H42" s="2086"/>
      <c r="I42" s="2086"/>
      <c r="J42" s="2078"/>
      <c r="K42" s="2078"/>
      <c r="L42" s="2078"/>
      <c r="M42" s="2078"/>
      <c r="N42" s="2086"/>
      <c r="O42" s="2086"/>
      <c r="P42" s="2086"/>
      <c r="Q42" s="2086"/>
      <c r="R42" s="2086"/>
      <c r="S42" s="2086"/>
      <c r="T42" s="2086"/>
      <c r="U42" s="2087"/>
      <c r="V42" s="2077"/>
      <c r="W42" s="2073"/>
    </row>
    <row r="43" spans="1:25" s="1595" customFormat="1" ht="16.5" thickBot="1">
      <c r="B43" s="2088" t="s">
        <v>452</v>
      </c>
      <c r="C43" s="2052"/>
      <c r="D43" s="2089">
        <f>ROUND(SUM(D15:D41),0)</f>
        <v>0</v>
      </c>
      <c r="E43" s="2090"/>
      <c r="F43" s="2089">
        <f>ROUND(SUM(F15:F41),0)</f>
        <v>183672483</v>
      </c>
      <c r="G43" s="2090"/>
      <c r="H43" s="2089">
        <f>ROUND(SUM(H15:H41),0)</f>
        <v>12067914</v>
      </c>
      <c r="I43" s="2090"/>
      <c r="J43" s="2089">
        <f>ROUND(SUM(J15:J41),0)</f>
        <v>0</v>
      </c>
      <c r="K43" s="2091"/>
      <c r="L43" s="2089">
        <f>ROUND(SUM(L15:L41),0)</f>
        <v>-144157</v>
      </c>
      <c r="M43" s="2091"/>
      <c r="N43" s="2089">
        <f>ROUND(SUM(N15:N41),0)</f>
        <v>916794628</v>
      </c>
      <c r="O43" s="2090"/>
      <c r="P43" s="2089">
        <f>ROUND(SUM(P15:P41),0)</f>
        <v>29531110</v>
      </c>
      <c r="Q43" s="2090"/>
      <c r="R43" s="2089">
        <f>ROUND(SUM(R15:R41),0)</f>
        <v>1141921978</v>
      </c>
      <c r="S43" s="2090"/>
      <c r="T43" s="2089">
        <f>ROUND(SUM(T15:T41),0)</f>
        <v>1214050467</v>
      </c>
      <c r="U43" s="2090"/>
      <c r="V43" s="2089">
        <f>ROUND(SUM(V15:V41),0)</f>
        <v>-72128489</v>
      </c>
      <c r="W43" s="2073"/>
    </row>
    <row r="44" spans="1:25" ht="16" thickTop="1">
      <c r="C44" s="2092"/>
      <c r="D44" s="2044"/>
      <c r="E44" s="2044"/>
      <c r="F44" s="2044"/>
      <c r="G44" s="2044"/>
      <c r="H44" s="2044"/>
      <c r="I44" s="2044"/>
      <c r="J44" s="2044"/>
      <c r="K44" s="2044"/>
      <c r="L44" s="2044"/>
      <c r="M44" s="2044"/>
      <c r="N44" s="2044"/>
      <c r="O44" s="2044"/>
      <c r="P44" s="2044"/>
      <c r="Q44" s="2044"/>
      <c r="R44" s="2044"/>
      <c r="S44" s="2044"/>
      <c r="T44" s="2044"/>
      <c r="U44" s="2044"/>
      <c r="V44" s="2093"/>
      <c r="W44" s="2045"/>
    </row>
    <row r="45" spans="1:25" ht="16">
      <c r="B45" s="3892" t="s">
        <v>1532</v>
      </c>
      <c r="C45" s="2044"/>
      <c r="D45" s="2044"/>
      <c r="E45" s="2044"/>
      <c r="F45" s="2044"/>
      <c r="G45" s="2044"/>
      <c r="H45" s="2044"/>
      <c r="I45" s="2044"/>
      <c r="J45" s="2044"/>
      <c r="K45" s="2044"/>
      <c r="L45" s="2044"/>
      <c r="M45" s="2044"/>
      <c r="N45" s="2044"/>
      <c r="O45" s="2044"/>
      <c r="P45" s="2044"/>
      <c r="Q45" s="2044"/>
      <c r="R45" s="3379"/>
      <c r="S45" s="2044"/>
      <c r="T45" s="2044"/>
      <c r="U45" s="2044"/>
      <c r="V45" s="2044"/>
    </row>
    <row r="46" spans="1:25" ht="15.5">
      <c r="B46" s="3893" t="s">
        <v>1533</v>
      </c>
      <c r="R46" s="3380" t="s">
        <v>14</v>
      </c>
    </row>
    <row r="47" spans="1:25" ht="15.5">
      <c r="B47" s="1600"/>
      <c r="R47" s="3739" t="s">
        <v>14</v>
      </c>
    </row>
    <row r="48" spans="1:25" ht="15.5">
      <c r="B48" s="1600"/>
      <c r="R48" s="3380" t="s">
        <v>14</v>
      </c>
    </row>
    <row r="52" spans="2:2">
      <c r="B52" s="1594" t="s">
        <v>14</v>
      </c>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autoPageBreaks="0" fitToPage="1"/>
  </sheetPr>
  <dimension ref="B1:L40"/>
  <sheetViews>
    <sheetView showGridLines="0" workbookViewId="0"/>
  </sheetViews>
  <sheetFormatPr defaultColWidth="8.84375" defaultRowHeight="15.5"/>
  <cols>
    <col min="1" max="1" width="2.07421875" style="1327" customWidth="1"/>
    <col min="2" max="4" width="9.84375" style="1327" customWidth="1"/>
    <col min="5" max="5" width="10.4609375" style="1327" customWidth="1"/>
    <col min="6" max="6" width="14.84375" style="1327" customWidth="1"/>
    <col min="7" max="7" width="1.07421875" style="1327" customWidth="1"/>
    <col min="8" max="8" width="16.84375" style="1327" customWidth="1"/>
    <col min="9" max="9" width="1.07421875" style="1327" customWidth="1"/>
    <col min="10" max="10" width="16.84375" style="1327" bestFit="1" customWidth="1"/>
    <col min="11" max="11" width="9.84375" style="1327" customWidth="1"/>
    <col min="12" max="12" width="15.84375" style="1327" customWidth="1"/>
    <col min="13" max="16384" width="8.84375" style="1327"/>
  </cols>
  <sheetData>
    <row r="1" spans="2:12">
      <c r="B1" s="3511" t="s">
        <v>882</v>
      </c>
    </row>
    <row r="2" spans="2:12">
      <c r="B2" s="816"/>
    </row>
    <row r="3" spans="2:12">
      <c r="B3" s="708" t="s">
        <v>0</v>
      </c>
      <c r="J3" s="1190" t="s">
        <v>1064</v>
      </c>
    </row>
    <row r="4" spans="2:12">
      <c r="B4" s="817" t="s">
        <v>1063</v>
      </c>
    </row>
    <row r="5" spans="2:12">
      <c r="B5" s="1928" t="str">
        <f>'Sch 1 '!A8</f>
        <v>FOR THE MONTH OF SEPTEMBER 2021</v>
      </c>
      <c r="C5" s="1929"/>
      <c r="D5" s="1929"/>
      <c r="E5" s="1929"/>
      <c r="F5" s="1929"/>
      <c r="G5" s="1929"/>
      <c r="H5" s="1929"/>
      <c r="I5" s="1929"/>
      <c r="J5" s="1929"/>
      <c r="K5" s="1929"/>
      <c r="L5" s="1929"/>
    </row>
    <row r="6" spans="2:12">
      <c r="B6" s="1928" t="s">
        <v>791</v>
      </c>
      <c r="C6" s="1929"/>
      <c r="D6" s="1929"/>
      <c r="E6" s="1929"/>
      <c r="F6" s="1929"/>
      <c r="G6" s="1929"/>
      <c r="H6" s="1929"/>
      <c r="I6" s="1929"/>
      <c r="J6" s="1929"/>
      <c r="K6" s="1929"/>
      <c r="L6" s="1929"/>
    </row>
    <row r="7" spans="2:12">
      <c r="B7" s="1928" t="s">
        <v>1277</v>
      </c>
      <c r="C7" s="1930"/>
      <c r="D7" s="1930"/>
      <c r="E7" s="1930"/>
      <c r="F7" s="1930"/>
      <c r="G7" s="1930"/>
      <c r="H7" s="1930"/>
      <c r="I7" s="1930"/>
      <c r="J7" s="1930"/>
      <c r="K7" s="1930"/>
      <c r="L7" s="1930"/>
    </row>
    <row r="8" spans="2:12">
      <c r="B8" s="396"/>
      <c r="G8" s="396"/>
      <c r="I8" s="396"/>
    </row>
    <row r="9" spans="2:12">
      <c r="B9" s="396"/>
      <c r="F9" s="397" t="s">
        <v>6</v>
      </c>
      <c r="G9" s="396"/>
      <c r="H9" s="398" t="s">
        <v>454</v>
      </c>
      <c r="I9" s="396"/>
      <c r="J9" s="397" t="s">
        <v>453</v>
      </c>
    </row>
    <row r="10" spans="2:12">
      <c r="B10" s="396"/>
      <c r="F10" s="399" t="s">
        <v>1560</v>
      </c>
      <c r="G10" s="396"/>
      <c r="H10" s="398" t="s">
        <v>456</v>
      </c>
      <c r="I10" s="396"/>
      <c r="J10" s="398" t="s">
        <v>455</v>
      </c>
    </row>
    <row r="11" spans="2:12">
      <c r="B11" s="396"/>
      <c r="F11" s="1880"/>
      <c r="G11" s="396"/>
      <c r="H11" s="1880"/>
      <c r="I11" s="396"/>
      <c r="J11" s="1880"/>
    </row>
    <row r="12" spans="2:12">
      <c r="B12" s="400" t="s">
        <v>875</v>
      </c>
      <c r="G12" s="396"/>
      <c r="I12" s="396"/>
      <c r="J12" s="707"/>
      <c r="K12" s="707"/>
    </row>
    <row r="13" spans="2:12">
      <c r="B13" s="396"/>
      <c r="G13" s="396"/>
      <c r="I13" s="396"/>
      <c r="J13" s="707"/>
      <c r="K13" s="707"/>
    </row>
    <row r="14" spans="2:12">
      <c r="B14" s="654" t="s">
        <v>874</v>
      </c>
      <c r="F14" s="3060">
        <v>49580.800000000003</v>
      </c>
      <c r="G14" s="3060"/>
      <c r="H14" s="3382">
        <v>40589.300000000003</v>
      </c>
      <c r="I14" s="1328"/>
      <c r="J14" s="3060">
        <v>28024.7</v>
      </c>
      <c r="K14" s="707"/>
    </row>
    <row r="15" spans="2:12">
      <c r="B15" s="654" t="s">
        <v>873</v>
      </c>
      <c r="F15" s="3061">
        <v>5.2999999999999998E-4</v>
      </c>
      <c r="G15" s="705"/>
      <c r="H15" s="3383">
        <v>5.4000000000000001E-4</v>
      </c>
      <c r="I15" s="796"/>
      <c r="J15" s="3061">
        <v>2.64E-3</v>
      </c>
      <c r="K15" s="707"/>
    </row>
    <row r="16" spans="2:12">
      <c r="B16" s="796" t="s">
        <v>457</v>
      </c>
      <c r="F16" s="3062">
        <v>2.1339999999999999</v>
      </c>
      <c r="G16" s="3384"/>
      <c r="H16" s="3385">
        <v>11.249000000000001</v>
      </c>
      <c r="I16" s="891"/>
      <c r="J16" s="3062">
        <v>37.316000000000003</v>
      </c>
      <c r="K16" s="707"/>
    </row>
    <row r="17" spans="2:11">
      <c r="B17" s="396"/>
      <c r="J17" s="707"/>
      <c r="K17" s="402"/>
    </row>
    <row r="18" spans="2:11">
      <c r="B18" s="867"/>
      <c r="C18" s="1329"/>
      <c r="D18" s="1329"/>
      <c r="E18" s="1329"/>
      <c r="F18" s="1329"/>
      <c r="G18" s="1329"/>
      <c r="H18" s="1329"/>
      <c r="I18" s="1329"/>
      <c r="J18" s="3079"/>
      <c r="K18" s="867"/>
    </row>
    <row r="19" spans="2:11">
      <c r="B19" s="867"/>
      <c r="C19" s="1329"/>
      <c r="D19" s="1329"/>
      <c r="E19" s="1329"/>
      <c r="F19" s="1329"/>
      <c r="G19" s="1329"/>
      <c r="H19" s="1329"/>
      <c r="I19" s="1329"/>
      <c r="J19" s="3079"/>
      <c r="K19" s="867"/>
    </row>
    <row r="20" spans="2:11" ht="18">
      <c r="B20" s="868" t="s">
        <v>458</v>
      </c>
      <c r="C20" s="869"/>
      <c r="D20" s="869"/>
      <c r="E20" s="1329"/>
      <c r="F20" s="1329"/>
      <c r="G20" s="1329"/>
      <c r="H20" s="1329"/>
      <c r="I20" s="1329"/>
      <c r="J20" s="3079"/>
      <c r="K20" s="867"/>
    </row>
    <row r="21" spans="2:11">
      <c r="B21" s="867"/>
      <c r="C21" s="1329"/>
      <c r="D21" s="1329"/>
      <c r="E21" s="1329"/>
      <c r="F21" s="1329"/>
      <c r="G21" s="614"/>
      <c r="H21" s="614" t="str">
        <f>F10</f>
        <v>SEPTEMBER 2021</v>
      </c>
      <c r="I21" s="2123"/>
      <c r="J21" s="3472" t="s">
        <v>1570</v>
      </c>
      <c r="K21" s="867"/>
    </row>
    <row r="22" spans="2:11">
      <c r="B22" s="867"/>
      <c r="C22" s="870" t="s">
        <v>459</v>
      </c>
      <c r="D22" s="1329"/>
      <c r="E22" s="1330" t="s">
        <v>14</v>
      </c>
      <c r="F22" s="1329"/>
      <c r="G22" s="871"/>
      <c r="H22" s="1933" t="s">
        <v>460</v>
      </c>
      <c r="I22" s="871"/>
      <c r="J22" s="3473" t="s">
        <v>460</v>
      </c>
      <c r="K22" s="867"/>
    </row>
    <row r="23" spans="2:11">
      <c r="B23" s="867"/>
      <c r="C23" s="1330" t="s">
        <v>461</v>
      </c>
      <c r="D23" s="1329"/>
      <c r="E23" s="1329"/>
      <c r="F23" s="1329"/>
      <c r="G23" s="1331"/>
      <c r="H23" s="1332">
        <v>30793.3</v>
      </c>
      <c r="I23" s="1331"/>
      <c r="J23" s="3643">
        <v>18192.3</v>
      </c>
      <c r="K23" s="867"/>
    </row>
    <row r="24" spans="2:11">
      <c r="B24" s="867"/>
      <c r="C24" s="1330" t="s">
        <v>462</v>
      </c>
      <c r="D24" s="1329"/>
      <c r="E24" s="1329"/>
      <c r="F24" s="1329"/>
      <c r="G24" s="1331"/>
      <c r="H24" s="1333">
        <v>291.3</v>
      </c>
      <c r="I24" s="1331"/>
      <c r="J24" s="3644">
        <v>20.9</v>
      </c>
      <c r="K24" s="867"/>
    </row>
    <row r="25" spans="2:11">
      <c r="B25" s="867"/>
      <c r="C25" s="1330" t="s">
        <v>1398</v>
      </c>
      <c r="D25" s="1329"/>
      <c r="E25" s="1329"/>
      <c r="F25" s="1329"/>
      <c r="G25" s="1331"/>
      <c r="H25" s="1333">
        <v>700</v>
      </c>
      <c r="I25" s="1331"/>
      <c r="J25" s="3644">
        <v>143.1</v>
      </c>
      <c r="K25" s="867"/>
    </row>
    <row r="26" spans="2:11">
      <c r="B26" s="867"/>
      <c r="C26" s="1330" t="s">
        <v>463</v>
      </c>
      <c r="D26" s="1329"/>
      <c r="E26" s="1329"/>
      <c r="F26" s="1329"/>
      <c r="G26" s="1334"/>
      <c r="H26" s="1333">
        <v>15583.9</v>
      </c>
      <c r="I26" s="1334"/>
      <c r="J26" s="3645">
        <v>14061.2</v>
      </c>
      <c r="K26" s="867" t="s">
        <v>14</v>
      </c>
    </row>
    <row r="27" spans="2:11">
      <c r="B27" s="867"/>
      <c r="C27" s="1330" t="s">
        <v>464</v>
      </c>
      <c r="D27" s="1329"/>
      <c r="E27" s="1329"/>
      <c r="F27" s="1329"/>
      <c r="G27" s="1334"/>
      <c r="H27" s="1333">
        <v>2940.4</v>
      </c>
      <c r="I27" s="1334"/>
      <c r="J27" s="3645">
        <v>2902.9</v>
      </c>
      <c r="K27" s="867" t="s">
        <v>14</v>
      </c>
    </row>
    <row r="28" spans="2:11">
      <c r="B28" s="867"/>
      <c r="C28" s="872" t="s">
        <v>754</v>
      </c>
      <c r="D28" s="1329"/>
      <c r="E28" s="1329"/>
      <c r="F28" s="1329"/>
      <c r="G28" s="1335"/>
      <c r="H28" s="1333">
        <v>923</v>
      </c>
      <c r="I28" s="1335"/>
      <c r="J28" s="3645">
        <v>48</v>
      </c>
      <c r="K28" s="867"/>
    </row>
    <row r="29" spans="2:11" ht="16" thickBot="1">
      <c r="B29" s="867"/>
      <c r="C29" s="1329"/>
      <c r="D29" s="1329"/>
      <c r="E29" s="1329"/>
      <c r="F29" s="1329"/>
      <c r="G29" s="401"/>
      <c r="H29" s="1881">
        <f>ROUND(SUM(H23:H28),1)</f>
        <v>51231.9</v>
      </c>
      <c r="I29" s="401"/>
      <c r="J29" s="3395">
        <f>ROUND(SUM(J23:J28),1)</f>
        <v>35368.400000000001</v>
      </c>
      <c r="K29" s="867"/>
    </row>
    <row r="30" spans="2:11" ht="16" thickTop="1">
      <c r="B30" s="396"/>
      <c r="G30" s="1336"/>
      <c r="H30" s="1336"/>
      <c r="I30" s="1336"/>
      <c r="J30" s="707"/>
      <c r="K30" s="396"/>
    </row>
    <row r="31" spans="2:11">
      <c r="B31" s="396"/>
      <c r="K31" s="396"/>
    </row>
    <row r="32" spans="2:11">
      <c r="B32" s="400"/>
      <c r="K32" s="396"/>
    </row>
    <row r="33" spans="2:12" ht="192.75" customHeight="1">
      <c r="B33" s="3991" t="s">
        <v>1384</v>
      </c>
      <c r="C33" s="3991"/>
      <c r="D33" s="3991"/>
      <c r="E33" s="3991"/>
      <c r="F33" s="3991"/>
      <c r="G33" s="3991"/>
      <c r="H33" s="3991"/>
      <c r="I33" s="3991"/>
      <c r="J33" s="3991"/>
      <c r="K33" s="396"/>
    </row>
    <row r="35" spans="2:12" ht="15" customHeight="1">
      <c r="B35" s="641" t="s">
        <v>876</v>
      </c>
      <c r="C35" s="706"/>
      <c r="D35" s="706"/>
      <c r="E35" s="706"/>
      <c r="F35" s="706"/>
      <c r="G35" s="706"/>
      <c r="H35" s="706"/>
      <c r="I35" s="706"/>
      <c r="J35" s="706"/>
      <c r="K35" s="706"/>
      <c r="L35" s="706"/>
    </row>
    <row r="36" spans="2:12" ht="17.25" customHeight="1">
      <c r="B36" s="704"/>
      <c r="C36" s="707"/>
      <c r="D36" s="707"/>
      <c r="E36" s="707"/>
      <c r="F36" s="707"/>
      <c r="G36" s="707"/>
      <c r="H36" s="707"/>
      <c r="I36" s="707"/>
      <c r="J36" s="707"/>
      <c r="K36" s="707"/>
      <c r="L36" s="402"/>
    </row>
    <row r="37" spans="2:12">
      <c r="B37" s="796"/>
      <c r="C37" s="796"/>
      <c r="D37" s="707"/>
      <c r="E37" s="707"/>
      <c r="F37" s="707"/>
      <c r="G37" s="707"/>
      <c r="H37" s="707"/>
      <c r="I37" s="707"/>
      <c r="J37" s="707"/>
      <c r="K37" s="707"/>
      <c r="L37" s="402"/>
    </row>
    <row r="38" spans="2:12">
      <c r="B38" s="704"/>
      <c r="C38" s="705"/>
      <c r="D38" s="707"/>
      <c r="E38" s="707"/>
      <c r="F38" s="707"/>
      <c r="G38" s="707"/>
      <c r="H38" s="707"/>
      <c r="I38" s="707"/>
      <c r="J38" s="707"/>
      <c r="K38" s="707"/>
      <c r="L38" s="402"/>
    </row>
    <row r="39" spans="2:12">
      <c r="B39" s="396"/>
      <c r="C39" s="796" t="s">
        <v>14</v>
      </c>
      <c r="D39" s="396"/>
      <c r="E39" s="396"/>
      <c r="F39" s="396"/>
      <c r="G39" s="396"/>
      <c r="H39" s="396"/>
      <c r="I39" s="396"/>
      <c r="J39" s="396"/>
    </row>
    <row r="40" spans="2:12">
      <c r="C40" s="796" t="s">
        <v>14</v>
      </c>
    </row>
  </sheetData>
  <mergeCells count="1">
    <mergeCell ref="B33:J33"/>
  </mergeCells>
  <printOptions horizontalCentered="1"/>
  <pageMargins left="0.5" right="0.5" top="1" bottom="0.5" header="0.5" footer="0.25"/>
  <pageSetup scale="69"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AN96"/>
  <sheetViews>
    <sheetView showGridLines="0" zoomScale="70" zoomScaleNormal="50" workbookViewId="0"/>
  </sheetViews>
  <sheetFormatPr defaultColWidth="8.84375" defaultRowHeight="15.5"/>
  <cols>
    <col min="1" max="1" width="45.4609375" style="1719" customWidth="1"/>
    <col min="2" max="2" width="17" style="1547" customWidth="1"/>
    <col min="3" max="3" width="1.84375" style="1547" customWidth="1"/>
    <col min="4" max="4" width="17" style="1547" customWidth="1"/>
    <col min="5" max="5" width="1.84375" style="1546" customWidth="1"/>
    <col min="6" max="6" width="17" style="1547" customWidth="1"/>
    <col min="7" max="7" width="1.84375" style="1546" customWidth="1"/>
    <col min="8" max="8" width="17" style="1547" customWidth="1"/>
    <col min="9" max="9" width="1.84375" style="1770" customWidth="1"/>
    <col min="10" max="10" width="17" style="1724" customWidth="1"/>
    <col min="11" max="11" width="1.84375" style="1724" customWidth="1"/>
    <col min="12" max="12" width="17" style="1724" customWidth="1"/>
    <col min="13" max="13" width="1.84375" style="1770" customWidth="1"/>
    <col min="14" max="14" width="17" style="1724" customWidth="1"/>
    <col min="15" max="15" width="1.84375" style="1770" customWidth="1"/>
    <col min="16" max="16" width="17" style="1724" customWidth="1"/>
    <col min="17" max="17" width="1.84375" style="1770" customWidth="1"/>
    <col min="18" max="18" width="17" style="1724" customWidth="1"/>
    <col min="19" max="19" width="1.84375" style="1770" customWidth="1"/>
    <col min="20" max="20" width="17" style="1724" customWidth="1"/>
    <col min="21" max="21" width="1.84375" style="1770" customWidth="1"/>
    <col min="22" max="22" width="17" style="1724" customWidth="1"/>
    <col min="23" max="23" width="1.84375" style="1770" customWidth="1"/>
    <col min="24" max="24" width="17" style="1724" customWidth="1"/>
    <col min="25" max="25" width="1.84375" style="1770" customWidth="1"/>
    <col min="26" max="26" width="22.53515625" style="1771" customWidth="1"/>
    <col min="27" max="27" width="1.53515625" style="1737" customWidth="1"/>
    <col min="28" max="28" width="18.84375" style="1719" bestFit="1" customWidth="1"/>
    <col min="29" max="29" width="12.84375" style="1719" bestFit="1" customWidth="1"/>
    <col min="30" max="16384" width="8.84375" style="1719"/>
  </cols>
  <sheetData>
    <row r="1" spans="1:40">
      <c r="A1" s="1486" t="s">
        <v>882</v>
      </c>
      <c r="B1" s="1297"/>
      <c r="C1" s="1297"/>
      <c r="D1" s="1297"/>
      <c r="E1" s="1297"/>
      <c r="F1" s="1297"/>
      <c r="G1" s="1297"/>
      <c r="H1" s="1297"/>
      <c r="I1" s="1718"/>
      <c r="J1" s="1718"/>
      <c r="K1" s="1718"/>
      <c r="L1" s="1718"/>
      <c r="M1" s="1718"/>
      <c r="N1" s="1718"/>
      <c r="O1" s="1718"/>
      <c r="P1" s="1718"/>
      <c r="Q1" s="1718"/>
      <c r="R1" s="1718"/>
      <c r="S1" s="1718"/>
      <c r="T1" s="1718"/>
      <c r="U1" s="1718"/>
      <c r="V1" s="1718"/>
      <c r="W1" s="1718"/>
      <c r="X1" s="1718"/>
      <c r="Y1" s="1718"/>
      <c r="Z1" s="1718"/>
      <c r="AA1" s="3408"/>
      <c r="AB1" s="1718"/>
      <c r="AC1" s="1718"/>
      <c r="AD1" s="1718"/>
      <c r="AE1" s="1718"/>
      <c r="AF1" s="1718"/>
      <c r="AG1" s="1718"/>
    </row>
    <row r="2" spans="1:40">
      <c r="A2" s="1486"/>
      <c r="B2" s="1297"/>
      <c r="C2" s="1297"/>
      <c r="D2" s="1297"/>
      <c r="E2" s="1297"/>
      <c r="F2" s="1297"/>
      <c r="G2" s="1297"/>
      <c r="H2" s="1297"/>
      <c r="I2" s="1718"/>
      <c r="J2" s="1718"/>
      <c r="K2" s="1718"/>
      <c r="L2" s="1718"/>
      <c r="M2" s="1718"/>
      <c r="N2" s="1718"/>
      <c r="O2" s="1718"/>
      <c r="P2" s="1718"/>
      <c r="Q2" s="1718"/>
      <c r="R2" s="1718"/>
      <c r="S2" s="1718"/>
      <c r="T2" s="1718"/>
      <c r="U2" s="1718"/>
      <c r="V2" s="1718"/>
      <c r="W2" s="1718"/>
      <c r="X2" s="1718"/>
      <c r="Y2" s="1718"/>
      <c r="Z2" s="1718"/>
      <c r="AA2" s="3408"/>
      <c r="AB2" s="1718"/>
      <c r="AC2" s="1718"/>
      <c r="AD2" s="1718"/>
      <c r="AE2" s="1718"/>
      <c r="AF2" s="1718"/>
      <c r="AG2" s="1718"/>
    </row>
    <row r="3" spans="1:40" ht="17.899999999999999" customHeight="1">
      <c r="A3" s="1720" t="s">
        <v>0</v>
      </c>
      <c r="B3" s="476"/>
      <c r="C3" s="476"/>
      <c r="D3" s="477"/>
      <c r="E3" s="478"/>
      <c r="F3" s="477"/>
      <c r="G3" s="478"/>
      <c r="H3" s="477"/>
      <c r="I3" s="1723"/>
      <c r="K3" s="1721"/>
      <c r="L3" s="1725"/>
      <c r="M3" s="1721"/>
      <c r="N3" s="1722"/>
      <c r="O3" s="1723"/>
      <c r="P3" s="1722"/>
      <c r="Q3" s="1723"/>
      <c r="R3" s="1722"/>
      <c r="S3" s="1723"/>
      <c r="T3" s="1722"/>
      <c r="U3" s="1723"/>
      <c r="V3" s="1722"/>
      <c r="W3" s="1723"/>
      <c r="X3" s="1722"/>
      <c r="Y3" s="1723"/>
      <c r="Z3" s="1726" t="s">
        <v>465</v>
      </c>
      <c r="AA3" s="3409"/>
      <c r="AC3" s="1721"/>
      <c r="AE3" s="1721"/>
    </row>
    <row r="4" spans="1:40" ht="17.899999999999999" customHeight="1">
      <c r="A4" s="1720" t="s">
        <v>466</v>
      </c>
      <c r="B4" s="1298"/>
      <c r="C4" s="1298"/>
      <c r="D4" s="480"/>
      <c r="E4" s="478"/>
      <c r="F4" s="1298"/>
      <c r="G4" s="478"/>
      <c r="H4" s="1298"/>
      <c r="I4" s="1723"/>
      <c r="J4" s="1727"/>
      <c r="K4" s="1727"/>
      <c r="L4" s="1727"/>
      <c r="M4" s="1728"/>
      <c r="N4" s="1727"/>
      <c r="O4" s="1723"/>
      <c r="P4" s="1727"/>
      <c r="Q4" s="1723"/>
      <c r="R4" s="1727"/>
      <c r="S4" s="1723"/>
      <c r="T4" s="1727"/>
      <c r="U4" s="1723"/>
      <c r="V4" s="1727"/>
      <c r="W4" s="1723"/>
      <c r="X4" s="1727"/>
      <c r="Y4" s="1723"/>
      <c r="Z4" s="1729"/>
      <c r="AA4" s="3409"/>
      <c r="AC4" s="1721"/>
    </row>
    <row r="5" spans="1:40" ht="17.899999999999999" customHeight="1">
      <c r="A5" s="1730" t="s">
        <v>1081</v>
      </c>
      <c r="B5" s="1298"/>
      <c r="C5" s="1298"/>
      <c r="D5" s="1298"/>
      <c r="E5" s="478"/>
      <c r="F5" s="1298"/>
      <c r="G5" s="478"/>
      <c r="H5" s="1298"/>
      <c r="I5" s="1723"/>
      <c r="J5" s="1727"/>
      <c r="K5" s="1727"/>
      <c r="L5" s="1727"/>
      <c r="M5" s="1728"/>
      <c r="N5" s="1727"/>
      <c r="O5" s="1723"/>
      <c r="P5" s="1727"/>
      <c r="Q5" s="1723"/>
      <c r="R5" s="1727"/>
      <c r="S5" s="1723"/>
      <c r="T5" s="1727"/>
      <c r="U5" s="1723"/>
      <c r="V5" s="1727"/>
      <c r="W5" s="1723"/>
      <c r="X5" s="1727"/>
      <c r="Y5" s="1723"/>
      <c r="Z5" s="1729"/>
    </row>
    <row r="6" spans="1:40" ht="17.899999999999999" customHeight="1">
      <c r="A6" s="1731" t="str">
        <f>'Cashflow Governmental'!A6</f>
        <v xml:space="preserve">FISCAL YEAR 2021-2022   </v>
      </c>
      <c r="B6" s="1298"/>
      <c r="C6" s="1298"/>
      <c r="D6" s="485"/>
      <c r="E6" s="478"/>
      <c r="F6" s="1298"/>
      <c r="G6" s="478"/>
      <c r="H6" s="1298"/>
      <c r="I6" s="1723"/>
      <c r="J6" s="1727"/>
      <c r="K6" s="1727"/>
      <c r="L6" s="1727"/>
      <c r="M6" s="1728"/>
      <c r="N6" s="1727"/>
      <c r="O6" s="1723"/>
      <c r="P6" s="1727"/>
      <c r="Q6" s="1723"/>
      <c r="R6" s="1727"/>
      <c r="S6" s="1723"/>
      <c r="T6" s="1727"/>
      <c r="U6" s="1723"/>
      <c r="V6" s="1727"/>
      <c r="W6" s="1723"/>
      <c r="X6" s="1727"/>
      <c r="Y6" s="1723"/>
      <c r="Z6" s="1729"/>
    </row>
    <row r="7" spans="1:40" ht="18">
      <c r="A7" s="1732"/>
      <c r="B7" s="1298"/>
      <c r="C7" s="1298"/>
      <c r="D7" s="1298"/>
      <c r="E7" s="478"/>
      <c r="F7" s="1298"/>
      <c r="G7" s="478"/>
      <c r="H7" s="1298"/>
      <c r="I7" s="1723"/>
      <c r="J7" s="1727"/>
      <c r="K7" s="1727"/>
      <c r="L7" s="1727"/>
      <c r="M7" s="1728"/>
      <c r="N7" s="1727"/>
      <c r="O7" s="1723"/>
      <c r="P7" s="1727"/>
      <c r="Q7" s="1723"/>
      <c r="R7" s="1733"/>
      <c r="S7" s="1723"/>
      <c r="T7" s="1733"/>
      <c r="U7" s="1723"/>
      <c r="V7" s="1733"/>
      <c r="W7" s="1723"/>
      <c r="X7" s="1733"/>
      <c r="Y7" s="1723"/>
      <c r="Z7" s="1729"/>
    </row>
    <row r="8" spans="1:40">
      <c r="A8" s="1734"/>
      <c r="B8" s="1298"/>
      <c r="C8" s="1298"/>
      <c r="D8" s="1298"/>
      <c r="E8" s="478"/>
      <c r="F8" s="1298"/>
      <c r="G8" s="478"/>
      <c r="H8" s="1298"/>
      <c r="I8" s="1723"/>
      <c r="J8" s="1727"/>
      <c r="K8" s="1727"/>
      <c r="L8" s="1727"/>
      <c r="M8" s="1723"/>
      <c r="N8" s="1727"/>
      <c r="O8" s="1723"/>
      <c r="P8" s="1727"/>
      <c r="Q8" s="1723"/>
      <c r="R8" s="1727"/>
      <c r="S8" s="1723"/>
      <c r="T8" s="1727"/>
      <c r="U8" s="1723"/>
      <c r="V8" s="1727"/>
      <c r="W8" s="1723"/>
      <c r="X8" s="1727"/>
      <c r="Y8" s="1723"/>
      <c r="Z8" s="1735"/>
      <c r="AA8" s="1736"/>
    </row>
    <row r="9" spans="1:40">
      <c r="A9" s="1737"/>
      <c r="B9" s="898" t="str">
        <f>'Cashflow Governmental'!C13</f>
        <v>2021</v>
      </c>
      <c r="C9" s="488"/>
      <c r="D9" s="488"/>
      <c r="E9" s="481"/>
      <c r="F9" s="488"/>
      <c r="G9" s="481"/>
      <c r="H9" s="488"/>
      <c r="I9" s="1728"/>
      <c r="J9" s="1739"/>
      <c r="K9" s="1739"/>
      <c r="L9" s="1740"/>
      <c r="M9" s="1728"/>
      <c r="N9" s="1740"/>
      <c r="O9" s="1728"/>
      <c r="P9" s="1740"/>
      <c r="Q9" s="1728"/>
      <c r="R9" s="1740"/>
      <c r="S9" s="1728"/>
      <c r="T9" s="1738">
        <f>'Cashflow Governmental'!U13</f>
        <v>2022</v>
      </c>
      <c r="U9" s="1728"/>
      <c r="V9" s="1740"/>
      <c r="W9" s="1728"/>
      <c r="X9" s="1740"/>
      <c r="Y9" s="1728"/>
      <c r="Z9" s="1741" t="s">
        <v>1571</v>
      </c>
      <c r="AA9" s="1741"/>
    </row>
    <row r="10" spans="1:40">
      <c r="A10" s="1737"/>
      <c r="B10" s="491" t="s">
        <v>123</v>
      </c>
      <c r="C10" s="492"/>
      <c r="D10" s="489" t="s">
        <v>124</v>
      </c>
      <c r="E10" s="481"/>
      <c r="F10" s="489" t="s">
        <v>125</v>
      </c>
      <c r="G10" s="481"/>
      <c r="H10" s="489" t="s">
        <v>126</v>
      </c>
      <c r="I10" s="1728"/>
      <c r="J10" s="1919" t="s">
        <v>127</v>
      </c>
      <c r="K10" s="493"/>
      <c r="L10" s="1740" t="s">
        <v>142</v>
      </c>
      <c r="M10" s="1728"/>
      <c r="N10" s="1740" t="s">
        <v>143</v>
      </c>
      <c r="O10" s="1728"/>
      <c r="P10" s="1740" t="s">
        <v>130</v>
      </c>
      <c r="Q10" s="1728"/>
      <c r="R10" s="1740" t="s">
        <v>131</v>
      </c>
      <c r="S10" s="1728"/>
      <c r="T10" s="1740" t="s">
        <v>132</v>
      </c>
      <c r="U10" s="1728"/>
      <c r="V10" s="1740" t="s">
        <v>133</v>
      </c>
      <c r="W10" s="1728"/>
      <c r="X10" s="1740" t="s">
        <v>184</v>
      </c>
      <c r="Y10" s="1728"/>
      <c r="Z10" s="1742">
        <v>44469</v>
      </c>
      <c r="AA10" s="1742"/>
    </row>
    <row r="11" spans="1:40">
      <c r="A11" s="1737"/>
      <c r="B11" s="1847" t="s">
        <v>14</v>
      </c>
      <c r="C11" s="1302"/>
      <c r="D11" s="1847"/>
      <c r="E11" s="1303"/>
      <c r="F11" s="1847"/>
      <c r="G11" s="1303"/>
      <c r="H11" s="1847"/>
      <c r="I11" s="1745"/>
      <c r="J11" s="1743"/>
      <c r="K11" s="493"/>
      <c r="L11" s="1743"/>
      <c r="M11" s="1745"/>
      <c r="N11" s="1743"/>
      <c r="O11" s="1745"/>
      <c r="P11" s="1743"/>
      <c r="Q11" s="1745"/>
      <c r="R11" s="1743"/>
      <c r="S11" s="1745"/>
      <c r="T11" s="1743"/>
      <c r="U11" s="1745"/>
      <c r="V11" s="1743"/>
      <c r="W11" s="1745"/>
      <c r="X11" s="1743"/>
      <c r="Y11" s="1745"/>
      <c r="Z11" s="1746" t="s">
        <v>14</v>
      </c>
      <c r="AB11" s="1747"/>
      <c r="AC11" s="1747"/>
      <c r="AD11" s="1747"/>
      <c r="AE11" s="1747"/>
      <c r="AF11" s="1747"/>
      <c r="AG11" s="1747"/>
      <c r="AH11" s="1747"/>
      <c r="AI11" s="1747"/>
      <c r="AJ11" s="1747"/>
      <c r="AK11" s="1747"/>
      <c r="AL11" s="1747"/>
      <c r="AM11" s="1747"/>
      <c r="AN11" s="1747"/>
    </row>
    <row r="12" spans="1:40" s="1749" customFormat="1">
      <c r="A12" s="507" t="s">
        <v>467</v>
      </c>
      <c r="B12" s="496">
        <v>15864357</v>
      </c>
      <c r="C12" s="497"/>
      <c r="D12" s="496">
        <f>B47</f>
        <v>114747009</v>
      </c>
      <c r="E12" s="1304"/>
      <c r="F12" s="496">
        <f>D47</f>
        <v>145654657</v>
      </c>
      <c r="G12" s="1304"/>
      <c r="H12" s="496">
        <f>F47</f>
        <v>159720053</v>
      </c>
      <c r="I12" s="1748"/>
      <c r="J12" s="496">
        <f>H47</f>
        <v>245054517</v>
      </c>
      <c r="K12" s="498"/>
      <c r="L12" s="496">
        <f>J47</f>
        <v>236162456</v>
      </c>
      <c r="M12" s="508"/>
      <c r="N12" s="509"/>
      <c r="O12" s="509"/>
      <c r="P12" s="509"/>
      <c r="Q12" s="509"/>
      <c r="R12" s="509"/>
      <c r="S12" s="509"/>
      <c r="T12" s="509"/>
      <c r="U12" s="509"/>
      <c r="V12" s="509"/>
      <c r="W12" s="509"/>
      <c r="X12" s="509"/>
      <c r="Y12" s="509"/>
      <c r="Z12" s="509">
        <f>+B12</f>
        <v>15864357</v>
      </c>
      <c r="AA12" s="3410"/>
    </row>
    <row r="13" spans="1:40">
      <c r="A13" s="1750"/>
      <c r="B13" s="1306"/>
      <c r="C13" s="1307"/>
      <c r="D13" s="1306"/>
      <c r="E13" s="1306"/>
      <c r="F13" s="1306"/>
      <c r="G13" s="1306"/>
      <c r="H13" s="1306"/>
      <c r="I13" s="1316"/>
      <c r="J13" s="1316"/>
      <c r="K13" s="493"/>
      <c r="L13" s="1316"/>
      <c r="M13" s="1316"/>
      <c r="N13" s="1316"/>
      <c r="O13" s="1316"/>
      <c r="P13" s="1316"/>
      <c r="Q13" s="1316"/>
      <c r="R13" s="1316"/>
      <c r="S13" s="1316"/>
      <c r="T13" s="1316"/>
      <c r="U13" s="1316"/>
      <c r="V13" s="1316"/>
      <c r="W13" s="1316"/>
      <c r="X13" s="1316"/>
      <c r="Y13" s="1316"/>
      <c r="Z13" s="1752"/>
    </row>
    <row r="14" spans="1:40">
      <c r="A14" s="506" t="s">
        <v>13</v>
      </c>
      <c r="B14" s="1306"/>
      <c r="C14" s="1307"/>
      <c r="D14" s="1306"/>
      <c r="E14" s="1306"/>
      <c r="F14" s="1306"/>
      <c r="G14" s="1306"/>
      <c r="H14" s="1306"/>
      <c r="I14" s="1316"/>
      <c r="J14" s="1316"/>
      <c r="K14" s="1316"/>
      <c r="L14" s="1316"/>
      <c r="M14" s="1316"/>
      <c r="N14" s="1316"/>
      <c r="O14" s="1316"/>
      <c r="P14" s="1316"/>
      <c r="Q14" s="1316"/>
      <c r="R14" s="1316"/>
      <c r="S14" s="1316"/>
      <c r="T14" s="1316"/>
      <c r="U14" s="1316"/>
      <c r="V14" s="1316"/>
      <c r="W14" s="1316"/>
      <c r="X14" s="1316"/>
      <c r="Y14" s="1316"/>
      <c r="Z14" s="1752"/>
    </row>
    <row r="15" spans="1:40">
      <c r="A15" s="808" t="s">
        <v>468</v>
      </c>
      <c r="B15" s="1309">
        <v>69708587</v>
      </c>
      <c r="C15" s="1310"/>
      <c r="D15" s="1309">
        <v>51733707</v>
      </c>
      <c r="E15" s="1309"/>
      <c r="F15" s="1309">
        <v>64925784</v>
      </c>
      <c r="G15" s="1309"/>
      <c r="H15" s="1309">
        <v>59829609</v>
      </c>
      <c r="I15" s="1314"/>
      <c r="J15" s="1309">
        <v>62332930</v>
      </c>
      <c r="K15" s="1314"/>
      <c r="L15" s="1309">
        <f>$Z15-$B15-$D15-$F15-$H15-$J15</f>
        <v>56116441</v>
      </c>
      <c r="M15" s="1316"/>
      <c r="N15" s="1314"/>
      <c r="O15" s="1314"/>
      <c r="P15" s="1314"/>
      <c r="Q15" s="1314"/>
      <c r="R15" s="1314"/>
      <c r="S15" s="1314"/>
      <c r="T15" s="1314"/>
      <c r="U15" s="1314"/>
      <c r="V15" s="1314"/>
      <c r="W15" s="1314"/>
      <c r="X15" s="1314"/>
      <c r="Y15" s="1314"/>
      <c r="Z15" s="1314">
        <v>364647058</v>
      </c>
    </row>
    <row r="16" spans="1:40">
      <c r="A16" s="808" t="s">
        <v>1374</v>
      </c>
      <c r="B16" s="1309">
        <v>1648000</v>
      </c>
      <c r="C16" s="1310"/>
      <c r="D16" s="1309">
        <v>1459000</v>
      </c>
      <c r="E16" s="1309"/>
      <c r="F16" s="1309">
        <v>1274000</v>
      </c>
      <c r="G16" s="1309"/>
      <c r="H16" s="1309">
        <v>1676000</v>
      </c>
      <c r="I16" s="1314"/>
      <c r="J16" s="1309">
        <v>1306000</v>
      </c>
      <c r="K16" s="1314"/>
      <c r="L16" s="1309">
        <f t="shared" ref="L16:L24" si="0">$Z16-$B16-$D16-$F16-$H16-$J16</f>
        <v>1626000</v>
      </c>
      <c r="M16" s="1316"/>
      <c r="N16" s="1314"/>
      <c r="O16" s="1314"/>
      <c r="P16" s="1314"/>
      <c r="Q16" s="1314"/>
      <c r="R16" s="1314"/>
      <c r="S16" s="1314"/>
      <c r="T16" s="1314"/>
      <c r="U16" s="1314"/>
      <c r="V16" s="1314"/>
      <c r="W16" s="1314"/>
      <c r="X16" s="1314"/>
      <c r="Y16" s="1314"/>
      <c r="Z16" s="1314">
        <v>8989000</v>
      </c>
    </row>
    <row r="17" spans="1:28">
      <c r="A17" s="808" t="s">
        <v>1366</v>
      </c>
      <c r="B17" s="1309">
        <v>195233</v>
      </c>
      <c r="C17" s="1310"/>
      <c r="D17" s="1309">
        <v>36284</v>
      </c>
      <c r="E17" s="1309"/>
      <c r="F17" s="1309">
        <v>6603432</v>
      </c>
      <c r="G17" s="1309"/>
      <c r="H17" s="1309">
        <v>121491</v>
      </c>
      <c r="I17" s="1314"/>
      <c r="J17" s="1309">
        <v>8416</v>
      </c>
      <c r="K17" s="1314"/>
      <c r="L17" s="1309">
        <f t="shared" si="0"/>
        <v>7791035</v>
      </c>
      <c r="M17" s="1316"/>
      <c r="N17" s="1314"/>
      <c r="O17" s="1314"/>
      <c r="P17" s="1314"/>
      <c r="Q17" s="1314"/>
      <c r="R17" s="1314"/>
      <c r="S17" s="1314"/>
      <c r="T17" s="1314"/>
      <c r="U17" s="1314"/>
      <c r="V17" s="1314"/>
      <c r="W17" s="1314"/>
      <c r="X17" s="1314"/>
      <c r="Y17" s="1314"/>
      <c r="Z17" s="1314">
        <v>14755891</v>
      </c>
    </row>
    <row r="18" spans="1:28">
      <c r="A18" s="808" t="s">
        <v>469</v>
      </c>
      <c r="B18" s="1309">
        <v>25976</v>
      </c>
      <c r="C18" s="1310"/>
      <c r="D18" s="1309">
        <v>16935</v>
      </c>
      <c r="E18" s="1309"/>
      <c r="F18" s="1309">
        <v>19037</v>
      </c>
      <c r="G18" s="1309"/>
      <c r="H18" s="1309">
        <v>14171</v>
      </c>
      <c r="I18" s="1314"/>
      <c r="J18" s="1309">
        <v>14291</v>
      </c>
      <c r="K18" s="1314"/>
      <c r="L18" s="1309">
        <f t="shared" si="0"/>
        <v>22003</v>
      </c>
      <c r="M18" s="1316"/>
      <c r="N18" s="1314"/>
      <c r="O18" s="1314"/>
      <c r="P18" s="1314"/>
      <c r="Q18" s="1314"/>
      <c r="R18" s="1314"/>
      <c r="S18" s="1314"/>
      <c r="T18" s="1314"/>
      <c r="U18" s="1314"/>
      <c r="V18" s="1314"/>
      <c r="W18" s="1314"/>
      <c r="X18" s="1314"/>
      <c r="Y18" s="1314"/>
      <c r="Z18" s="1314">
        <v>112413</v>
      </c>
    </row>
    <row r="19" spans="1:28">
      <c r="A19" s="808" t="s">
        <v>470</v>
      </c>
      <c r="B19" s="1309">
        <v>0</v>
      </c>
      <c r="C19" s="1312"/>
      <c r="D19" s="1309">
        <v>0</v>
      </c>
      <c r="E19" s="1848"/>
      <c r="F19" s="1309">
        <v>0</v>
      </c>
      <c r="G19" s="1848"/>
      <c r="H19" s="1309">
        <v>0</v>
      </c>
      <c r="I19" s="1314"/>
      <c r="J19" s="1309">
        <v>0</v>
      </c>
      <c r="K19" s="1753"/>
      <c r="L19" s="1309">
        <f t="shared" si="0"/>
        <v>0</v>
      </c>
      <c r="M19" s="1316"/>
      <c r="N19" s="1314"/>
      <c r="O19" s="1314"/>
      <c r="P19" s="1314"/>
      <c r="Q19" s="1314"/>
      <c r="R19" s="1314"/>
      <c r="S19" s="1314"/>
      <c r="T19" s="1314"/>
      <c r="U19" s="1314"/>
      <c r="V19" s="1314"/>
      <c r="W19" s="1314"/>
      <c r="X19" s="1314"/>
      <c r="Y19" s="1314"/>
      <c r="Z19" s="1320">
        <v>0</v>
      </c>
    </row>
    <row r="20" spans="1:28">
      <c r="A20" s="808" t="s">
        <v>471</v>
      </c>
      <c r="B20" s="1309">
        <v>414748474</v>
      </c>
      <c r="C20" s="1310"/>
      <c r="D20" s="1309">
        <v>457225416</v>
      </c>
      <c r="E20" s="1309"/>
      <c r="F20" s="1309">
        <v>477819714</v>
      </c>
      <c r="G20" s="1309"/>
      <c r="H20" s="1309">
        <v>458852224</v>
      </c>
      <c r="I20" s="1314"/>
      <c r="J20" s="1309">
        <v>457886237</v>
      </c>
      <c r="K20" s="1314"/>
      <c r="L20" s="1309">
        <f t="shared" si="0"/>
        <v>461408108</v>
      </c>
      <c r="M20" s="1316"/>
      <c r="N20" s="1314"/>
      <c r="O20" s="1314"/>
      <c r="P20" s="1314"/>
      <c r="Q20" s="1314"/>
      <c r="R20" s="1314"/>
      <c r="S20" s="1314"/>
      <c r="T20" s="1314"/>
      <c r="U20" s="1314"/>
      <c r="V20" s="1314"/>
      <c r="W20" s="1314"/>
      <c r="X20" s="1314"/>
      <c r="Y20" s="1314"/>
      <c r="Z20" s="1314">
        <v>2727940173</v>
      </c>
    </row>
    <row r="21" spans="1:28">
      <c r="A21" s="808" t="s">
        <v>472</v>
      </c>
      <c r="B21" s="1309">
        <v>279000</v>
      </c>
      <c r="C21" s="1312"/>
      <c r="D21" s="1309">
        <v>75000</v>
      </c>
      <c r="E21" s="1309"/>
      <c r="F21" s="1309">
        <v>757099</v>
      </c>
      <c r="G21" s="1309"/>
      <c r="H21" s="1309">
        <v>897000</v>
      </c>
      <c r="I21" s="1314"/>
      <c r="J21" s="1309">
        <v>1566000</v>
      </c>
      <c r="K21" s="1317"/>
      <c r="L21" s="1309">
        <f t="shared" si="0"/>
        <v>618000</v>
      </c>
      <c r="M21" s="1316"/>
      <c r="N21" s="1314"/>
      <c r="O21" s="1314"/>
      <c r="P21" s="1314"/>
      <c r="Q21" s="1314"/>
      <c r="R21" s="1314"/>
      <c r="S21" s="1314"/>
      <c r="T21" s="1314"/>
      <c r="U21" s="1314"/>
      <c r="V21" s="1314"/>
      <c r="W21" s="1320"/>
      <c r="X21" s="1314"/>
      <c r="Y21" s="1314"/>
      <c r="Z21" s="1314">
        <v>4192099</v>
      </c>
    </row>
    <row r="22" spans="1:28">
      <c r="A22" s="808" t="s">
        <v>473</v>
      </c>
      <c r="B22" s="1309">
        <v>4640806</v>
      </c>
      <c r="C22" s="1312"/>
      <c r="D22" s="1309">
        <v>263285</v>
      </c>
      <c r="E22" s="1309"/>
      <c r="F22" s="1309">
        <v>6664296</v>
      </c>
      <c r="G22" s="1309"/>
      <c r="H22" s="1309">
        <v>5005057</v>
      </c>
      <c r="I22" s="1314"/>
      <c r="J22" s="1309">
        <v>1011717</v>
      </c>
      <c r="K22" s="1317"/>
      <c r="L22" s="1309">
        <f t="shared" si="0"/>
        <v>7553581</v>
      </c>
      <c r="M22" s="1316"/>
      <c r="N22" s="1314"/>
      <c r="O22" s="1314"/>
      <c r="P22" s="1314"/>
      <c r="Q22" s="1314"/>
      <c r="R22" s="1314"/>
      <c r="S22" s="1314"/>
      <c r="T22" s="1314"/>
      <c r="U22" s="1314"/>
      <c r="V22" s="1314"/>
      <c r="W22" s="1320"/>
      <c r="X22" s="1314"/>
      <c r="Y22" s="1314"/>
      <c r="Z22" s="1314">
        <v>25138742</v>
      </c>
    </row>
    <row r="23" spans="1:28">
      <c r="A23" s="808" t="s">
        <v>474</v>
      </c>
      <c r="B23" s="1309">
        <v>0</v>
      </c>
      <c r="C23" s="1312"/>
      <c r="D23" s="1309">
        <v>0</v>
      </c>
      <c r="E23" s="1309"/>
      <c r="F23" s="1309">
        <v>0</v>
      </c>
      <c r="G23" s="1309"/>
      <c r="H23" s="1309">
        <v>0</v>
      </c>
      <c r="I23" s="1314"/>
      <c r="J23" s="1309">
        <v>0</v>
      </c>
      <c r="K23" s="1317"/>
      <c r="L23" s="1309">
        <f t="shared" si="0"/>
        <v>0</v>
      </c>
      <c r="M23" s="1316"/>
      <c r="N23" s="1314"/>
      <c r="O23" s="1314"/>
      <c r="P23" s="1314"/>
      <c r="Q23" s="1314"/>
      <c r="R23" s="1314"/>
      <c r="S23" s="1314"/>
      <c r="T23" s="1314"/>
      <c r="U23" s="1314"/>
      <c r="V23" s="1314"/>
      <c r="W23" s="1320"/>
      <c r="X23" s="1314"/>
      <c r="Y23" s="1314"/>
      <c r="Z23" s="1314">
        <v>0</v>
      </c>
    </row>
    <row r="24" spans="1:28">
      <c r="A24" s="808" t="s">
        <v>475</v>
      </c>
      <c r="B24" s="1309">
        <v>0</v>
      </c>
      <c r="C24" s="1849"/>
      <c r="D24" s="1309">
        <v>1104</v>
      </c>
      <c r="E24" s="1309"/>
      <c r="F24" s="1309">
        <v>3026622</v>
      </c>
      <c r="G24" s="1309"/>
      <c r="H24" s="1309">
        <v>8171</v>
      </c>
      <c r="I24" s="1314"/>
      <c r="J24" s="1309">
        <v>18066</v>
      </c>
      <c r="K24" s="1314"/>
      <c r="L24" s="1309">
        <f t="shared" si="0"/>
        <v>0</v>
      </c>
      <c r="M24" s="1316"/>
      <c r="N24" s="1314"/>
      <c r="O24" s="1314"/>
      <c r="P24" s="1314"/>
      <c r="Q24" s="1314"/>
      <c r="R24" s="1314"/>
      <c r="S24" s="1314"/>
      <c r="T24" s="1314"/>
      <c r="U24" s="1314"/>
      <c r="V24" s="1314"/>
      <c r="W24" s="1314"/>
      <c r="X24" s="1314"/>
      <c r="Y24" s="1314"/>
      <c r="Z24" s="1314">
        <v>3053963</v>
      </c>
    </row>
    <row r="25" spans="1:28" s="1749" customFormat="1">
      <c r="A25" s="506" t="s">
        <v>149</v>
      </c>
      <c r="B25" s="1850">
        <f>ROUND(SUM(B15:B24),0)</f>
        <v>491246076</v>
      </c>
      <c r="C25" s="502"/>
      <c r="D25" s="1850">
        <f>ROUND(SUM(D15:D24),0)</f>
        <v>510810731</v>
      </c>
      <c r="E25" s="503"/>
      <c r="F25" s="1850">
        <f>ROUND(SUM(F15:F24),0)</f>
        <v>561089984</v>
      </c>
      <c r="G25" s="503"/>
      <c r="H25" s="1850">
        <f>ROUND(SUM(H15:H24),0)</f>
        <v>526403723</v>
      </c>
      <c r="I25" s="1754"/>
      <c r="J25" s="1717">
        <f>ROUND(SUM(J15:J24),0)</f>
        <v>524143657</v>
      </c>
      <c r="K25" s="505"/>
      <c r="L25" s="1717">
        <f>ROUND(SUM(L15:L24),0)</f>
        <v>535135168</v>
      </c>
      <c r="M25" s="508"/>
      <c r="N25" s="1717">
        <f>ROUND(SUM(N15:N24),0)</f>
        <v>0</v>
      </c>
      <c r="O25" s="1754"/>
      <c r="P25" s="1717">
        <f>ROUND(SUM(P15:P24),0)</f>
        <v>0</v>
      </c>
      <c r="Q25" s="1754"/>
      <c r="R25" s="1717">
        <f>ROUND(SUM(R15:R24),0)</f>
        <v>0</v>
      </c>
      <c r="S25" s="1754"/>
      <c r="T25" s="1717">
        <f>ROUND(SUM(T15:T24),0)</f>
        <v>0</v>
      </c>
      <c r="U25" s="1754"/>
      <c r="V25" s="1717">
        <f>ROUND(SUM(V15:V24),0)</f>
        <v>0</v>
      </c>
      <c r="W25" s="1754"/>
      <c r="X25" s="1717">
        <f>ROUND(SUM(X15:X24),0)</f>
        <v>0</v>
      </c>
      <c r="Y25" s="1754"/>
      <c r="Z25" s="504">
        <f>ROUND(SUM(Z15:Z24),0)</f>
        <v>3148829339</v>
      </c>
      <c r="AA25" s="3410"/>
      <c r="AB25" s="1755"/>
    </row>
    <row r="26" spans="1:28">
      <c r="A26" s="1750"/>
      <c r="B26" s="1309"/>
      <c r="C26" s="1310"/>
      <c r="D26" s="1309"/>
      <c r="E26" s="1309"/>
      <c r="F26" s="1309"/>
      <c r="G26" s="1309"/>
      <c r="H26" s="1309"/>
      <c r="I26" s="1314"/>
      <c r="J26" s="1314"/>
      <c r="K26" s="1314"/>
      <c r="L26" s="1314"/>
      <c r="M26" s="1316"/>
      <c r="N26" s="1314"/>
      <c r="O26" s="1314"/>
      <c r="P26" s="1314"/>
      <c r="Q26" s="1314"/>
      <c r="R26" s="1314"/>
      <c r="S26" s="1314"/>
      <c r="T26" s="1314"/>
      <c r="U26" s="1314"/>
      <c r="V26" s="1314"/>
      <c r="W26" s="1314"/>
      <c r="X26" s="1314"/>
      <c r="Y26" s="1314"/>
      <c r="Z26" s="1311"/>
    </row>
    <row r="27" spans="1:28">
      <c r="A27" s="506" t="s">
        <v>22</v>
      </c>
      <c r="B27" s="1309"/>
      <c r="C27" s="1310"/>
      <c r="D27" s="1309"/>
      <c r="E27" s="1309"/>
      <c r="F27" s="1309"/>
      <c r="G27" s="1309"/>
      <c r="H27" s="1309"/>
      <c r="I27" s="1314"/>
      <c r="J27" s="1314"/>
      <c r="K27" s="1314"/>
      <c r="L27" s="1314"/>
      <c r="M27" s="1316"/>
      <c r="N27" s="1314"/>
      <c r="O27" s="1314"/>
      <c r="P27" s="1314"/>
      <c r="Q27" s="1314"/>
      <c r="R27" s="1314"/>
      <c r="S27" s="1314"/>
      <c r="T27" s="1314"/>
      <c r="U27" s="1314"/>
      <c r="V27" s="1314"/>
      <c r="W27" s="1314"/>
      <c r="X27" s="1314"/>
      <c r="Y27" s="1314"/>
      <c r="Z27" s="1311"/>
    </row>
    <row r="28" spans="1:28">
      <c r="A28" s="808" t="s">
        <v>476</v>
      </c>
      <c r="B28" s="1309">
        <v>389370867</v>
      </c>
      <c r="C28" s="1315"/>
      <c r="D28" s="1309">
        <v>471920457</v>
      </c>
      <c r="E28" s="1314"/>
      <c r="F28" s="1309">
        <v>537645318</v>
      </c>
      <c r="G28" s="1314"/>
      <c r="H28" s="1309">
        <v>431140487</v>
      </c>
      <c r="I28" s="1314"/>
      <c r="J28" s="1309">
        <v>525222097</v>
      </c>
      <c r="K28" s="1314"/>
      <c r="L28" s="1309">
        <f t="shared" ref="L28:L32" si="1">$Z28-$B28-$D28-$F28-$H28-$J28</f>
        <v>516132496</v>
      </c>
      <c r="M28" s="1316"/>
      <c r="N28" s="1314"/>
      <c r="O28" s="1314"/>
      <c r="P28" s="1314"/>
      <c r="Q28" s="1314"/>
      <c r="R28" s="1314"/>
      <c r="S28" s="1314"/>
      <c r="T28" s="1314"/>
      <c r="U28" s="1314"/>
      <c r="V28" s="1314"/>
      <c r="W28" s="1314"/>
      <c r="X28" s="1314"/>
      <c r="Y28" s="1314"/>
      <c r="Z28" s="1314">
        <v>2871431722</v>
      </c>
    </row>
    <row r="29" spans="1:28">
      <c r="A29" s="808" t="s">
        <v>477</v>
      </c>
      <c r="B29" s="1309">
        <v>47</v>
      </c>
      <c r="C29" s="1315"/>
      <c r="D29" s="1309">
        <v>108</v>
      </c>
      <c r="E29" s="1314"/>
      <c r="F29" s="1309">
        <v>157</v>
      </c>
      <c r="G29" s="1314"/>
      <c r="H29" s="1309">
        <v>1060</v>
      </c>
      <c r="I29" s="1314"/>
      <c r="J29" s="1309">
        <v>1583</v>
      </c>
      <c r="K29" s="1314"/>
      <c r="L29" s="1309">
        <f t="shared" si="1"/>
        <v>1361</v>
      </c>
      <c r="M29" s="1316"/>
      <c r="N29" s="1314"/>
      <c r="O29" s="1314"/>
      <c r="P29" s="1314"/>
      <c r="Q29" s="1314"/>
      <c r="R29" s="1314"/>
      <c r="S29" s="1314"/>
      <c r="T29" s="1314"/>
      <c r="U29" s="1314"/>
      <c r="V29" s="1314"/>
      <c r="W29" s="1314"/>
      <c r="X29" s="1314"/>
      <c r="Y29" s="1314"/>
      <c r="Z29" s="1314">
        <v>4316</v>
      </c>
      <c r="AB29" s="1756"/>
    </row>
    <row r="30" spans="1:28">
      <c r="A30" s="808" t="s">
        <v>478</v>
      </c>
      <c r="B30" s="1309">
        <v>927463</v>
      </c>
      <c r="C30" s="1315"/>
      <c r="D30" s="1309">
        <v>929434</v>
      </c>
      <c r="E30" s="1314"/>
      <c r="F30" s="1309">
        <v>521245</v>
      </c>
      <c r="G30" s="1314"/>
      <c r="H30" s="1309">
        <v>742436</v>
      </c>
      <c r="I30" s="1314"/>
      <c r="J30" s="1309">
        <v>1060813</v>
      </c>
      <c r="K30" s="1314"/>
      <c r="L30" s="1309">
        <f t="shared" si="1"/>
        <v>1319948</v>
      </c>
      <c r="M30" s="1316"/>
      <c r="N30" s="1314"/>
      <c r="O30" s="1314"/>
      <c r="P30" s="1314"/>
      <c r="Q30" s="1314"/>
      <c r="R30" s="1314"/>
      <c r="S30" s="1314"/>
      <c r="T30" s="1314"/>
      <c r="U30" s="1314"/>
      <c r="V30" s="1314"/>
      <c r="W30" s="1314"/>
      <c r="X30" s="1314"/>
      <c r="Y30" s="1314"/>
      <c r="Z30" s="1314">
        <v>5501339</v>
      </c>
    </row>
    <row r="31" spans="1:28">
      <c r="A31" s="808" t="s">
        <v>479</v>
      </c>
      <c r="B31" s="1309">
        <v>952452</v>
      </c>
      <c r="C31" s="1315"/>
      <c r="D31" s="1309">
        <v>6137767</v>
      </c>
      <c r="E31" s="1314"/>
      <c r="F31" s="1309">
        <v>6694728</v>
      </c>
      <c r="G31" s="1314"/>
      <c r="H31" s="1309">
        <v>2687862</v>
      </c>
      <c r="I31" s="1314"/>
      <c r="J31" s="1309">
        <v>5697716</v>
      </c>
      <c r="K31" s="1314"/>
      <c r="L31" s="1309">
        <f t="shared" si="1"/>
        <v>4428571</v>
      </c>
      <c r="M31" s="1316"/>
      <c r="N31" s="1314"/>
      <c r="O31" s="1314"/>
      <c r="P31" s="1314"/>
      <c r="Q31" s="1314"/>
      <c r="R31" s="1314"/>
      <c r="S31" s="1314"/>
      <c r="T31" s="1314"/>
      <c r="U31" s="1314"/>
      <c r="V31" s="1314"/>
      <c r="W31" s="1314"/>
      <c r="X31" s="1314"/>
      <c r="Y31" s="1314"/>
      <c r="Z31" s="1314">
        <v>26599096</v>
      </c>
    </row>
    <row r="32" spans="1:28">
      <c r="A32" s="808" t="s">
        <v>480</v>
      </c>
      <c r="B32" s="1309">
        <v>577094</v>
      </c>
      <c r="C32" s="1315"/>
      <c r="D32" s="1309">
        <v>581800</v>
      </c>
      <c r="E32" s="1314"/>
      <c r="F32" s="1309">
        <v>737800</v>
      </c>
      <c r="G32" s="1314"/>
      <c r="H32" s="1309">
        <v>148953</v>
      </c>
      <c r="I32" s="1314"/>
      <c r="J32" s="1309">
        <v>661882</v>
      </c>
      <c r="K32" s="1314"/>
      <c r="L32" s="1309">
        <f t="shared" si="1"/>
        <v>711327</v>
      </c>
      <c r="M32" s="1316"/>
      <c r="N32" s="1314"/>
      <c r="O32" s="1314"/>
      <c r="P32" s="1314"/>
      <c r="Q32" s="1314"/>
      <c r="R32" s="1314"/>
      <c r="S32" s="1314"/>
      <c r="T32" s="1314"/>
      <c r="U32" s="1314"/>
      <c r="V32" s="1314"/>
      <c r="W32" s="1314"/>
      <c r="X32" s="1314"/>
      <c r="Y32" s="1314"/>
      <c r="Z32" s="1314">
        <v>3418856</v>
      </c>
    </row>
    <row r="33" spans="1:28">
      <c r="A33" s="506" t="s">
        <v>155</v>
      </c>
      <c r="B33" s="1717">
        <f>ROUND(SUM(B28:B32),0)</f>
        <v>391827923</v>
      </c>
      <c r="C33" s="1315"/>
      <c r="D33" s="1717">
        <f>ROUND(SUM(D28:D32),0)</f>
        <v>479569566</v>
      </c>
      <c r="E33" s="1314"/>
      <c r="F33" s="1717">
        <f>ROUND(SUM(F28:F32),0)</f>
        <v>545599248</v>
      </c>
      <c r="G33" s="1314"/>
      <c r="H33" s="1717">
        <f>ROUND(SUM(H28:H32),0)</f>
        <v>434720798</v>
      </c>
      <c r="I33" s="1314"/>
      <c r="J33" s="1717">
        <f>ROUND(SUM(J28:J32),0)</f>
        <v>532644091</v>
      </c>
      <c r="K33" s="1314"/>
      <c r="L33" s="1717">
        <f>ROUND(SUM(L28:L32),0)</f>
        <v>522593703</v>
      </c>
      <c r="M33" s="1316"/>
      <c r="N33" s="1717">
        <f>ROUND(SUM(N28:N32),0)</f>
        <v>0</v>
      </c>
      <c r="O33" s="1314"/>
      <c r="P33" s="1717">
        <f>ROUND(SUM(P28:P32),0)</f>
        <v>0</v>
      </c>
      <c r="Q33" s="1314"/>
      <c r="R33" s="1717">
        <f>ROUND(SUM(R28:R32),0)</f>
        <v>0</v>
      </c>
      <c r="S33" s="1314"/>
      <c r="T33" s="1717">
        <f>ROUND(SUM(T28:T32),0)</f>
        <v>0</v>
      </c>
      <c r="U33" s="1314"/>
      <c r="V33" s="1717">
        <f>ROUND(SUM(V28:V32),0)</f>
        <v>0</v>
      </c>
      <c r="W33" s="1314"/>
      <c r="X33" s="1717">
        <f>ROUND(SUM(X28:X32),0)</f>
        <v>0</v>
      </c>
      <c r="Y33" s="1314"/>
      <c r="Z33" s="504">
        <f>ROUND(SUM(Z28:Z32),0)</f>
        <v>2906955329</v>
      </c>
    </row>
    <row r="34" spans="1:28">
      <c r="A34" s="506"/>
      <c r="B34" s="1314"/>
      <c r="C34" s="1315"/>
      <c r="D34" s="1314"/>
      <c r="E34" s="1314"/>
      <c r="F34" s="1320"/>
      <c r="G34" s="1314"/>
      <c r="H34" s="1320"/>
      <c r="I34" s="1314"/>
      <c r="J34" s="1314"/>
      <c r="K34" s="1314"/>
      <c r="L34" s="1314"/>
      <c r="M34" s="1316"/>
      <c r="N34" s="1314"/>
      <c r="O34" s="1314"/>
      <c r="P34" s="1314"/>
      <c r="Q34" s="1314"/>
      <c r="R34" s="1314"/>
      <c r="S34" s="1314"/>
      <c r="T34" s="1314"/>
      <c r="U34" s="1314"/>
      <c r="V34" s="1314"/>
      <c r="W34" s="1314"/>
      <c r="X34" s="1314"/>
      <c r="Y34" s="1314"/>
      <c r="Z34" s="1311"/>
    </row>
    <row r="35" spans="1:28">
      <c r="A35" s="507" t="s">
        <v>481</v>
      </c>
      <c r="B35" s="1320"/>
      <c r="C35" s="1321"/>
      <c r="D35" s="1320"/>
      <c r="E35" s="1314"/>
      <c r="F35" s="1319"/>
      <c r="G35" s="1314"/>
      <c r="H35" s="1320"/>
      <c r="I35" s="1314"/>
      <c r="J35" s="1320"/>
      <c r="K35" s="1314"/>
      <c r="L35" s="1320"/>
      <c r="M35" s="1316"/>
      <c r="N35" s="1320"/>
      <c r="O35" s="1314"/>
      <c r="P35" s="1320"/>
      <c r="Q35" s="1314"/>
      <c r="R35" s="1320"/>
      <c r="S35" s="1314"/>
      <c r="T35" s="1320"/>
      <c r="U35" s="1314"/>
      <c r="V35" s="1320"/>
      <c r="W35" s="1314"/>
      <c r="X35" s="1320"/>
      <c r="Y35" s="1314"/>
      <c r="Z35" s="1311"/>
    </row>
    <row r="36" spans="1:28">
      <c r="A36" s="808" t="s">
        <v>482</v>
      </c>
      <c r="B36" s="1309">
        <v>0</v>
      </c>
      <c r="C36" s="1321"/>
      <c r="D36" s="1309">
        <v>0</v>
      </c>
      <c r="E36" s="1314"/>
      <c r="F36" s="1309">
        <v>0</v>
      </c>
      <c r="G36" s="1314"/>
      <c r="H36" s="1309">
        <v>0</v>
      </c>
      <c r="I36" s="1314"/>
      <c r="J36" s="1309">
        <v>0</v>
      </c>
      <c r="K36" s="1314"/>
      <c r="L36" s="1309">
        <f t="shared" ref="L36:L42" si="2">$Z36-$B36-$D36-$F36-$H36-$J36</f>
        <v>0</v>
      </c>
      <c r="M36" s="1316"/>
      <c r="N36" s="1314"/>
      <c r="O36" s="1314"/>
      <c r="P36" s="1314"/>
      <c r="Q36" s="1314"/>
      <c r="R36" s="1314"/>
      <c r="S36" s="1314"/>
      <c r="T36" s="1314"/>
      <c r="U36" s="1314"/>
      <c r="V36" s="1314"/>
      <c r="W36" s="1314"/>
      <c r="X36" s="1314"/>
      <c r="Y36" s="1314"/>
      <c r="Z36" s="1314">
        <v>0</v>
      </c>
    </row>
    <row r="37" spans="1:28">
      <c r="A37" s="808" t="s">
        <v>483</v>
      </c>
      <c r="B37" s="1309">
        <v>0</v>
      </c>
      <c r="C37" s="1321"/>
      <c r="D37" s="1309">
        <v>1104</v>
      </c>
      <c r="E37" s="1314"/>
      <c r="F37" s="1309">
        <v>602000</v>
      </c>
      <c r="G37" s="1314"/>
      <c r="H37" s="1309">
        <v>6229171</v>
      </c>
      <c r="I37" s="1314"/>
      <c r="J37" s="1309">
        <v>0</v>
      </c>
      <c r="K37" s="1314"/>
      <c r="L37" s="1309">
        <f t="shared" si="2"/>
        <v>0</v>
      </c>
      <c r="M37" s="1316"/>
      <c r="N37" s="1314"/>
      <c r="O37" s="1314"/>
      <c r="P37" s="1314"/>
      <c r="Q37" s="1314"/>
      <c r="R37" s="1314"/>
      <c r="S37" s="1314"/>
      <c r="T37" s="1314"/>
      <c r="U37" s="1314"/>
      <c r="V37" s="1314"/>
      <c r="W37" s="1314"/>
      <c r="X37" s="1314"/>
      <c r="Y37" s="1314"/>
      <c r="Z37" s="1314">
        <v>6832275</v>
      </c>
    </row>
    <row r="38" spans="1:28">
      <c r="A38" s="808" t="s">
        <v>144</v>
      </c>
      <c r="B38" s="1309">
        <v>0</v>
      </c>
      <c r="C38" s="1321"/>
      <c r="D38" s="1309">
        <v>0</v>
      </c>
      <c r="E38" s="1314"/>
      <c r="F38" s="1309">
        <v>0</v>
      </c>
      <c r="G38" s="1314"/>
      <c r="H38" s="1309">
        <v>0</v>
      </c>
      <c r="I38" s="1314"/>
      <c r="J38" s="1309">
        <v>0</v>
      </c>
      <c r="K38" s="1314"/>
      <c r="L38" s="1309">
        <f t="shared" si="2"/>
        <v>0</v>
      </c>
      <c r="M38" s="1316"/>
      <c r="N38" s="1314"/>
      <c r="O38" s="1314"/>
      <c r="P38" s="1314"/>
      <c r="Q38" s="1314"/>
      <c r="R38" s="1314"/>
      <c r="S38" s="1314"/>
      <c r="T38" s="1314"/>
      <c r="U38" s="1314"/>
      <c r="V38" s="1314"/>
      <c r="W38" s="1314"/>
      <c r="X38" s="1314"/>
      <c r="Y38" s="1314"/>
      <c r="Z38" s="1314">
        <v>0</v>
      </c>
    </row>
    <row r="39" spans="1:28">
      <c r="A39" s="808" t="s">
        <v>1375</v>
      </c>
      <c r="B39" s="1309" t="s">
        <v>14</v>
      </c>
      <c r="C39" s="1852"/>
      <c r="D39" s="1309"/>
      <c r="E39" s="1852"/>
      <c r="F39" s="1309"/>
      <c r="G39" s="1852"/>
      <c r="H39" s="1309"/>
      <c r="I39" s="1757"/>
      <c r="J39" s="1309"/>
      <c r="K39" s="1757"/>
      <c r="L39" s="1309"/>
      <c r="M39" s="1316"/>
      <c r="N39" s="1314"/>
      <c r="O39" s="1757"/>
      <c r="P39" s="1314"/>
      <c r="Q39" s="1757"/>
      <c r="R39" s="1314"/>
      <c r="S39" s="1757"/>
      <c r="T39" s="1314"/>
      <c r="U39" s="1757"/>
      <c r="V39" s="1314"/>
      <c r="W39" s="1757"/>
      <c r="X39" s="1314"/>
      <c r="Y39" s="1757"/>
      <c r="Z39" s="1757"/>
    </row>
    <row r="40" spans="1:28">
      <c r="A40" s="808" t="s">
        <v>484</v>
      </c>
      <c r="B40" s="1309">
        <v>326891</v>
      </c>
      <c r="C40" s="1321"/>
      <c r="D40" s="1309">
        <v>0</v>
      </c>
      <c r="E40" s="1314"/>
      <c r="F40" s="1309">
        <v>340322</v>
      </c>
      <c r="G40" s="1314"/>
      <c r="H40" s="1309">
        <v>0</v>
      </c>
      <c r="I40" s="1314"/>
      <c r="J40" s="1309">
        <v>0</v>
      </c>
      <c r="K40" s="1314"/>
      <c r="L40" s="1309">
        <f t="shared" si="2"/>
        <v>0</v>
      </c>
      <c r="M40" s="1316"/>
      <c r="N40" s="1314"/>
      <c r="O40" s="1314"/>
      <c r="P40" s="1314"/>
      <c r="Q40" s="1314"/>
      <c r="R40" s="1314"/>
      <c r="S40" s="1314"/>
      <c r="T40" s="1314"/>
      <c r="U40" s="1314"/>
      <c r="V40" s="1314"/>
      <c r="W40" s="1314"/>
      <c r="X40" s="1314"/>
      <c r="Y40" s="1314"/>
      <c r="Z40" s="1314">
        <v>667213</v>
      </c>
    </row>
    <row r="41" spans="1:28">
      <c r="A41" s="808" t="s">
        <v>485</v>
      </c>
      <c r="B41" s="1309">
        <v>0</v>
      </c>
      <c r="C41" s="1321"/>
      <c r="D41" s="1309">
        <v>0</v>
      </c>
      <c r="E41" s="1314"/>
      <c r="F41" s="1309">
        <v>0</v>
      </c>
      <c r="G41" s="1314"/>
      <c r="H41" s="1309">
        <v>0</v>
      </c>
      <c r="I41" s="1314"/>
      <c r="J41" s="1309">
        <v>0</v>
      </c>
      <c r="K41" s="1314"/>
      <c r="L41" s="1309">
        <f t="shared" si="2"/>
        <v>0</v>
      </c>
      <c r="M41" s="1316"/>
      <c r="N41" s="1314"/>
      <c r="O41" s="1314"/>
      <c r="P41" s="1314"/>
      <c r="Q41" s="1314"/>
      <c r="R41" s="1314"/>
      <c r="S41" s="1314"/>
      <c r="T41" s="1314"/>
      <c r="U41" s="1314"/>
      <c r="V41" s="1314"/>
      <c r="W41" s="1314"/>
      <c r="X41" s="1314"/>
      <c r="Y41" s="1314"/>
      <c r="Z41" s="1314">
        <v>0</v>
      </c>
    </row>
    <row r="42" spans="1:28">
      <c r="A42" s="808" t="s">
        <v>486</v>
      </c>
      <c r="B42" s="1309">
        <v>208610</v>
      </c>
      <c r="C42" s="1321"/>
      <c r="D42" s="1309">
        <v>332413</v>
      </c>
      <c r="E42" s="1314"/>
      <c r="F42" s="1309">
        <v>483018</v>
      </c>
      <c r="G42" s="1314"/>
      <c r="H42" s="1309">
        <v>119290</v>
      </c>
      <c r="I42" s="1314"/>
      <c r="J42" s="1309">
        <v>391627</v>
      </c>
      <c r="K42" s="1314"/>
      <c r="L42" s="1309">
        <f t="shared" si="2"/>
        <v>320003</v>
      </c>
      <c r="M42" s="1316"/>
      <c r="N42" s="1314"/>
      <c r="O42" s="1314"/>
      <c r="P42" s="1314"/>
      <c r="Q42" s="1314"/>
      <c r="R42" s="1314"/>
      <c r="S42" s="1314"/>
      <c r="T42" s="1314"/>
      <c r="U42" s="1314"/>
      <c r="V42" s="1314"/>
      <c r="W42" s="1314"/>
      <c r="X42" s="1314"/>
      <c r="Y42" s="1314"/>
      <c r="Z42" s="1314">
        <v>1854961</v>
      </c>
    </row>
    <row r="43" spans="1:28">
      <c r="A43" s="506" t="s">
        <v>487</v>
      </c>
      <c r="B43" s="1853">
        <f>ROUND(SUM(B36:B42),0)</f>
        <v>535501</v>
      </c>
      <c r="C43" s="1312"/>
      <c r="D43" s="1853">
        <f>ROUND(SUM(D36:D42),0)</f>
        <v>333517</v>
      </c>
      <c r="E43" s="1309"/>
      <c r="F43" s="1853">
        <f>ROUND(SUM(F36:F42),0)</f>
        <v>1425340</v>
      </c>
      <c r="G43" s="1309"/>
      <c r="H43" s="1853">
        <f>ROUND(SUM(H36:H42),0)</f>
        <v>6348461</v>
      </c>
      <c r="I43" s="1314"/>
      <c r="J43" s="1758">
        <f>ROUND(SUM(J36:J42),0)</f>
        <v>391627</v>
      </c>
      <c r="K43" s="1314"/>
      <c r="L43" s="1758">
        <f>ROUND(SUM(L36:L42),0)</f>
        <v>320003</v>
      </c>
      <c r="M43" s="1316"/>
      <c r="N43" s="1758">
        <f>ROUND(SUM(N36:N42),0)</f>
        <v>0</v>
      </c>
      <c r="O43" s="1314"/>
      <c r="P43" s="1758">
        <f>ROUND(SUM(P36:P42),0)</f>
        <v>0</v>
      </c>
      <c r="Q43" s="1314"/>
      <c r="R43" s="1758">
        <f>ROUND(SUM(R36:R42),0)</f>
        <v>0</v>
      </c>
      <c r="S43" s="1314"/>
      <c r="T43" s="1758">
        <f>ROUND(SUM(T36:T42),0)</f>
        <v>0</v>
      </c>
      <c r="U43" s="1314"/>
      <c r="V43" s="1758">
        <f>ROUND(SUM(V36:V42),0)</f>
        <v>0</v>
      </c>
      <c r="W43" s="1314"/>
      <c r="X43" s="1758">
        <f>ROUND(SUM(X36:X42),0)</f>
        <v>0</v>
      </c>
      <c r="Y43" s="1314"/>
      <c r="Z43" s="1759">
        <f>ROUND(SUM(Z36:Z42),0)</f>
        <v>9354449</v>
      </c>
    </row>
    <row r="44" spans="1:28">
      <c r="B44" s="1854"/>
      <c r="C44" s="1312"/>
      <c r="D44" s="1854"/>
      <c r="E44" s="1309"/>
      <c r="F44" s="1855"/>
      <c r="G44" s="1309"/>
      <c r="H44" s="1854"/>
      <c r="I44" s="1314"/>
      <c r="J44" s="1760"/>
      <c r="K44" s="1314"/>
      <c r="L44" s="1760"/>
      <c r="M44" s="1316"/>
      <c r="N44" s="1760"/>
      <c r="O44" s="1314"/>
      <c r="P44" s="1760"/>
      <c r="Q44" s="1314"/>
      <c r="R44" s="1760"/>
      <c r="S44" s="1314"/>
      <c r="T44" s="1760"/>
      <c r="U44" s="1314"/>
      <c r="V44" s="1760"/>
      <c r="W44" s="1314"/>
      <c r="X44" s="1760"/>
      <c r="Y44" s="1314"/>
      <c r="Z44" s="1761"/>
    </row>
    <row r="45" spans="1:28" s="1749" customFormat="1">
      <c r="A45" s="506" t="s">
        <v>488</v>
      </c>
      <c r="B45" s="1323">
        <f>ROUND(B33+B43,0)</f>
        <v>392363424</v>
      </c>
      <c r="C45" s="502"/>
      <c r="D45" s="1323">
        <f>ROUND(D33+D43,0)</f>
        <v>479903083</v>
      </c>
      <c r="E45" s="503"/>
      <c r="F45" s="1323">
        <f>ROUND(F33+F43,0)</f>
        <v>547024588</v>
      </c>
      <c r="G45" s="503"/>
      <c r="H45" s="1323">
        <f>ROUND(H33+H43,0)</f>
        <v>441069259</v>
      </c>
      <c r="I45" s="1754"/>
      <c r="J45" s="1762">
        <f>ROUND(J33+J43,0)</f>
        <v>533035718</v>
      </c>
      <c r="K45" s="505"/>
      <c r="L45" s="1762">
        <f>ROUND(L33+L43,0)</f>
        <v>522913706</v>
      </c>
      <c r="M45" s="508"/>
      <c r="N45" s="1762">
        <f>ROUND(N33+N43,0)</f>
        <v>0</v>
      </c>
      <c r="O45" s="1754"/>
      <c r="P45" s="1762">
        <f>ROUND(P33+P43,0)</f>
        <v>0</v>
      </c>
      <c r="Q45" s="1754"/>
      <c r="R45" s="1762">
        <f>ROUND(R33+R43,0)</f>
        <v>0</v>
      </c>
      <c r="S45" s="1754"/>
      <c r="T45" s="1762">
        <f>ROUND(T33+T43,0)</f>
        <v>0</v>
      </c>
      <c r="U45" s="1754"/>
      <c r="V45" s="1762">
        <f>ROUND(V33+V43,0)</f>
        <v>0</v>
      </c>
      <c r="W45" s="1754"/>
      <c r="X45" s="1762">
        <f>ROUND(X33+X43,0)</f>
        <v>0</v>
      </c>
      <c r="Y45" s="1754"/>
      <c r="Z45" s="1762">
        <f>ROUND(Z33+Z43,0)</f>
        <v>2916309778</v>
      </c>
      <c r="AA45" s="3410"/>
      <c r="AB45" s="1755"/>
    </row>
    <row r="46" spans="1:28">
      <c r="A46" s="1750"/>
      <c r="B46" s="1307"/>
      <c r="C46" s="1307"/>
      <c r="D46" s="1307"/>
      <c r="E46" s="1306"/>
      <c r="F46" s="1307"/>
      <c r="G46" s="1306"/>
      <c r="H46" s="1307"/>
      <c r="I46" s="1316"/>
      <c r="J46" s="1751"/>
      <c r="K46" s="1751"/>
      <c r="L46" s="1751"/>
      <c r="M46" s="1316"/>
      <c r="N46" s="1751"/>
      <c r="O46" s="1316"/>
      <c r="P46" s="1751"/>
      <c r="Q46" s="1316"/>
      <c r="R46" s="1751"/>
      <c r="S46" s="1316"/>
      <c r="T46" s="1751"/>
      <c r="U46" s="1316"/>
      <c r="V46" s="1751"/>
      <c r="W46" s="1316"/>
      <c r="X46" s="1751"/>
      <c r="Y46" s="1316"/>
      <c r="Z46" s="1763"/>
    </row>
    <row r="47" spans="1:28" s="1749" customFormat="1" ht="16" thickBot="1">
      <c r="A47" s="507" t="s">
        <v>489</v>
      </c>
      <c r="B47" s="1550">
        <f>ROUND(B12+B25-B45,0)</f>
        <v>114747009</v>
      </c>
      <c r="C47" s="497"/>
      <c r="D47" s="1550">
        <f>ROUND(D12+D25-D45,0)</f>
        <v>145654657</v>
      </c>
      <c r="E47" s="1304"/>
      <c r="F47" s="1550">
        <f>ROUND(F12+F25-F45,0)</f>
        <v>159720053</v>
      </c>
      <c r="G47" s="1304"/>
      <c r="H47" s="1550">
        <f>ROUND(H12+H25-H45,0)</f>
        <v>245054517</v>
      </c>
      <c r="I47" s="1748"/>
      <c r="J47" s="1764">
        <f>ROUND(J12+J25-J45,0)</f>
        <v>236162456</v>
      </c>
      <c r="K47" s="498"/>
      <c r="L47" s="1764">
        <f>ROUND(L12+L25-L45,0)</f>
        <v>248383918</v>
      </c>
      <c r="M47" s="508"/>
      <c r="N47" s="1764">
        <f>ROUND(N12+N25-N45,0)</f>
        <v>0</v>
      </c>
      <c r="O47" s="509"/>
      <c r="P47" s="1764">
        <f>ROUND(P12+P25-P45,0)</f>
        <v>0</v>
      </c>
      <c r="Q47" s="509"/>
      <c r="R47" s="1764">
        <f>ROUND(R12+R25-R45,0)</f>
        <v>0</v>
      </c>
      <c r="S47" s="509"/>
      <c r="T47" s="1764">
        <f>ROUND(T12+T25-T45,0)</f>
        <v>0</v>
      </c>
      <c r="U47" s="509"/>
      <c r="V47" s="1764">
        <f>ROUND(V12+V25-V45,0)</f>
        <v>0</v>
      </c>
      <c r="W47" s="509"/>
      <c r="X47" s="1764">
        <f>ROUND(X12+X25-X45,0)</f>
        <v>0</v>
      </c>
      <c r="Y47" s="509"/>
      <c r="Z47" s="2980">
        <f>ROUND(Z12+Z25-Z45,0)</f>
        <v>248383918</v>
      </c>
      <c r="AA47" s="3410"/>
    </row>
    <row r="48" spans="1:28" ht="16" thickTop="1">
      <c r="A48" s="1750"/>
      <c r="B48" s="1302"/>
      <c r="C48" s="1302"/>
      <c r="D48" s="1302"/>
      <c r="E48" s="1325"/>
      <c r="F48" s="1302"/>
      <c r="G48" s="1325"/>
      <c r="H48" s="1302"/>
      <c r="I48" s="1765"/>
      <c r="J48" s="1744"/>
      <c r="K48" s="1744"/>
      <c r="L48" s="1744"/>
      <c r="M48" s="1765"/>
      <c r="N48" s="1744"/>
      <c r="O48" s="1765"/>
      <c r="P48" s="1744"/>
      <c r="Q48" s="1765"/>
      <c r="R48" s="1744"/>
      <c r="S48" s="1765"/>
      <c r="T48" s="1744"/>
      <c r="U48" s="1765"/>
      <c r="V48" s="1744"/>
      <c r="W48" s="1765"/>
      <c r="X48" s="1744"/>
      <c r="Y48" s="1765"/>
      <c r="Z48" s="1763"/>
    </row>
    <row r="49" spans="1:26">
      <c r="A49" s="1766"/>
      <c r="B49" s="1326"/>
      <c r="C49" s="1326"/>
      <c r="D49" s="1326"/>
      <c r="E49" s="1303"/>
      <c r="F49" s="1326"/>
      <c r="G49" s="1303"/>
      <c r="H49" s="1326"/>
      <c r="I49" s="1745"/>
      <c r="J49" s="1767"/>
      <c r="K49" s="1767"/>
      <c r="L49" s="1767"/>
      <c r="M49" s="1745"/>
      <c r="N49" s="1767"/>
      <c r="O49" s="1745"/>
      <c r="P49" s="1767"/>
      <c r="Q49" s="1745"/>
      <c r="R49" s="1767"/>
      <c r="S49" s="1745"/>
      <c r="T49" s="1767"/>
      <c r="U49" s="1745"/>
      <c r="V49" s="1767"/>
      <c r="W49" s="1745"/>
      <c r="X49" s="1767"/>
      <c r="Y49" s="1745"/>
      <c r="Z49" s="1749"/>
    </row>
    <row r="51" spans="1:26" ht="17.5">
      <c r="A51" s="1768"/>
      <c r="B51" s="1298"/>
      <c r="C51" s="1298"/>
      <c r="D51" s="1298"/>
      <c r="E51" s="478"/>
      <c r="F51" s="1298"/>
      <c r="G51" s="478"/>
      <c r="H51" s="1298"/>
      <c r="I51" s="1723"/>
      <c r="J51" s="1727"/>
      <c r="K51" s="1727"/>
      <c r="L51" s="1727"/>
      <c r="M51" s="1745"/>
      <c r="N51" s="1727"/>
      <c r="O51" s="1723"/>
      <c r="P51" s="1727"/>
      <c r="Q51" s="1723"/>
      <c r="R51" s="1727"/>
      <c r="S51" s="1723"/>
      <c r="T51" s="1727"/>
      <c r="U51" s="1723"/>
      <c r="V51" s="1727"/>
      <c r="W51" s="1723"/>
      <c r="X51" s="1727"/>
      <c r="Y51" s="1723"/>
      <c r="Z51" s="1729"/>
    </row>
    <row r="52" spans="1:26">
      <c r="A52" s="1737"/>
      <c r="B52" s="1326"/>
      <c r="C52" s="1326"/>
      <c r="D52" s="1326"/>
      <c r="E52" s="1303"/>
      <c r="F52" s="1326"/>
      <c r="G52" s="1303"/>
      <c r="H52" s="1326"/>
      <c r="I52" s="1745"/>
      <c r="J52" s="1767"/>
      <c r="K52" s="1767"/>
      <c r="L52" s="1767"/>
      <c r="M52" s="1745"/>
      <c r="N52" s="1767"/>
      <c r="O52" s="1745"/>
      <c r="P52" s="1767"/>
      <c r="Q52" s="1745"/>
      <c r="R52" s="1767"/>
      <c r="S52" s="1745"/>
      <c r="T52" s="1767"/>
      <c r="U52" s="1745"/>
      <c r="V52" s="1767"/>
      <c r="W52" s="1745"/>
      <c r="X52" s="1767"/>
      <c r="Y52" s="1745"/>
      <c r="Z52" s="1752"/>
    </row>
    <row r="53" spans="1:26">
      <c r="A53" s="1737"/>
      <c r="B53" s="1326"/>
      <c r="C53" s="1326"/>
      <c r="D53" s="1326"/>
      <c r="E53" s="1303"/>
      <c r="F53" s="1326"/>
      <c r="G53" s="1303"/>
      <c r="H53" s="1326"/>
      <c r="I53" s="1745"/>
      <c r="J53" s="1767"/>
      <c r="K53" s="1767"/>
      <c r="L53" s="1767"/>
      <c r="M53" s="1745"/>
      <c r="N53" s="1767"/>
      <c r="O53" s="1745"/>
      <c r="P53" s="1767"/>
      <c r="Q53" s="1745"/>
      <c r="R53" s="1767"/>
      <c r="S53" s="1745"/>
      <c r="T53" s="1767"/>
      <c r="U53" s="1745"/>
      <c r="V53" s="1767"/>
      <c r="W53" s="1745"/>
      <c r="X53" s="1767"/>
      <c r="Y53" s="1745"/>
      <c r="Z53" s="1752"/>
    </row>
    <row r="54" spans="1:26">
      <c r="A54" s="1734"/>
      <c r="B54" s="477"/>
      <c r="C54" s="477"/>
      <c r="D54" s="477"/>
      <c r="E54" s="478"/>
      <c r="F54" s="477"/>
      <c r="G54" s="478"/>
      <c r="H54" s="477"/>
      <c r="I54" s="1723"/>
      <c r="J54" s="1722"/>
      <c r="K54" s="1722"/>
      <c r="L54" s="1722"/>
      <c r="M54" s="1723"/>
      <c r="N54" s="1722"/>
      <c r="O54" s="1723"/>
      <c r="P54" s="1722"/>
      <c r="Q54" s="1723"/>
      <c r="R54" s="1722"/>
      <c r="S54" s="1723"/>
      <c r="T54" s="1722"/>
      <c r="U54" s="1723"/>
      <c r="V54" s="1722"/>
      <c r="W54" s="1723"/>
      <c r="X54" s="1722"/>
      <c r="Y54" s="1723"/>
      <c r="Z54" s="1769"/>
    </row>
    <row r="55" spans="1:26">
      <c r="A55" s="1734"/>
      <c r="B55" s="477"/>
      <c r="C55" s="477"/>
      <c r="D55" s="477"/>
      <c r="E55" s="478"/>
      <c r="F55" s="477"/>
      <c r="G55" s="478"/>
      <c r="H55" s="477"/>
      <c r="I55" s="1723"/>
      <c r="J55" s="1722"/>
      <c r="K55" s="1722"/>
      <c r="L55" s="1722"/>
      <c r="M55" s="1723"/>
      <c r="N55" s="1722"/>
      <c r="O55" s="1723"/>
      <c r="P55" s="1722"/>
      <c r="Q55" s="1723"/>
      <c r="R55" s="1722"/>
      <c r="S55" s="1723"/>
      <c r="T55" s="1722"/>
      <c r="U55" s="1723"/>
      <c r="V55" s="1722"/>
      <c r="W55" s="1723"/>
      <c r="X55" s="1722"/>
      <c r="Y55" s="1723"/>
      <c r="Z55" s="1769"/>
    </row>
    <row r="56" spans="1:26">
      <c r="A56" s="1734"/>
      <c r="B56" s="477"/>
      <c r="C56" s="477"/>
      <c r="D56" s="477"/>
      <c r="E56" s="478"/>
      <c r="F56" s="477"/>
      <c r="G56" s="478"/>
      <c r="H56" s="477"/>
      <c r="I56" s="1723"/>
      <c r="J56" s="1722"/>
      <c r="K56" s="1722"/>
      <c r="L56" s="1722"/>
      <c r="M56" s="1723"/>
      <c r="N56" s="1722"/>
      <c r="O56" s="1723"/>
      <c r="P56" s="1722"/>
      <c r="Q56" s="1723"/>
      <c r="R56" s="1722"/>
      <c r="S56" s="1723"/>
      <c r="T56" s="1722"/>
      <c r="U56" s="1723"/>
      <c r="V56" s="1722"/>
      <c r="W56" s="1723"/>
      <c r="X56" s="1722"/>
      <c r="Y56" s="1723"/>
      <c r="Z56" s="1769"/>
    </row>
    <row r="57" spans="1:26">
      <c r="A57" s="1734"/>
      <c r="B57" s="477"/>
      <c r="C57" s="477"/>
      <c r="D57" s="477"/>
      <c r="E57" s="478"/>
      <c r="F57" s="477"/>
      <c r="G57" s="478"/>
      <c r="H57" s="477"/>
      <c r="I57" s="1723"/>
      <c r="J57" s="1722"/>
      <c r="K57" s="1722"/>
      <c r="L57" s="1722"/>
      <c r="M57" s="1723"/>
      <c r="N57" s="1722"/>
      <c r="O57" s="1723"/>
      <c r="P57" s="1722"/>
      <c r="Q57" s="1723"/>
      <c r="R57" s="1722"/>
      <c r="S57" s="1723"/>
      <c r="T57" s="1722"/>
      <c r="U57" s="1723"/>
      <c r="V57" s="1722"/>
      <c r="W57" s="1723"/>
      <c r="X57" s="1722"/>
      <c r="Y57" s="1723"/>
      <c r="Z57" s="1769"/>
    </row>
    <row r="58" spans="1:26">
      <c r="A58" s="1734"/>
      <c r="B58" s="477"/>
      <c r="C58" s="477"/>
      <c r="D58" s="477"/>
      <c r="E58" s="478"/>
      <c r="F58" s="477"/>
      <c r="G58" s="478"/>
      <c r="H58" s="477"/>
      <c r="I58" s="1723"/>
      <c r="J58" s="1722"/>
      <c r="K58" s="1722"/>
      <c r="L58" s="1722"/>
      <c r="M58" s="1723"/>
      <c r="N58" s="1722"/>
      <c r="O58" s="1723"/>
      <c r="P58" s="1722"/>
      <c r="Q58" s="1723"/>
      <c r="R58" s="1722"/>
      <c r="S58" s="1723"/>
      <c r="T58" s="1722"/>
      <c r="U58" s="1723"/>
      <c r="V58" s="1722"/>
      <c r="W58" s="1723"/>
      <c r="X58" s="1722"/>
      <c r="Y58" s="1723"/>
      <c r="Z58" s="1769"/>
    </row>
    <row r="59" spans="1:26">
      <c r="A59" s="1734"/>
      <c r="B59" s="477"/>
      <c r="C59" s="477"/>
      <c r="D59" s="477"/>
      <c r="E59" s="478"/>
      <c r="F59" s="477"/>
      <c r="G59" s="478"/>
      <c r="H59" s="477"/>
      <c r="I59" s="1723"/>
      <c r="J59" s="1722"/>
      <c r="K59" s="1722"/>
      <c r="L59" s="1722"/>
      <c r="M59" s="1723"/>
      <c r="N59" s="1722"/>
      <c r="O59" s="1723"/>
      <c r="P59" s="1722"/>
      <c r="Q59" s="1723"/>
      <c r="R59" s="1722"/>
      <c r="S59" s="1723"/>
      <c r="T59" s="1722"/>
      <c r="U59" s="1723"/>
      <c r="V59" s="1722"/>
      <c r="W59" s="1723"/>
      <c r="X59" s="1722"/>
      <c r="Y59" s="1723"/>
      <c r="Z59" s="1769"/>
    </row>
    <row r="60" spans="1:26">
      <c r="A60" s="1734"/>
      <c r="B60" s="477"/>
      <c r="C60" s="477"/>
      <c r="D60" s="477"/>
      <c r="E60" s="478"/>
      <c r="F60" s="477"/>
      <c r="G60" s="478"/>
      <c r="H60" s="477"/>
      <c r="I60" s="1723"/>
      <c r="J60" s="1722"/>
      <c r="K60" s="1722"/>
      <c r="L60" s="1722"/>
      <c r="M60" s="1723"/>
      <c r="N60" s="1722"/>
      <c r="O60" s="1723"/>
      <c r="P60" s="1722"/>
      <c r="Q60" s="1723"/>
      <c r="R60" s="1722"/>
      <c r="S60" s="1723"/>
      <c r="T60" s="1722"/>
      <c r="U60" s="1723"/>
      <c r="V60" s="1722"/>
      <c r="W60" s="1723"/>
      <c r="X60" s="1722"/>
      <c r="Y60" s="1723"/>
      <c r="Z60" s="1769"/>
    </row>
    <row r="61" spans="1:26">
      <c r="A61" s="1734"/>
      <c r="B61" s="477"/>
      <c r="C61" s="477"/>
      <c r="D61" s="477"/>
      <c r="E61" s="478"/>
      <c r="F61" s="477"/>
      <c r="G61" s="478"/>
      <c r="H61" s="477"/>
      <c r="I61" s="1723"/>
      <c r="J61" s="1722"/>
      <c r="K61" s="1722"/>
      <c r="L61" s="1722"/>
      <c r="M61" s="1723"/>
      <c r="N61" s="1722"/>
      <c r="O61" s="1723"/>
      <c r="P61" s="1722"/>
      <c r="Q61" s="1723"/>
      <c r="R61" s="1722"/>
      <c r="S61" s="1723"/>
      <c r="T61" s="1722"/>
      <c r="U61" s="1723"/>
      <c r="V61" s="1722"/>
      <c r="W61" s="1723"/>
      <c r="X61" s="1722"/>
      <c r="Y61" s="1723"/>
      <c r="Z61" s="1769"/>
    </row>
    <row r="62" spans="1:26">
      <c r="A62" s="1734"/>
      <c r="B62" s="477"/>
      <c r="C62" s="477"/>
      <c r="D62" s="477"/>
      <c r="E62" s="478"/>
      <c r="F62" s="477"/>
      <c r="G62" s="478"/>
      <c r="H62" s="477"/>
      <c r="I62" s="1723"/>
      <c r="J62" s="1722"/>
      <c r="K62" s="1722"/>
      <c r="L62" s="1722"/>
      <c r="M62" s="1723"/>
      <c r="N62" s="1722"/>
      <c r="O62" s="1723"/>
      <c r="P62" s="1722"/>
      <c r="Q62" s="1723"/>
      <c r="R62" s="1722"/>
      <c r="S62" s="1723"/>
      <c r="T62" s="1722"/>
      <c r="U62" s="1723"/>
      <c r="V62" s="1722"/>
      <c r="W62" s="1723"/>
      <c r="X62" s="1722"/>
      <c r="Y62" s="1723"/>
      <c r="Z62" s="1769"/>
    </row>
    <row r="63" spans="1:26">
      <c r="A63" s="1734"/>
      <c r="B63" s="477"/>
      <c r="C63" s="477"/>
      <c r="D63" s="477"/>
      <c r="E63" s="478"/>
      <c r="F63" s="477"/>
      <c r="G63" s="478"/>
      <c r="H63" s="477"/>
      <c r="I63" s="1723"/>
      <c r="J63" s="1722"/>
      <c r="K63" s="1722"/>
      <c r="L63" s="1722"/>
      <c r="M63" s="1723"/>
      <c r="N63" s="1722"/>
      <c r="O63" s="1723"/>
      <c r="P63" s="1722"/>
      <c r="Q63" s="1723"/>
      <c r="R63" s="1722"/>
      <c r="S63" s="1723"/>
      <c r="T63" s="1722"/>
      <c r="U63" s="1723"/>
      <c r="V63" s="1722"/>
      <c r="W63" s="1723"/>
      <c r="X63" s="1722"/>
      <c r="Y63" s="1723"/>
      <c r="Z63" s="1769"/>
    </row>
    <row r="64" spans="1:26">
      <c r="A64" s="1734"/>
      <c r="B64" s="477"/>
      <c r="C64" s="477"/>
      <c r="D64" s="477"/>
      <c r="E64" s="478"/>
      <c r="F64" s="477"/>
      <c r="G64" s="478"/>
      <c r="H64" s="477"/>
      <c r="I64" s="1723"/>
      <c r="J64" s="1722"/>
      <c r="K64" s="1722"/>
      <c r="L64" s="1722"/>
      <c r="M64" s="1723"/>
      <c r="N64" s="1722"/>
      <c r="O64" s="1723"/>
      <c r="P64" s="1722"/>
      <c r="Q64" s="1723"/>
      <c r="R64" s="1722"/>
      <c r="S64" s="1723"/>
      <c r="T64" s="1722"/>
      <c r="U64" s="1723"/>
      <c r="V64" s="1722"/>
      <c r="W64" s="1723"/>
      <c r="X64" s="1722"/>
      <c r="Y64" s="1723"/>
      <c r="Z64" s="1769"/>
    </row>
    <row r="65" spans="1:26">
      <c r="A65" s="1734"/>
      <c r="B65" s="477"/>
      <c r="C65" s="477"/>
      <c r="D65" s="477"/>
      <c r="E65" s="478"/>
      <c r="F65" s="477"/>
      <c r="G65" s="478"/>
      <c r="H65" s="477"/>
      <c r="I65" s="1723"/>
      <c r="J65" s="1722"/>
      <c r="K65" s="1722"/>
      <c r="L65" s="1722"/>
      <c r="M65" s="1723"/>
      <c r="N65" s="1722"/>
      <c r="O65" s="1723"/>
      <c r="P65" s="1722"/>
      <c r="Q65" s="1723"/>
      <c r="R65" s="1722"/>
      <c r="S65" s="1723"/>
      <c r="T65" s="1722"/>
      <c r="U65" s="1723"/>
      <c r="V65" s="1722"/>
      <c r="W65" s="1723"/>
      <c r="X65" s="1722"/>
      <c r="Y65" s="1723"/>
      <c r="Z65" s="1769"/>
    </row>
    <row r="66" spans="1:26">
      <c r="A66" s="1734"/>
      <c r="B66" s="477"/>
      <c r="C66" s="477"/>
      <c r="D66" s="477"/>
      <c r="E66" s="478"/>
      <c r="F66" s="477"/>
      <c r="G66" s="478"/>
      <c r="H66" s="477"/>
      <c r="I66" s="1723"/>
      <c r="J66" s="1722"/>
      <c r="K66" s="1722"/>
      <c r="L66" s="1722"/>
      <c r="M66" s="1723"/>
      <c r="N66" s="1722"/>
      <c r="O66" s="1723"/>
      <c r="P66" s="1722"/>
      <c r="Q66" s="1723"/>
      <c r="R66" s="1722"/>
      <c r="S66" s="1723"/>
      <c r="T66" s="1722"/>
      <c r="U66" s="1723"/>
      <c r="V66" s="1722"/>
      <c r="W66" s="1723"/>
      <c r="X66" s="1722"/>
      <c r="Y66" s="1723"/>
      <c r="Z66" s="1769"/>
    </row>
    <row r="67" spans="1:26">
      <c r="A67" s="1734"/>
      <c r="B67" s="477"/>
      <c r="C67" s="477"/>
      <c r="D67" s="477"/>
      <c r="E67" s="478"/>
      <c r="F67" s="477"/>
      <c r="G67" s="478"/>
      <c r="H67" s="477"/>
      <c r="I67" s="1723"/>
      <c r="J67" s="1722"/>
      <c r="K67" s="1722"/>
      <c r="L67" s="1722"/>
      <c r="M67" s="1723"/>
      <c r="N67" s="1722"/>
      <c r="O67" s="1723"/>
      <c r="P67" s="1722"/>
      <c r="Q67" s="1723"/>
      <c r="R67" s="1722"/>
      <c r="S67" s="1723"/>
      <c r="T67" s="1722"/>
      <c r="U67" s="1723"/>
      <c r="V67" s="1722"/>
      <c r="W67" s="1723"/>
      <c r="X67" s="1722"/>
      <c r="Y67" s="1723"/>
      <c r="Z67" s="1769"/>
    </row>
    <row r="68" spans="1:26">
      <c r="A68" s="1734"/>
      <c r="B68" s="477"/>
      <c r="C68" s="477"/>
      <c r="D68" s="477"/>
      <c r="E68" s="478"/>
      <c r="F68" s="477"/>
      <c r="G68" s="478"/>
      <c r="H68" s="477"/>
      <c r="I68" s="1723"/>
      <c r="J68" s="1722"/>
      <c r="K68" s="1722"/>
      <c r="L68" s="1722"/>
      <c r="M68" s="1723"/>
      <c r="N68" s="1722"/>
      <c r="O68" s="1723"/>
      <c r="P68" s="1722"/>
      <c r="Q68" s="1723"/>
      <c r="R68" s="1722"/>
      <c r="S68" s="1723"/>
      <c r="T68" s="1722"/>
      <c r="U68" s="1723"/>
      <c r="V68" s="1722"/>
      <c r="W68" s="1723"/>
      <c r="X68" s="1722"/>
      <c r="Y68" s="1723"/>
      <c r="Z68" s="1769"/>
    </row>
    <row r="69" spans="1:26">
      <c r="A69" s="1734"/>
      <c r="B69" s="477"/>
      <c r="C69" s="477"/>
      <c r="D69" s="477"/>
      <c r="E69" s="478"/>
      <c r="F69" s="477"/>
      <c r="G69" s="478"/>
      <c r="H69" s="477"/>
      <c r="I69" s="1723"/>
      <c r="J69" s="1722"/>
      <c r="K69" s="1722"/>
      <c r="L69" s="1722"/>
      <c r="M69" s="1723"/>
      <c r="N69" s="1722"/>
      <c r="O69" s="1723"/>
      <c r="P69" s="1722"/>
      <c r="Q69" s="1723"/>
      <c r="R69" s="1722"/>
      <c r="S69" s="1723"/>
      <c r="T69" s="1722"/>
      <c r="U69" s="1723"/>
      <c r="V69" s="1722"/>
      <c r="W69" s="1723"/>
      <c r="X69" s="1722"/>
      <c r="Y69" s="1723"/>
      <c r="Z69" s="1769"/>
    </row>
    <row r="70" spans="1:26">
      <c r="A70" s="1734"/>
      <c r="B70" s="477"/>
      <c r="C70" s="477"/>
      <c r="D70" s="477"/>
      <c r="E70" s="478"/>
      <c r="F70" s="477"/>
      <c r="G70" s="478"/>
      <c r="H70" s="477"/>
      <c r="I70" s="1723"/>
      <c r="J70" s="1722"/>
      <c r="K70" s="1722"/>
      <c r="L70" s="1722"/>
      <c r="M70" s="1723"/>
      <c r="N70" s="1722"/>
      <c r="O70" s="1723"/>
      <c r="P70" s="1722"/>
      <c r="Q70" s="1723"/>
      <c r="R70" s="1722"/>
      <c r="S70" s="1723"/>
      <c r="T70" s="1722"/>
      <c r="U70" s="1723"/>
      <c r="V70" s="1722"/>
      <c r="W70" s="1723"/>
      <c r="X70" s="1722"/>
      <c r="Y70" s="1723"/>
      <c r="Z70" s="1769"/>
    </row>
    <row r="71" spans="1:26">
      <c r="A71" s="1734"/>
      <c r="B71" s="477"/>
      <c r="C71" s="477"/>
      <c r="D71" s="477"/>
      <c r="E71" s="478"/>
      <c r="F71" s="477"/>
      <c r="G71" s="478"/>
      <c r="H71" s="477"/>
      <c r="I71" s="1723"/>
      <c r="J71" s="1722"/>
      <c r="K71" s="1722"/>
      <c r="L71" s="1722"/>
      <c r="M71" s="1723"/>
      <c r="N71" s="1722"/>
      <c r="O71" s="1723"/>
      <c r="P71" s="1722"/>
      <c r="Q71" s="1723"/>
      <c r="R71" s="1722"/>
      <c r="S71" s="1723"/>
      <c r="T71" s="1722"/>
      <c r="U71" s="1723"/>
      <c r="V71" s="1722"/>
      <c r="W71" s="1723"/>
      <c r="X71" s="1722"/>
      <c r="Y71" s="1723"/>
      <c r="Z71" s="1769"/>
    </row>
    <row r="72" spans="1:26">
      <c r="A72" s="1734"/>
      <c r="B72" s="477"/>
      <c r="C72" s="477"/>
      <c r="D72" s="477"/>
      <c r="E72" s="478"/>
      <c r="F72" s="477"/>
      <c r="G72" s="478"/>
      <c r="H72" s="477"/>
      <c r="I72" s="1723"/>
      <c r="J72" s="1722"/>
      <c r="K72" s="1722"/>
      <c r="L72" s="1722"/>
      <c r="M72" s="1723"/>
      <c r="N72" s="1722"/>
      <c r="O72" s="1723"/>
      <c r="P72" s="1722"/>
      <c r="Q72" s="1723"/>
      <c r="R72" s="1722"/>
      <c r="S72" s="1723"/>
      <c r="T72" s="1722"/>
      <c r="U72" s="1723"/>
      <c r="V72" s="1722"/>
      <c r="W72" s="1723"/>
      <c r="X72" s="1722"/>
      <c r="Y72" s="1723"/>
      <c r="Z72" s="1769"/>
    </row>
    <row r="73" spans="1:26">
      <c r="A73" s="1734"/>
      <c r="B73" s="477"/>
      <c r="C73" s="477"/>
      <c r="D73" s="477"/>
      <c r="E73" s="478"/>
      <c r="F73" s="477"/>
      <c r="G73" s="478"/>
      <c r="H73" s="477"/>
      <c r="I73" s="1723"/>
      <c r="J73" s="1722"/>
      <c r="K73" s="1722"/>
      <c r="L73" s="1722"/>
      <c r="M73" s="1723"/>
      <c r="N73" s="1722"/>
      <c r="O73" s="1723"/>
      <c r="P73" s="1722"/>
      <c r="Q73" s="1723"/>
      <c r="R73" s="1722"/>
      <c r="S73" s="1723"/>
      <c r="T73" s="1722"/>
      <c r="U73" s="1723"/>
      <c r="V73" s="1722"/>
      <c r="W73" s="1723"/>
      <c r="X73" s="1722"/>
      <c r="Y73" s="1723"/>
      <c r="Z73" s="1769"/>
    </row>
    <row r="74" spans="1:26">
      <c r="A74" s="1734"/>
      <c r="B74" s="477"/>
      <c r="C74" s="477"/>
      <c r="D74" s="477"/>
      <c r="E74" s="478"/>
      <c r="F74" s="477"/>
      <c r="G74" s="478"/>
      <c r="H74" s="477"/>
      <c r="I74" s="1723"/>
      <c r="J74" s="1722"/>
      <c r="K74" s="1722"/>
      <c r="L74" s="1722"/>
      <c r="M74" s="1723"/>
      <c r="N74" s="1722"/>
      <c r="O74" s="1723"/>
      <c r="P74" s="1722"/>
      <c r="Q74" s="1723"/>
      <c r="R74" s="1722"/>
      <c r="S74" s="1723"/>
      <c r="T74" s="1722"/>
      <c r="U74" s="1723"/>
      <c r="V74" s="1722"/>
      <c r="W74" s="1723"/>
      <c r="X74" s="1722"/>
      <c r="Y74" s="1723"/>
      <c r="Z74" s="1769"/>
    </row>
    <row r="75" spans="1:26">
      <c r="A75" s="1734"/>
      <c r="B75" s="477"/>
      <c r="C75" s="477"/>
      <c r="D75" s="477"/>
      <c r="E75" s="478"/>
      <c r="F75" s="477"/>
      <c r="G75" s="478"/>
      <c r="H75" s="477"/>
      <c r="I75" s="1723"/>
      <c r="J75" s="1722"/>
      <c r="K75" s="1722"/>
      <c r="L75" s="1722"/>
      <c r="M75" s="1723"/>
      <c r="N75" s="1722"/>
      <c r="O75" s="1723"/>
      <c r="P75" s="1722"/>
      <c r="Q75" s="1723"/>
      <c r="R75" s="1722"/>
      <c r="S75" s="1723"/>
      <c r="T75" s="1722"/>
      <c r="U75" s="1723"/>
      <c r="V75" s="1722"/>
      <c r="W75" s="1723"/>
      <c r="X75" s="1722"/>
      <c r="Y75" s="1723"/>
      <c r="Z75" s="1769"/>
    </row>
    <row r="76" spans="1:26">
      <c r="A76" s="1734"/>
      <c r="B76" s="477"/>
      <c r="C76" s="477"/>
      <c r="D76" s="477"/>
      <c r="E76" s="478"/>
      <c r="F76" s="477"/>
      <c r="G76" s="478"/>
      <c r="H76" s="477"/>
      <c r="I76" s="1723"/>
      <c r="J76" s="1722"/>
      <c r="K76" s="1722"/>
      <c r="L76" s="1722"/>
      <c r="M76" s="1723"/>
      <c r="N76" s="1722"/>
      <c r="O76" s="1723"/>
      <c r="P76" s="1722"/>
      <c r="Q76" s="1723"/>
      <c r="R76" s="1722"/>
      <c r="S76" s="1723"/>
      <c r="T76" s="1722"/>
      <c r="U76" s="1723"/>
      <c r="V76" s="1722"/>
      <c r="W76" s="1723"/>
      <c r="X76" s="1722"/>
      <c r="Y76" s="1723"/>
      <c r="Z76" s="1769"/>
    </row>
    <row r="77" spans="1:26">
      <c r="A77" s="1734"/>
      <c r="B77" s="477"/>
      <c r="C77" s="477"/>
      <c r="D77" s="477"/>
      <c r="E77" s="478"/>
      <c r="F77" s="477"/>
      <c r="G77" s="478"/>
      <c r="H77" s="477"/>
      <c r="I77" s="1723"/>
      <c r="J77" s="1722"/>
      <c r="K77" s="1722"/>
      <c r="L77" s="1722"/>
      <c r="M77" s="1723"/>
      <c r="N77" s="1722"/>
      <c r="O77" s="1723"/>
      <c r="P77" s="1722"/>
      <c r="Q77" s="1723"/>
      <c r="R77" s="1722"/>
      <c r="S77" s="1723"/>
      <c r="T77" s="1722"/>
      <c r="U77" s="1723"/>
      <c r="V77" s="1722"/>
      <c r="W77" s="1723"/>
      <c r="X77" s="1722"/>
      <c r="Y77" s="1723"/>
      <c r="Z77" s="1769"/>
    </row>
    <row r="78" spans="1:26">
      <c r="A78" s="1734"/>
      <c r="B78" s="477"/>
      <c r="C78" s="477"/>
      <c r="D78" s="477"/>
      <c r="E78" s="478"/>
      <c r="F78" s="477"/>
      <c r="G78" s="478"/>
      <c r="H78" s="477"/>
      <c r="I78" s="1723"/>
      <c r="J78" s="1722"/>
      <c r="K78" s="1722"/>
      <c r="L78" s="1722"/>
      <c r="M78" s="1723"/>
      <c r="N78" s="1722"/>
      <c r="O78" s="1723"/>
      <c r="P78" s="1722"/>
      <c r="Q78" s="1723"/>
      <c r="R78" s="1722"/>
      <c r="S78" s="1723"/>
      <c r="T78" s="1722"/>
      <c r="U78" s="1723"/>
      <c r="V78" s="1722"/>
      <c r="W78" s="1723"/>
      <c r="X78" s="1722"/>
      <c r="Y78" s="1723"/>
      <c r="Z78" s="1769"/>
    </row>
    <row r="79" spans="1:26">
      <c r="A79" s="1734"/>
      <c r="B79" s="477"/>
      <c r="C79" s="477"/>
      <c r="D79" s="477"/>
      <c r="E79" s="478"/>
      <c r="F79" s="477"/>
      <c r="G79" s="478"/>
      <c r="H79" s="477"/>
      <c r="I79" s="1723"/>
      <c r="J79" s="1722"/>
      <c r="K79" s="1722"/>
      <c r="L79" s="1722"/>
      <c r="M79" s="1723"/>
      <c r="N79" s="1722"/>
      <c r="O79" s="1723"/>
      <c r="P79" s="1722"/>
      <c r="Q79" s="1723"/>
      <c r="R79" s="1722"/>
      <c r="S79" s="1723"/>
      <c r="T79" s="1722"/>
      <c r="U79" s="1723"/>
      <c r="V79" s="1722"/>
      <c r="W79" s="1723"/>
      <c r="X79" s="1722"/>
      <c r="Y79" s="1723"/>
      <c r="Z79" s="1769"/>
    </row>
    <row r="80" spans="1:26">
      <c r="A80" s="1734"/>
      <c r="B80" s="477"/>
      <c r="C80" s="477"/>
      <c r="D80" s="477"/>
      <c r="E80" s="478"/>
      <c r="F80" s="477"/>
      <c r="G80" s="478"/>
      <c r="H80" s="477"/>
      <c r="I80" s="1723"/>
      <c r="J80" s="1722"/>
      <c r="K80" s="1722"/>
      <c r="L80" s="1722"/>
      <c r="M80" s="1723"/>
      <c r="N80" s="1722"/>
      <c r="O80" s="1723"/>
      <c r="P80" s="1722"/>
      <c r="Q80" s="1723"/>
      <c r="R80" s="1722"/>
      <c r="S80" s="1723"/>
      <c r="T80" s="1722"/>
      <c r="U80" s="1723"/>
      <c r="V80" s="1722"/>
      <c r="W80" s="1723"/>
      <c r="X80" s="1722"/>
      <c r="Y80" s="1723"/>
      <c r="Z80" s="1769"/>
    </row>
    <row r="81" spans="1:26">
      <c r="A81" s="1734"/>
      <c r="B81" s="477"/>
      <c r="C81" s="477"/>
      <c r="D81" s="477"/>
      <c r="E81" s="478"/>
      <c r="F81" s="477"/>
      <c r="G81" s="478"/>
      <c r="H81" s="477"/>
      <c r="I81" s="1723"/>
      <c r="J81" s="1722"/>
      <c r="K81" s="1722"/>
      <c r="L81" s="1722"/>
      <c r="M81" s="1723"/>
      <c r="N81" s="1722"/>
      <c r="O81" s="1723"/>
      <c r="P81" s="1722"/>
      <c r="Q81" s="1723"/>
      <c r="R81" s="1722"/>
      <c r="S81" s="1723"/>
      <c r="T81" s="1722"/>
      <c r="U81" s="1723"/>
      <c r="V81" s="1722"/>
      <c r="W81" s="1723"/>
      <c r="X81" s="1722"/>
      <c r="Y81" s="1723"/>
      <c r="Z81" s="1769"/>
    </row>
    <row r="82" spans="1:26">
      <c r="A82" s="1734"/>
      <c r="B82" s="477"/>
      <c r="C82" s="477"/>
      <c r="D82" s="477"/>
      <c r="E82" s="478"/>
      <c r="F82" s="477"/>
      <c r="G82" s="478"/>
      <c r="H82" s="477"/>
      <c r="I82" s="1723"/>
      <c r="J82" s="1722"/>
      <c r="K82" s="1722"/>
      <c r="L82" s="1722"/>
      <c r="M82" s="1723"/>
      <c r="N82" s="1722"/>
      <c r="O82" s="1723"/>
      <c r="P82" s="1722"/>
      <c r="Q82" s="1723"/>
      <c r="R82" s="1722"/>
      <c r="S82" s="1723"/>
      <c r="T82" s="1722"/>
      <c r="U82" s="1723"/>
      <c r="V82" s="1722"/>
      <c r="W82" s="1723"/>
      <c r="X82" s="1722"/>
      <c r="Y82" s="1723"/>
      <c r="Z82" s="1769"/>
    </row>
    <row r="83" spans="1:26">
      <c r="A83" s="1734"/>
      <c r="B83" s="477"/>
      <c r="C83" s="477"/>
      <c r="D83" s="477"/>
      <c r="E83" s="478"/>
      <c r="F83" s="477"/>
      <c r="G83" s="478"/>
      <c r="H83" s="477"/>
      <c r="I83" s="1723"/>
      <c r="J83" s="1722"/>
      <c r="K83" s="1722"/>
      <c r="L83" s="1722"/>
      <c r="M83" s="1723"/>
      <c r="N83" s="1722"/>
      <c r="O83" s="1723"/>
      <c r="P83" s="1722"/>
      <c r="Q83" s="1723"/>
      <c r="R83" s="1722"/>
      <c r="S83" s="1723"/>
      <c r="T83" s="1722"/>
      <c r="U83" s="1723"/>
      <c r="V83" s="1722"/>
      <c r="W83" s="1723"/>
      <c r="X83" s="1722"/>
      <c r="Y83" s="1723"/>
      <c r="Z83" s="1769"/>
    </row>
    <row r="84" spans="1:26">
      <c r="A84" s="1734"/>
      <c r="B84" s="477"/>
      <c r="C84" s="477"/>
      <c r="D84" s="477"/>
      <c r="E84" s="478"/>
      <c r="F84" s="477"/>
      <c r="G84" s="478"/>
      <c r="H84" s="477"/>
      <c r="I84" s="1723"/>
      <c r="J84" s="1722"/>
      <c r="K84" s="1722"/>
      <c r="L84" s="1722"/>
      <c r="M84" s="1723"/>
      <c r="N84" s="1722"/>
      <c r="O84" s="1723"/>
      <c r="P84" s="1722"/>
      <c r="Q84" s="1723"/>
      <c r="R84" s="1722"/>
      <c r="S84" s="1723"/>
      <c r="T84" s="1722"/>
      <c r="U84" s="1723"/>
      <c r="V84" s="1722"/>
      <c r="W84" s="1723"/>
      <c r="X84" s="1722"/>
      <c r="Y84" s="1723"/>
      <c r="Z84" s="1769"/>
    </row>
    <row r="85" spans="1:26">
      <c r="A85" s="1734"/>
      <c r="B85" s="477"/>
      <c r="C85" s="477"/>
      <c r="D85" s="477"/>
      <c r="E85" s="478"/>
      <c r="F85" s="477"/>
      <c r="G85" s="478"/>
      <c r="H85" s="477"/>
      <c r="I85" s="1723"/>
      <c r="J85" s="1722"/>
      <c r="K85" s="1722"/>
      <c r="L85" s="1722"/>
      <c r="M85" s="1723"/>
      <c r="N85" s="1722"/>
      <c r="O85" s="1723"/>
      <c r="P85" s="1722"/>
      <c r="Q85" s="1723"/>
      <c r="R85" s="1722"/>
      <c r="S85" s="1723"/>
      <c r="T85" s="1722"/>
      <c r="U85" s="1723"/>
      <c r="V85" s="1722"/>
      <c r="W85" s="1723"/>
      <c r="X85" s="1722"/>
      <c r="Y85" s="1723"/>
      <c r="Z85" s="1769"/>
    </row>
    <row r="86" spans="1:26">
      <c r="A86" s="1734"/>
      <c r="B86" s="477"/>
      <c r="C86" s="477"/>
      <c r="D86" s="477"/>
      <c r="E86" s="478"/>
      <c r="F86" s="477"/>
      <c r="G86" s="478"/>
      <c r="H86" s="477"/>
      <c r="I86" s="1723"/>
      <c r="J86" s="1722"/>
      <c r="K86" s="1722"/>
      <c r="L86" s="1722"/>
      <c r="M86" s="1723"/>
      <c r="N86" s="1722"/>
      <c r="O86" s="1723"/>
      <c r="P86" s="1722"/>
      <c r="Q86" s="1723"/>
      <c r="R86" s="1722"/>
      <c r="S86" s="1723"/>
      <c r="T86" s="1722"/>
      <c r="U86" s="1723"/>
      <c r="V86" s="1722"/>
      <c r="W86" s="1723"/>
      <c r="X86" s="1722"/>
      <c r="Y86" s="1723"/>
      <c r="Z86" s="1769"/>
    </row>
    <row r="87" spans="1:26">
      <c r="A87" s="1734"/>
      <c r="B87" s="477"/>
      <c r="C87" s="477"/>
      <c r="D87" s="477"/>
      <c r="E87" s="478"/>
      <c r="F87" s="477"/>
      <c r="G87" s="478"/>
      <c r="H87" s="477"/>
      <c r="I87" s="1723"/>
      <c r="J87" s="1722"/>
      <c r="K87" s="1722"/>
      <c r="L87" s="1722"/>
      <c r="M87" s="1723"/>
      <c r="N87" s="1722"/>
      <c r="O87" s="1723"/>
      <c r="P87" s="1722"/>
      <c r="Q87" s="1723"/>
      <c r="R87" s="1722"/>
      <c r="S87" s="1723"/>
      <c r="T87" s="1722"/>
      <c r="U87" s="1723"/>
      <c r="V87" s="1722"/>
      <c r="W87" s="1723"/>
      <c r="X87" s="1722"/>
      <c r="Y87" s="1723"/>
      <c r="Z87" s="1769"/>
    </row>
    <row r="88" spans="1:26">
      <c r="A88" s="1734"/>
      <c r="B88" s="477"/>
      <c r="C88" s="477"/>
      <c r="D88" s="477"/>
      <c r="E88" s="478"/>
      <c r="F88" s="477"/>
      <c r="G88" s="478"/>
      <c r="H88" s="477"/>
      <c r="I88" s="1723"/>
      <c r="J88" s="1722"/>
      <c r="K88" s="1722"/>
      <c r="L88" s="1722"/>
      <c r="M88" s="1723"/>
      <c r="N88" s="1722"/>
      <c r="O88" s="1723"/>
      <c r="P88" s="1722"/>
      <c r="Q88" s="1723"/>
      <c r="R88" s="1722"/>
      <c r="S88" s="1723"/>
      <c r="T88" s="1722"/>
      <c r="U88" s="1723"/>
      <c r="V88" s="1722"/>
      <c r="W88" s="1723"/>
      <c r="X88" s="1722"/>
      <c r="Y88" s="1723"/>
      <c r="Z88" s="1769"/>
    </row>
    <row r="89" spans="1:26">
      <c r="A89" s="1734"/>
      <c r="B89" s="477"/>
      <c r="C89" s="477"/>
      <c r="D89" s="477"/>
      <c r="E89" s="478"/>
      <c r="F89" s="477"/>
      <c r="G89" s="478"/>
      <c r="H89" s="477"/>
      <c r="I89" s="1723"/>
      <c r="J89" s="1722"/>
      <c r="K89" s="1722"/>
      <c r="L89" s="1722"/>
      <c r="M89" s="1723"/>
      <c r="N89" s="1722"/>
      <c r="O89" s="1723"/>
      <c r="P89" s="1722"/>
      <c r="Q89" s="1723"/>
      <c r="R89" s="1722"/>
      <c r="S89" s="1723"/>
      <c r="T89" s="1722"/>
      <c r="U89" s="1723"/>
      <c r="V89" s="1722"/>
      <c r="W89" s="1723"/>
      <c r="X89" s="1722"/>
      <c r="Y89" s="1723"/>
      <c r="Z89" s="1769"/>
    </row>
    <row r="90" spans="1:26">
      <c r="A90" s="1734"/>
      <c r="B90" s="477"/>
      <c r="C90" s="477"/>
      <c r="D90" s="477"/>
      <c r="E90" s="478"/>
      <c r="F90" s="477"/>
      <c r="G90" s="478"/>
      <c r="H90" s="477"/>
      <c r="I90" s="1723"/>
      <c r="J90" s="1722"/>
      <c r="K90" s="1722"/>
      <c r="L90" s="1722"/>
      <c r="M90" s="1723"/>
      <c r="N90" s="1722"/>
      <c r="O90" s="1723"/>
      <c r="P90" s="1722"/>
      <c r="Q90" s="1723"/>
      <c r="R90" s="1722"/>
      <c r="S90" s="1723"/>
      <c r="T90" s="1722"/>
      <c r="U90" s="1723"/>
      <c r="V90" s="1722"/>
      <c r="W90" s="1723"/>
      <c r="X90" s="1722"/>
      <c r="Y90" s="1723"/>
      <c r="Z90" s="1769"/>
    </row>
    <row r="91" spans="1:26">
      <c r="A91" s="1734"/>
      <c r="B91" s="477"/>
      <c r="C91" s="477"/>
      <c r="D91" s="477"/>
      <c r="E91" s="478"/>
      <c r="F91" s="477"/>
      <c r="G91" s="478"/>
      <c r="H91" s="477"/>
      <c r="I91" s="1723"/>
      <c r="J91" s="1722"/>
      <c r="K91" s="1722"/>
      <c r="L91" s="1722"/>
      <c r="M91" s="1723"/>
      <c r="N91" s="1722"/>
      <c r="O91" s="1723"/>
      <c r="P91" s="1722"/>
      <c r="Q91" s="1723"/>
      <c r="R91" s="1722"/>
      <c r="S91" s="1723"/>
      <c r="T91" s="1722"/>
      <c r="U91" s="1723"/>
      <c r="V91" s="1722"/>
      <c r="W91" s="1723"/>
      <c r="X91" s="1722"/>
      <c r="Y91" s="1723"/>
      <c r="Z91" s="1769"/>
    </row>
    <row r="92" spans="1:26">
      <c r="A92" s="1734"/>
      <c r="B92" s="477"/>
      <c r="C92" s="477"/>
      <c r="D92" s="477"/>
      <c r="E92" s="478"/>
      <c r="F92" s="477"/>
      <c r="G92" s="478"/>
      <c r="H92" s="477"/>
      <c r="I92" s="1723"/>
      <c r="J92" s="1722"/>
      <c r="K92" s="1722"/>
      <c r="L92" s="1722"/>
      <c r="M92" s="1723"/>
      <c r="N92" s="1722"/>
      <c r="O92" s="1723"/>
      <c r="P92" s="1722"/>
      <c r="Q92" s="1723"/>
      <c r="R92" s="1722"/>
      <c r="S92" s="1723"/>
      <c r="T92" s="1722"/>
      <c r="U92" s="1723"/>
      <c r="V92" s="1722"/>
      <c r="W92" s="1723"/>
      <c r="X92" s="1722"/>
      <c r="Y92" s="1723"/>
      <c r="Z92" s="1769"/>
    </row>
    <row r="93" spans="1:26">
      <c r="A93" s="1734"/>
      <c r="B93" s="477"/>
      <c r="C93" s="477"/>
      <c r="D93" s="477"/>
      <c r="E93" s="478"/>
      <c r="F93" s="477"/>
      <c r="G93" s="478"/>
      <c r="H93" s="477"/>
      <c r="I93" s="1723"/>
      <c r="J93" s="1722"/>
      <c r="K93" s="1722"/>
      <c r="L93" s="1722"/>
      <c r="M93" s="1723"/>
      <c r="N93" s="1722"/>
      <c r="O93" s="1723"/>
      <c r="P93" s="1722"/>
      <c r="Q93" s="1723"/>
      <c r="R93" s="1722"/>
      <c r="S93" s="1723"/>
      <c r="T93" s="1722"/>
      <c r="U93" s="1723"/>
      <c r="V93" s="1722"/>
      <c r="W93" s="1723"/>
      <c r="X93" s="1722"/>
      <c r="Y93" s="1723"/>
      <c r="Z93" s="1769"/>
    </row>
    <row r="94" spans="1:26">
      <c r="A94" s="1734"/>
      <c r="B94" s="477"/>
      <c r="C94" s="477"/>
      <c r="D94" s="477"/>
      <c r="E94" s="478"/>
      <c r="F94" s="477"/>
      <c r="G94" s="478"/>
      <c r="H94" s="477"/>
      <c r="I94" s="1723"/>
      <c r="J94" s="1722"/>
      <c r="K94" s="1722"/>
      <c r="L94" s="1722"/>
      <c r="M94" s="1723"/>
      <c r="N94" s="1722"/>
      <c r="O94" s="1723"/>
      <c r="P94" s="1722"/>
      <c r="Q94" s="1723"/>
      <c r="R94" s="1722"/>
      <c r="S94" s="1723"/>
      <c r="T94" s="1722"/>
      <c r="U94" s="1723"/>
      <c r="V94" s="1722"/>
      <c r="W94" s="1723"/>
      <c r="X94" s="1722"/>
      <c r="Y94" s="1723"/>
      <c r="Z94" s="1769"/>
    </row>
    <row r="95" spans="1:26">
      <c r="A95" s="1734"/>
      <c r="B95" s="477"/>
      <c r="C95" s="477"/>
      <c r="D95" s="477"/>
      <c r="E95" s="478"/>
      <c r="F95" s="477"/>
      <c r="G95" s="478"/>
      <c r="H95" s="477"/>
      <c r="I95" s="1723"/>
      <c r="J95" s="1722"/>
      <c r="K95" s="1722"/>
      <c r="L95" s="1722"/>
      <c r="M95" s="1723"/>
      <c r="N95" s="1722"/>
      <c r="O95" s="1723"/>
      <c r="P95" s="1722"/>
      <c r="Q95" s="1723"/>
      <c r="R95" s="1722"/>
      <c r="S95" s="1723"/>
      <c r="T95" s="1722"/>
      <c r="U95" s="1723"/>
      <c r="V95" s="1722"/>
      <c r="W95" s="1723"/>
      <c r="X95" s="1722"/>
      <c r="Y95" s="1723"/>
      <c r="Z95" s="1769"/>
    </row>
    <row r="96" spans="1:26">
      <c r="A96" s="1734"/>
      <c r="B96" s="477"/>
      <c r="C96" s="477"/>
      <c r="D96" s="477"/>
      <c r="E96" s="478"/>
      <c r="F96" s="477"/>
      <c r="G96" s="478"/>
      <c r="H96" s="477"/>
      <c r="I96" s="1723"/>
      <c r="J96" s="1722"/>
      <c r="K96" s="1722"/>
      <c r="L96" s="1722"/>
      <c r="M96" s="1723"/>
      <c r="N96" s="1722"/>
      <c r="O96" s="1723"/>
      <c r="P96" s="1722"/>
      <c r="Q96" s="1723"/>
      <c r="R96" s="1722"/>
      <c r="S96" s="1723"/>
      <c r="T96" s="1722"/>
      <c r="U96" s="1723"/>
      <c r="V96" s="1722"/>
      <c r="W96" s="1723"/>
      <c r="X96" s="1722"/>
      <c r="Y96" s="1723"/>
      <c r="Z96" s="1769"/>
    </row>
  </sheetData>
  <pageMargins left="0.25" right="0.25" top="0.5" bottom="0.25" header="0" footer="0.25"/>
  <pageSetup scale="38"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autoPageBreaks="0"/>
  </sheetPr>
  <dimension ref="A1:G79"/>
  <sheetViews>
    <sheetView showGridLines="0" zoomScaleNormal="80" workbookViewId="0"/>
  </sheetViews>
  <sheetFormatPr defaultColWidth="8.84375" defaultRowHeight="12.5"/>
  <cols>
    <col min="1" max="1" width="54.84375" style="900" customWidth="1"/>
    <col min="2" max="2" width="22.07421875" style="900" customWidth="1"/>
    <col min="3" max="3" width="24.84375" style="900" customWidth="1"/>
    <col min="4" max="4" width="30.84375" style="900" customWidth="1"/>
    <col min="5" max="5" width="2" style="902" customWidth="1"/>
    <col min="6" max="6" width="13" style="1931" bestFit="1" customWidth="1"/>
    <col min="7" max="7" width="8.84375" style="902"/>
    <col min="8" max="16384" width="8.84375" style="900"/>
  </cols>
  <sheetData>
    <row r="1" spans="1:7">
      <c r="A1" s="3032" t="s">
        <v>882</v>
      </c>
      <c r="B1" s="1568"/>
      <c r="C1" s="1568"/>
      <c r="D1" s="1568"/>
      <c r="E1" s="901"/>
    </row>
    <row r="2" spans="1:7">
      <c r="A2" s="3033"/>
      <c r="B2" s="1568"/>
      <c r="C2" s="1568"/>
      <c r="D2" s="1483"/>
      <c r="E2" s="901"/>
    </row>
    <row r="3" spans="1:7" s="907" customFormat="1" ht="15.5">
      <c r="A3" s="1529" t="s">
        <v>490</v>
      </c>
      <c r="B3" s="1568"/>
      <c r="C3" s="1568"/>
      <c r="D3" s="3381" t="s">
        <v>491</v>
      </c>
      <c r="E3" s="3003"/>
      <c r="F3" s="1932"/>
      <c r="G3" s="616"/>
    </row>
    <row r="4" spans="1:7" s="907" customFormat="1" ht="15.5">
      <c r="A4" s="1529" t="s">
        <v>492</v>
      </c>
      <c r="B4" s="1568"/>
      <c r="C4" s="1568"/>
      <c r="D4" s="1568"/>
      <c r="E4" s="3003"/>
      <c r="F4" s="1932"/>
      <c r="G4" s="616"/>
    </row>
    <row r="5" spans="1:7" s="907" customFormat="1" ht="15.5">
      <c r="A5" s="1529" t="s">
        <v>493</v>
      </c>
      <c r="B5" s="1568"/>
      <c r="C5" s="1568"/>
      <c r="D5" s="1568"/>
      <c r="E5" s="3003"/>
      <c r="F5" s="1932"/>
      <c r="G5" s="616"/>
    </row>
    <row r="6" spans="1:7" s="907" customFormat="1" ht="15.5">
      <c r="A6" s="1530" t="str">
        <f>'HCRA '!A6</f>
        <v xml:space="preserve">FISCAL YEAR 2021-2022   </v>
      </c>
      <c r="B6" s="1568"/>
      <c r="C6" s="1568"/>
      <c r="D6" s="1568"/>
      <c r="E6" s="3003"/>
      <c r="F6" s="1932"/>
      <c r="G6" s="616"/>
    </row>
    <row r="7" spans="1:7" ht="13">
      <c r="A7" s="1530"/>
      <c r="B7" s="1568"/>
      <c r="C7" s="1568"/>
      <c r="D7" s="1568"/>
      <c r="E7" s="901"/>
    </row>
    <row r="8" spans="1:7" ht="27" customHeight="1">
      <c r="A8" s="3523" t="s">
        <v>494</v>
      </c>
      <c r="B8" s="3523" t="s">
        <v>1227</v>
      </c>
      <c r="C8" s="3523" t="s">
        <v>1572</v>
      </c>
      <c r="D8" s="3524" t="s">
        <v>1573</v>
      </c>
      <c r="E8" s="3004"/>
    </row>
    <row r="9" spans="1:7" s="907" customFormat="1" ht="13">
      <c r="A9" s="3568" t="s">
        <v>495</v>
      </c>
      <c r="B9" s="3606">
        <v>8827000</v>
      </c>
      <c r="C9" s="3606">
        <v>257051.32</v>
      </c>
      <c r="D9" s="3606">
        <v>1160955.29</v>
      </c>
      <c r="E9" s="1629"/>
      <c r="F9" s="1932"/>
      <c r="G9" s="616"/>
    </row>
    <row r="10" spans="1:7" s="907" customFormat="1" ht="15.5">
      <c r="A10" s="3531" t="s">
        <v>1228</v>
      </c>
      <c r="B10" s="3532">
        <v>8827000</v>
      </c>
      <c r="C10" s="3532">
        <v>257051.32</v>
      </c>
      <c r="D10" s="3532">
        <v>1160955.29</v>
      </c>
      <c r="E10" s="3005"/>
      <c r="F10" s="1932"/>
      <c r="G10" s="616"/>
    </row>
    <row r="11" spans="1:7" s="907" customFormat="1" ht="13">
      <c r="A11" s="3568" t="s">
        <v>496</v>
      </c>
      <c r="B11" s="3569">
        <v>1901406000</v>
      </c>
      <c r="C11" s="3569">
        <v>106671488.08</v>
      </c>
      <c r="D11" s="3569">
        <v>348038338.36000001</v>
      </c>
      <c r="E11" s="1629"/>
      <c r="F11" s="1932"/>
      <c r="G11" s="616"/>
    </row>
    <row r="12" spans="1:7" s="907" customFormat="1">
      <c r="A12" s="3531" t="s">
        <v>1229</v>
      </c>
      <c r="B12" s="3532">
        <v>1901406000</v>
      </c>
      <c r="C12" s="3532">
        <v>106671488.08</v>
      </c>
      <c r="D12" s="3532">
        <v>348038338.36000001</v>
      </c>
      <c r="E12" s="1629"/>
      <c r="F12" s="1932"/>
      <c r="G12" s="616"/>
    </row>
    <row r="13" spans="1:7" s="907" customFormat="1" ht="13">
      <c r="A13" s="3568" t="s">
        <v>497</v>
      </c>
      <c r="B13" s="3569">
        <v>120000</v>
      </c>
      <c r="C13" s="3569">
        <v>0</v>
      </c>
      <c r="D13" s="3569">
        <v>0</v>
      </c>
      <c r="E13" s="1629"/>
      <c r="F13" s="1932"/>
      <c r="G13" s="616"/>
    </row>
    <row r="14" spans="1:7" s="907" customFormat="1">
      <c r="A14" s="3531" t="s">
        <v>1230</v>
      </c>
      <c r="B14" s="3532">
        <v>120000</v>
      </c>
      <c r="C14" s="3532">
        <v>0</v>
      </c>
      <c r="D14" s="3532">
        <v>0</v>
      </c>
      <c r="E14" s="1629"/>
      <c r="F14" s="1932"/>
      <c r="G14" s="616"/>
    </row>
    <row r="15" spans="1:7" s="907" customFormat="1" ht="13">
      <c r="A15" s="3568" t="s">
        <v>1122</v>
      </c>
      <c r="B15" s="3569">
        <v>234330000</v>
      </c>
      <c r="C15" s="3569">
        <v>9986691.9199999999</v>
      </c>
      <c r="D15" s="3569">
        <v>52629230.07</v>
      </c>
      <c r="E15" s="1629"/>
      <c r="F15" s="1932"/>
      <c r="G15" s="616"/>
    </row>
    <row r="16" spans="1:7" s="907" customFormat="1">
      <c r="A16" s="3531" t="s">
        <v>1231</v>
      </c>
      <c r="B16" s="3532">
        <v>234330000</v>
      </c>
      <c r="C16" s="3532">
        <v>9986691.9199999999</v>
      </c>
      <c r="D16" s="3532">
        <v>52629230.07</v>
      </c>
      <c r="E16" s="1629"/>
      <c r="F16" s="1932"/>
      <c r="G16" s="616"/>
    </row>
    <row r="17" spans="1:7" s="907" customFormat="1" ht="13">
      <c r="A17" s="3568" t="s">
        <v>498</v>
      </c>
      <c r="B17" s="3569">
        <v>1240915059.03</v>
      </c>
      <c r="C17" s="3569">
        <v>961130.84</v>
      </c>
      <c r="D17" s="3569">
        <v>177861514.61000001</v>
      </c>
      <c r="E17" s="1629"/>
      <c r="F17" s="1932"/>
      <c r="G17" s="616"/>
    </row>
    <row r="18" spans="1:7" s="907" customFormat="1">
      <c r="A18" s="3531" t="s">
        <v>1232</v>
      </c>
      <c r="B18" s="3532">
        <v>82100000</v>
      </c>
      <c r="C18" s="3532">
        <v>0</v>
      </c>
      <c r="D18" s="3532">
        <v>0</v>
      </c>
      <c r="E18" s="1629"/>
      <c r="F18" s="1932"/>
      <c r="G18" s="616"/>
    </row>
    <row r="19" spans="1:7" s="907" customFormat="1">
      <c r="A19" s="3531" t="s">
        <v>1233</v>
      </c>
      <c r="B19" s="3532">
        <v>3537000</v>
      </c>
      <c r="C19" s="3532">
        <v>-2105.4699999999998</v>
      </c>
      <c r="D19" s="3532">
        <v>-2105.4699999999998</v>
      </c>
      <c r="E19" s="1629"/>
      <c r="F19" s="1932"/>
      <c r="G19" s="616"/>
    </row>
    <row r="20" spans="1:7" s="907" customFormat="1">
      <c r="A20" s="3531" t="s">
        <v>1234</v>
      </c>
      <c r="B20" s="3532">
        <v>3387000</v>
      </c>
      <c r="C20" s="3532">
        <v>0</v>
      </c>
      <c r="D20" s="3532">
        <v>0</v>
      </c>
      <c r="E20" s="1629"/>
      <c r="F20" s="1932"/>
      <c r="G20" s="616"/>
    </row>
    <row r="21" spans="1:7" s="907" customFormat="1">
      <c r="A21" s="3531" t="s">
        <v>1235</v>
      </c>
      <c r="B21" s="3532">
        <v>5800000</v>
      </c>
      <c r="C21" s="3532">
        <v>0</v>
      </c>
      <c r="D21" s="3532">
        <v>0</v>
      </c>
      <c r="E21" s="1629"/>
      <c r="F21" s="1932"/>
      <c r="G21" s="616"/>
    </row>
    <row r="22" spans="1:7" s="907" customFormat="1">
      <c r="A22" s="3531" t="s">
        <v>1236</v>
      </c>
      <c r="B22" s="3532">
        <v>108800000</v>
      </c>
      <c r="C22" s="3532">
        <v>0</v>
      </c>
      <c r="D22" s="3532">
        <v>0</v>
      </c>
      <c r="E22" s="1629"/>
      <c r="F22" s="1932"/>
      <c r="G22" s="616"/>
    </row>
    <row r="23" spans="1:7" s="907" customFormat="1">
      <c r="A23" s="3531" t="s">
        <v>1237</v>
      </c>
      <c r="B23" s="3532">
        <v>4782000</v>
      </c>
      <c r="C23" s="3532">
        <v>0</v>
      </c>
      <c r="D23" s="3532">
        <v>0</v>
      </c>
      <c r="E23" s="1629"/>
      <c r="F23" s="1932"/>
      <c r="G23" s="616"/>
    </row>
    <row r="24" spans="1:7" s="907" customFormat="1">
      <c r="A24" s="3531" t="s">
        <v>1238</v>
      </c>
      <c r="B24" s="3532">
        <v>6890000</v>
      </c>
      <c r="C24" s="3532">
        <v>0</v>
      </c>
      <c r="D24" s="3532">
        <v>0</v>
      </c>
      <c r="E24" s="1629"/>
      <c r="F24" s="1932"/>
      <c r="G24" s="616"/>
    </row>
    <row r="25" spans="1:7" s="907" customFormat="1">
      <c r="A25" s="3531" t="s">
        <v>1239</v>
      </c>
      <c r="B25" s="3532">
        <v>9440000</v>
      </c>
      <c r="C25" s="3532">
        <v>214000</v>
      </c>
      <c r="D25" s="3532">
        <v>2272295</v>
      </c>
      <c r="E25" s="1629"/>
      <c r="F25" s="1932"/>
      <c r="G25" s="616"/>
    </row>
    <row r="26" spans="1:7" s="907" customFormat="1">
      <c r="A26" s="3531" t="s">
        <v>1240</v>
      </c>
      <c r="B26" s="3532">
        <v>39200000</v>
      </c>
      <c r="C26" s="3532">
        <v>0</v>
      </c>
      <c r="D26" s="3532">
        <v>9600000</v>
      </c>
      <c r="E26" s="1629"/>
      <c r="F26" s="1932"/>
      <c r="G26" s="616"/>
    </row>
    <row r="27" spans="1:7" s="907" customFormat="1">
      <c r="A27" s="3531" t="s">
        <v>1241</v>
      </c>
      <c r="B27" s="3532">
        <v>18320000</v>
      </c>
      <c r="C27" s="3532">
        <v>0</v>
      </c>
      <c r="D27" s="3532">
        <v>42156.42</v>
      </c>
      <c r="E27" s="901"/>
      <c r="F27" s="1932"/>
      <c r="G27" s="616"/>
    </row>
    <row r="28" spans="1:7" s="907" customFormat="1">
      <c r="A28" s="3531" t="s">
        <v>1242</v>
      </c>
      <c r="B28" s="3532">
        <v>5733000</v>
      </c>
      <c r="C28" s="3532">
        <v>205241.22</v>
      </c>
      <c r="D28" s="3532">
        <v>312094.61</v>
      </c>
      <c r="E28" s="901"/>
      <c r="F28" s="1932"/>
      <c r="G28" s="616"/>
    </row>
    <row r="29" spans="1:7">
      <c r="A29" s="3531" t="s">
        <v>1243</v>
      </c>
      <c r="B29" s="3532">
        <v>52000000</v>
      </c>
      <c r="C29" s="3532">
        <v>0</v>
      </c>
      <c r="D29" s="3532">
        <v>52000000</v>
      </c>
      <c r="E29" s="901"/>
    </row>
    <row r="30" spans="1:7">
      <c r="A30" s="3531" t="s">
        <v>1244</v>
      </c>
      <c r="B30" s="3532">
        <v>2200000</v>
      </c>
      <c r="C30" s="3532">
        <v>0</v>
      </c>
      <c r="D30" s="3532">
        <v>289283.89</v>
      </c>
      <c r="E30" s="901"/>
    </row>
    <row r="31" spans="1:7">
      <c r="A31" s="3531" t="s">
        <v>1245</v>
      </c>
      <c r="B31" s="3532">
        <v>207200000</v>
      </c>
      <c r="C31" s="3532">
        <v>0</v>
      </c>
      <c r="D31" s="3532">
        <v>81578175</v>
      </c>
      <c r="E31" s="901"/>
    </row>
    <row r="32" spans="1:7">
      <c r="A32" s="3531" t="s">
        <v>1246</v>
      </c>
      <c r="B32" s="3532">
        <v>36260000</v>
      </c>
      <c r="C32" s="3532">
        <v>44515</v>
      </c>
      <c r="D32" s="3532">
        <v>1918522.46</v>
      </c>
      <c r="E32" s="901"/>
    </row>
    <row r="33" spans="1:5" ht="13">
      <c r="A33" s="3531" t="s">
        <v>1247</v>
      </c>
      <c r="B33" s="3532">
        <v>974000</v>
      </c>
      <c r="C33" s="3532">
        <v>0</v>
      </c>
      <c r="D33" s="3532">
        <v>0</v>
      </c>
      <c r="E33" s="3006"/>
    </row>
    <row r="34" spans="1:5">
      <c r="A34" s="3531" t="s">
        <v>1248</v>
      </c>
      <c r="B34" s="3532">
        <v>8720000</v>
      </c>
      <c r="C34" s="3532">
        <v>0</v>
      </c>
      <c r="D34" s="3532">
        <v>0</v>
      </c>
      <c r="E34" s="901"/>
    </row>
    <row r="35" spans="1:5">
      <c r="A35" s="3531" t="s">
        <v>1249</v>
      </c>
      <c r="B35" s="3532">
        <v>5300000</v>
      </c>
      <c r="C35" s="3532">
        <v>243988.43</v>
      </c>
      <c r="D35" s="3532">
        <v>1652826.93</v>
      </c>
      <c r="E35" s="901"/>
    </row>
    <row r="36" spans="1:5">
      <c r="A36" s="3531" t="s">
        <v>1250</v>
      </c>
      <c r="B36" s="3532">
        <v>89426000</v>
      </c>
      <c r="C36" s="3532">
        <v>0</v>
      </c>
      <c r="D36" s="3532">
        <v>25732000</v>
      </c>
      <c r="E36" s="901"/>
    </row>
    <row r="37" spans="1:5">
      <c r="A37" s="3531" t="s">
        <v>1289</v>
      </c>
      <c r="B37" s="3532">
        <v>50000</v>
      </c>
      <c r="C37" s="3532">
        <v>0</v>
      </c>
      <c r="D37" s="3532">
        <v>0</v>
      </c>
      <c r="E37" s="901"/>
    </row>
    <row r="38" spans="1:5">
      <c r="A38" s="3531" t="s">
        <v>1251</v>
      </c>
      <c r="B38" s="3532">
        <v>15950000</v>
      </c>
      <c r="C38" s="3532">
        <v>0</v>
      </c>
      <c r="D38" s="3532">
        <v>0</v>
      </c>
      <c r="E38" s="901"/>
    </row>
    <row r="39" spans="1:5">
      <c r="A39" s="3531" t="s">
        <v>1378</v>
      </c>
      <c r="B39" s="3532">
        <v>18820000</v>
      </c>
      <c r="C39" s="3532">
        <v>255491.66</v>
      </c>
      <c r="D39" s="3532">
        <v>2466265.77</v>
      </c>
      <c r="E39" s="901"/>
    </row>
    <row r="40" spans="1:5">
      <c r="A40" s="3531" t="s">
        <v>1386</v>
      </c>
      <c r="B40" s="3532">
        <v>2200000</v>
      </c>
      <c r="C40" s="3532">
        <v>0</v>
      </c>
      <c r="D40" s="3532">
        <v>0</v>
      </c>
      <c r="E40" s="901"/>
    </row>
    <row r="41" spans="1:5">
      <c r="A41" s="3531" t="s">
        <v>1252</v>
      </c>
      <c r="B41" s="3532">
        <v>11610000</v>
      </c>
      <c r="C41" s="3532">
        <v>0</v>
      </c>
      <c r="D41" s="3532">
        <v>0</v>
      </c>
      <c r="E41" s="901"/>
    </row>
    <row r="42" spans="1:5">
      <c r="A42" s="3531" t="s">
        <v>1253</v>
      </c>
      <c r="B42" s="3532">
        <v>4230000</v>
      </c>
      <c r="C42" s="3532">
        <v>0</v>
      </c>
      <c r="D42" s="3532">
        <v>0</v>
      </c>
      <c r="E42" s="901"/>
    </row>
    <row r="43" spans="1:5">
      <c r="A43" s="3531" t="s">
        <v>1254</v>
      </c>
      <c r="B43" s="3532">
        <v>8460000</v>
      </c>
      <c r="C43" s="3532">
        <v>0</v>
      </c>
      <c r="D43" s="3532">
        <v>0</v>
      </c>
      <c r="E43" s="901"/>
    </row>
    <row r="44" spans="1:5">
      <c r="A44" s="3531" t="s">
        <v>1255</v>
      </c>
      <c r="B44" s="3532">
        <v>489526059.02999997</v>
      </c>
      <c r="C44" s="3532">
        <v>0</v>
      </c>
      <c r="D44" s="3532">
        <v>0</v>
      </c>
      <c r="E44" s="901"/>
    </row>
    <row r="45" spans="1:5" ht="13">
      <c r="A45" s="3568" t="s">
        <v>499</v>
      </c>
      <c r="B45" s="3569">
        <v>28799805000</v>
      </c>
      <c r="C45" s="3569">
        <v>400548411.18000001</v>
      </c>
      <c r="D45" s="3569">
        <v>2309267810.0700002</v>
      </c>
      <c r="E45" s="901"/>
    </row>
    <row r="46" spans="1:5">
      <c r="A46" s="3531" t="s">
        <v>1256</v>
      </c>
      <c r="B46" s="3532">
        <v>300000000</v>
      </c>
      <c r="C46" s="3532">
        <v>0</v>
      </c>
      <c r="D46" s="3532">
        <v>0</v>
      </c>
      <c r="E46" s="901"/>
    </row>
    <row r="47" spans="1:5">
      <c r="A47" s="3531" t="s">
        <v>1257</v>
      </c>
      <c r="B47" s="3532">
        <v>4387400000</v>
      </c>
      <c r="C47" s="3532">
        <v>50548411.18</v>
      </c>
      <c r="D47" s="3532">
        <v>309267810.06999999</v>
      </c>
      <c r="E47" s="901"/>
    </row>
    <row r="48" spans="1:5">
      <c r="A48" s="3531" t="s">
        <v>1258</v>
      </c>
      <c r="B48" s="3532">
        <v>23129205000</v>
      </c>
      <c r="C48" s="3532">
        <v>350000000</v>
      </c>
      <c r="D48" s="3532">
        <v>2000000000</v>
      </c>
      <c r="E48" s="901"/>
    </row>
    <row r="49" spans="1:6">
      <c r="A49" s="3531" t="s">
        <v>1259</v>
      </c>
      <c r="B49" s="3532">
        <v>916000000</v>
      </c>
      <c r="C49" s="3532">
        <v>0</v>
      </c>
      <c r="D49" s="3532">
        <v>0</v>
      </c>
      <c r="E49" s="901"/>
    </row>
    <row r="50" spans="1:6">
      <c r="A50" s="3531" t="s">
        <v>1260</v>
      </c>
      <c r="B50" s="3532">
        <v>67200000</v>
      </c>
      <c r="C50" s="3532">
        <v>0</v>
      </c>
      <c r="D50" s="3532">
        <v>0</v>
      </c>
      <c r="E50" s="901"/>
    </row>
    <row r="51" spans="1:6" ht="13">
      <c r="A51" s="3568" t="s">
        <v>1275</v>
      </c>
      <c r="B51" s="3569">
        <v>85091000</v>
      </c>
      <c r="C51" s="3569">
        <v>2912960.24</v>
      </c>
      <c r="D51" s="3569">
        <v>13893208.83</v>
      </c>
      <c r="E51" s="901"/>
    </row>
    <row r="52" spans="1:6">
      <c r="A52" s="3531" t="s">
        <v>1276</v>
      </c>
      <c r="B52" s="3532">
        <v>85091000</v>
      </c>
      <c r="C52" s="3532">
        <v>2912960.24</v>
      </c>
      <c r="D52" s="3532">
        <v>13893208.83</v>
      </c>
      <c r="E52" s="901"/>
    </row>
    <row r="53" spans="1:6" ht="13">
      <c r="A53" s="3568" t="s">
        <v>500</v>
      </c>
      <c r="B53" s="3569">
        <v>1834000</v>
      </c>
      <c r="C53" s="3569">
        <v>0</v>
      </c>
      <c r="D53" s="3569">
        <v>0</v>
      </c>
      <c r="E53" s="901"/>
    </row>
    <row r="54" spans="1:6">
      <c r="A54" s="3531" t="s">
        <v>1261</v>
      </c>
      <c r="B54" s="3532">
        <v>1834000</v>
      </c>
      <c r="C54" s="3532">
        <v>0</v>
      </c>
      <c r="D54" s="3532">
        <v>0</v>
      </c>
      <c r="E54" s="901"/>
    </row>
    <row r="55" spans="1:6" ht="13">
      <c r="A55" s="3568" t="s">
        <v>501</v>
      </c>
      <c r="B55" s="3569">
        <v>35795000</v>
      </c>
      <c r="C55" s="3569">
        <v>1180625.6500000001</v>
      </c>
      <c r="D55" s="3569">
        <v>4494025.4399999995</v>
      </c>
      <c r="E55" s="901"/>
    </row>
    <row r="56" spans="1:6">
      <c r="A56" s="3531" t="s">
        <v>1262</v>
      </c>
      <c r="B56" s="3532">
        <v>35795000</v>
      </c>
      <c r="C56" s="3532">
        <v>1180625.6500000001</v>
      </c>
      <c r="D56" s="3532">
        <v>4494025.4399999995</v>
      </c>
      <c r="E56" s="901"/>
    </row>
    <row r="57" spans="1:6" ht="13">
      <c r="A57" s="3568" t="s">
        <v>1162</v>
      </c>
      <c r="B57" s="3569">
        <v>8190000</v>
      </c>
      <c r="C57" s="3569">
        <v>396232.2</v>
      </c>
      <c r="D57" s="3569">
        <v>1466093.4</v>
      </c>
      <c r="E57" s="901"/>
    </row>
    <row r="58" spans="1:6">
      <c r="A58" s="3531" t="s">
        <v>1162</v>
      </c>
      <c r="B58" s="3532">
        <v>8190000</v>
      </c>
      <c r="C58" s="3532">
        <v>396232.2</v>
      </c>
      <c r="D58" s="3532">
        <v>1466093.4</v>
      </c>
      <c r="E58" s="901"/>
    </row>
    <row r="59" spans="1:6" ht="13">
      <c r="A59" s="3724" t="s">
        <v>541</v>
      </c>
      <c r="B59" s="3726">
        <v>32316313059.029999</v>
      </c>
      <c r="C59" s="3726">
        <v>522914591.43000001</v>
      </c>
      <c r="D59" s="3726">
        <v>2908811176.0699997</v>
      </c>
      <c r="E59" s="901"/>
    </row>
    <row r="60" spans="1:6" ht="15" customHeight="1">
      <c r="A60" s="3542" t="s">
        <v>502</v>
      </c>
      <c r="B60" s="3725"/>
      <c r="C60" s="3543">
        <v>-320002.65000000002</v>
      </c>
      <c r="D60" s="3543">
        <v>-1854961.45</v>
      </c>
      <c r="E60" s="901"/>
      <c r="F60" s="1931" t="s">
        <v>14</v>
      </c>
    </row>
    <row r="61" spans="1:6" ht="15.65" customHeight="1">
      <c r="A61" s="3542" t="s">
        <v>1212</v>
      </c>
      <c r="B61" s="3725"/>
      <c r="C61" s="3543">
        <v>0</v>
      </c>
      <c r="D61" s="3543">
        <v>0</v>
      </c>
      <c r="E61" s="901"/>
    </row>
    <row r="62" spans="1:6" ht="12.75" customHeight="1">
      <c r="A62" s="3542" t="s">
        <v>1213</v>
      </c>
      <c r="B62" s="3543"/>
      <c r="C62" s="3543">
        <v>0</v>
      </c>
      <c r="D62" s="3543">
        <v>0</v>
      </c>
      <c r="E62" s="3007"/>
    </row>
    <row r="63" spans="1:6">
      <c r="A63" s="3542" t="s">
        <v>503</v>
      </c>
      <c r="B63" s="3543"/>
      <c r="C63" s="3543">
        <v>-885.28</v>
      </c>
      <c r="D63" s="3543">
        <v>-885.28</v>
      </c>
      <c r="E63" s="901"/>
    </row>
    <row r="64" spans="1:6" ht="13.5" thickBot="1">
      <c r="A64" s="3526" t="s">
        <v>1263</v>
      </c>
      <c r="B64" s="3558">
        <v>32316313059.029999</v>
      </c>
      <c r="C64" s="3558">
        <v>522593703.50000006</v>
      </c>
      <c r="D64" s="3558">
        <v>2906955329.3399997</v>
      </c>
      <c r="E64" s="901"/>
    </row>
    <row r="65" spans="1:5" ht="13" thickTop="1">
      <c r="A65" s="1568"/>
      <c r="B65" s="3525"/>
      <c r="C65" s="3525"/>
      <c r="D65" s="3525"/>
      <c r="E65" s="901"/>
    </row>
    <row r="66" spans="1:5">
      <c r="A66" s="3527" t="s">
        <v>1489</v>
      </c>
      <c r="B66" s="1568"/>
      <c r="C66" s="1568"/>
      <c r="D66" s="1568"/>
      <c r="E66" s="901"/>
    </row>
    <row r="67" spans="1:5">
      <c r="A67" s="3527" t="s">
        <v>881</v>
      </c>
      <c r="B67" s="1568"/>
      <c r="C67" s="1568"/>
      <c r="D67" s="1568"/>
      <c r="E67" s="901"/>
    </row>
    <row r="68" spans="1:5" ht="13.4" customHeight="1">
      <c r="A68" s="3528" t="s">
        <v>853</v>
      </c>
      <c r="B68" s="1568"/>
      <c r="C68" s="1568"/>
      <c r="D68" s="1568"/>
    </row>
    <row r="69" spans="1:5" ht="12.75" customHeight="1">
      <c r="A69" s="3529" t="s">
        <v>854</v>
      </c>
      <c r="B69" s="1568"/>
      <c r="C69" s="1568"/>
      <c r="D69" s="3530"/>
    </row>
    <row r="70" spans="1:5">
      <c r="A70" s="3529" t="s">
        <v>855</v>
      </c>
      <c r="B70" s="1568"/>
      <c r="C70" s="1568"/>
      <c r="D70" s="3525"/>
    </row>
    <row r="71" spans="1:5">
      <c r="B71" s="908"/>
      <c r="C71" s="1572"/>
      <c r="D71" s="905"/>
    </row>
    <row r="72" spans="1:5">
      <c r="A72" s="903"/>
      <c r="B72" s="904"/>
      <c r="C72" s="3823"/>
      <c r="D72" s="3823"/>
    </row>
    <row r="73" spans="1:5">
      <c r="A73" s="903"/>
      <c r="B73" s="904"/>
      <c r="C73" s="3823"/>
      <c r="D73" s="3823"/>
    </row>
    <row r="74" spans="1:5">
      <c r="C74" s="3525"/>
      <c r="D74" s="3525"/>
    </row>
    <row r="75" spans="1:5">
      <c r="A75" s="904"/>
      <c r="B75" s="906"/>
      <c r="C75" s="3824"/>
      <c r="D75" s="3824"/>
    </row>
    <row r="76" spans="1:5" ht="12.75" customHeight="1">
      <c r="A76" s="904"/>
      <c r="B76" s="906"/>
      <c r="C76" s="3728"/>
      <c r="D76" s="3728"/>
    </row>
    <row r="77" spans="1:5" ht="12.75" customHeight="1">
      <c r="A77" s="904"/>
      <c r="B77" s="906"/>
      <c r="C77" s="3728" t="s">
        <v>14</v>
      </c>
      <c r="D77" s="906"/>
    </row>
    <row r="78" spans="1:5" ht="12.75" customHeight="1">
      <c r="A78" s="904"/>
      <c r="B78" s="906"/>
      <c r="C78" s="906"/>
      <c r="D78" s="906"/>
    </row>
    <row r="79" spans="1:5">
      <c r="A79" s="904"/>
      <c r="B79" s="906"/>
      <c r="C79" s="906"/>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pageSetUpPr fitToPage="1"/>
  </sheetPr>
  <dimension ref="A1:S55"/>
  <sheetViews>
    <sheetView showGridLines="0" zoomScale="90" zoomScaleNormal="70" workbookViewId="0"/>
  </sheetViews>
  <sheetFormatPr defaultColWidth="8.84375" defaultRowHeight="15" customHeight="1"/>
  <cols>
    <col min="1" max="1" width="55.07421875" style="1260" customWidth="1"/>
    <col min="2" max="2" width="4.84375" style="1260" customWidth="1"/>
    <col min="3" max="3" width="20.84375" style="1261" customWidth="1"/>
    <col min="4" max="4" width="1.84375" style="1260" customWidth="1"/>
    <col min="5" max="5" width="20.84375" style="1261" customWidth="1"/>
    <col min="6" max="6" width="1.84375" style="1260" customWidth="1"/>
    <col min="7" max="7" width="20.84375" style="1261" customWidth="1"/>
    <col min="8" max="8" width="1.84375" style="1260" customWidth="1"/>
    <col min="9" max="9" width="20.84375" style="1261" customWidth="1"/>
    <col min="10" max="10" width="1.84375" style="1260" customWidth="1"/>
    <col min="11" max="11" width="1.84375" style="1262" customWidth="1"/>
    <col min="12" max="12" width="20.07421875" style="1262" customWidth="1"/>
    <col min="13" max="14" width="8.84375" style="1261"/>
    <col min="15" max="16384" width="8.84375" style="1260"/>
  </cols>
  <sheetData>
    <row r="1" spans="1:14" ht="15" customHeight="1">
      <c r="A1" s="635" t="s">
        <v>882</v>
      </c>
    </row>
    <row r="2" spans="1:14" ht="15" customHeight="1">
      <c r="A2" s="1263"/>
    </row>
    <row r="3" spans="1:14" ht="15" customHeight="1">
      <c r="L3" s="1341" t="s">
        <v>504</v>
      </c>
    </row>
    <row r="4" spans="1:14" ht="18" customHeight="1">
      <c r="A4" s="1936" t="s">
        <v>490</v>
      </c>
      <c r="B4" s="1264"/>
      <c r="C4" s="1264"/>
      <c r="D4" s="1264"/>
      <c r="E4" s="1264"/>
      <c r="F4" s="1264"/>
      <c r="G4" s="1264"/>
      <c r="H4" s="1264"/>
      <c r="I4" s="1264"/>
      <c r="J4" s="1264"/>
      <c r="K4" s="1343"/>
      <c r="L4" s="1343"/>
    </row>
    <row r="5" spans="1:14" ht="18" customHeight="1">
      <c r="A5" s="1936" t="s">
        <v>797</v>
      </c>
      <c r="B5" s="1936"/>
      <c r="C5" s="1936"/>
      <c r="D5" s="1936"/>
      <c r="E5" s="1936"/>
      <c r="F5" s="1936"/>
      <c r="G5" s="1936"/>
      <c r="H5" s="1936"/>
      <c r="I5" s="1936"/>
      <c r="J5" s="1936"/>
      <c r="K5" s="1342"/>
      <c r="L5" s="1936"/>
    </row>
    <row r="6" spans="1:14" ht="18" customHeight="1">
      <c r="A6" s="1936" t="str">
        <f>'HCRA PROG DISB'!A6</f>
        <v xml:space="preserve">FISCAL YEAR 2021-2022   </v>
      </c>
      <c r="B6" s="1937"/>
      <c r="C6" s="1937"/>
      <c r="D6" s="1937"/>
      <c r="E6" s="1937"/>
      <c r="F6" s="1937"/>
      <c r="G6" s="1937"/>
      <c r="H6" s="1937"/>
      <c r="I6" s="1937"/>
      <c r="J6" s="1937"/>
      <c r="K6" s="1342"/>
      <c r="L6" s="1936"/>
    </row>
    <row r="7" spans="1:14" ht="15" customHeight="1">
      <c r="A7" s="1938"/>
      <c r="B7" s="1938"/>
      <c r="C7" s="1938"/>
      <c r="D7" s="1938"/>
      <c r="E7" s="1938"/>
      <c r="F7" s="1938"/>
      <c r="G7" s="1938"/>
      <c r="H7" s="1938"/>
      <c r="I7" s="1938"/>
      <c r="J7" s="1938"/>
      <c r="K7" s="1344"/>
      <c r="L7" s="1344"/>
    </row>
    <row r="8" spans="1:14" ht="15" customHeight="1">
      <c r="A8" s="1266"/>
      <c r="B8" s="1267"/>
      <c r="C8" s="1268"/>
      <c r="D8" s="1267"/>
      <c r="E8" s="1268"/>
      <c r="F8" s="1267"/>
      <c r="G8" s="1268"/>
      <c r="H8" s="1267"/>
      <c r="I8" s="1268"/>
      <c r="J8" s="1267"/>
      <c r="K8" s="1345"/>
      <c r="L8" s="1269"/>
    </row>
    <row r="9" spans="1:14" s="1272" customFormat="1" ht="15" customHeight="1">
      <c r="A9" s="1270"/>
      <c r="B9" s="1270"/>
      <c r="C9" s="1619" t="s">
        <v>1537</v>
      </c>
      <c r="D9" s="1270"/>
      <c r="E9" s="1619">
        <v>2021</v>
      </c>
      <c r="F9" s="1270"/>
      <c r="G9" s="1619">
        <v>2021</v>
      </c>
      <c r="H9" s="1270"/>
      <c r="I9" s="1619">
        <v>2021</v>
      </c>
      <c r="J9" s="1270"/>
      <c r="K9" s="1271"/>
      <c r="L9" s="1271"/>
      <c r="M9" s="1259"/>
      <c r="N9" s="1259"/>
    </row>
    <row r="10" spans="1:14" ht="15" customHeight="1">
      <c r="A10" s="1273"/>
      <c r="B10" s="1273"/>
      <c r="C10" s="2212" t="s">
        <v>1538</v>
      </c>
      <c r="D10" s="1273"/>
      <c r="E10" s="2212" t="s">
        <v>126</v>
      </c>
      <c r="F10" s="1273"/>
      <c r="G10" s="2212" t="s">
        <v>127</v>
      </c>
      <c r="H10" s="1273"/>
      <c r="I10" s="2212" t="s">
        <v>142</v>
      </c>
      <c r="J10" s="1273"/>
      <c r="K10" s="1265"/>
      <c r="L10" s="1274" t="s">
        <v>1408</v>
      </c>
    </row>
    <row r="11" spans="1:14" ht="15" customHeight="1">
      <c r="A11" s="1273"/>
      <c r="B11" s="1273"/>
      <c r="C11" s="1265"/>
      <c r="D11" s="1273"/>
      <c r="E11" s="1265"/>
      <c r="F11" s="1273"/>
      <c r="G11" s="1265"/>
      <c r="H11" s="1273"/>
      <c r="I11" s="1265"/>
      <c r="J11" s="1273"/>
      <c r="K11" s="1265"/>
      <c r="L11" s="1877"/>
    </row>
    <row r="12" spans="1:14" s="1272" customFormat="1" ht="15" customHeight="1">
      <c r="A12" s="1276" t="s">
        <v>467</v>
      </c>
      <c r="B12" s="1276"/>
      <c r="C12" s="1277">
        <v>293876869.61000001</v>
      </c>
      <c r="D12" s="1276"/>
      <c r="E12" s="1277">
        <f>C52</f>
        <v>340535703.17000002</v>
      </c>
      <c r="F12" s="1276"/>
      <c r="G12" s="1277">
        <f>E52</f>
        <v>351129809.01999998</v>
      </c>
      <c r="H12" s="1276"/>
      <c r="I12" s="1277">
        <f>G52</f>
        <v>349663802.91000003</v>
      </c>
      <c r="J12" s="1276"/>
      <c r="K12" s="1278"/>
      <c r="L12" s="1346">
        <f>C12</f>
        <v>293876869.61000001</v>
      </c>
      <c r="M12" s="1259"/>
      <c r="N12" s="1259"/>
    </row>
    <row r="13" spans="1:14" ht="15" customHeight="1">
      <c r="A13" s="1276"/>
      <c r="B13" s="1273"/>
      <c r="C13" s="1275"/>
      <c r="D13" s="1273"/>
      <c r="E13" s="1275"/>
      <c r="F13" s="1273"/>
      <c r="G13" s="1275"/>
      <c r="H13" s="1273"/>
      <c r="I13" s="1275"/>
      <c r="J13" s="1273"/>
      <c r="K13" s="1279"/>
      <c r="L13" s="1282"/>
    </row>
    <row r="14" spans="1:14" ht="15" customHeight="1">
      <c r="A14" s="1276" t="s">
        <v>13</v>
      </c>
      <c r="B14" s="1273"/>
      <c r="C14" s="1280"/>
      <c r="D14" s="1273"/>
      <c r="E14" s="1280"/>
      <c r="F14" s="1273"/>
      <c r="G14" s="1280"/>
      <c r="H14" s="1273"/>
      <c r="I14" s="1280"/>
      <c r="J14" s="1273"/>
      <c r="K14" s="1281"/>
      <c r="L14" s="1282"/>
    </row>
    <row r="15" spans="1:14" ht="15" customHeight="1">
      <c r="A15" s="1273" t="s">
        <v>506</v>
      </c>
      <c r="B15" s="1273"/>
      <c r="C15" s="1248">
        <v>989188683.61000001</v>
      </c>
      <c r="D15" s="1273"/>
      <c r="E15" s="1248">
        <v>338440078.85000002</v>
      </c>
      <c r="F15" s="1273"/>
      <c r="G15" s="1248">
        <v>309622630.50999999</v>
      </c>
      <c r="H15" s="1273"/>
      <c r="I15" s="1248">
        <v>341397849.88</v>
      </c>
      <c r="J15" s="1273"/>
      <c r="K15" s="1281"/>
      <c r="L15" s="1282">
        <f>SUM(C15:K15)</f>
        <v>1978649242.8499999</v>
      </c>
    </row>
    <row r="16" spans="1:14" ht="15" customHeight="1">
      <c r="A16" s="1273" t="s">
        <v>507</v>
      </c>
      <c r="B16" s="1273"/>
      <c r="C16" s="1248">
        <v>249351336.47999996</v>
      </c>
      <c r="D16" s="1273"/>
      <c r="E16" s="1248">
        <v>80837002.88000001</v>
      </c>
      <c r="F16" s="1273"/>
      <c r="G16" s="1248">
        <v>79960166.040000007</v>
      </c>
      <c r="H16" s="1273"/>
      <c r="I16" s="1248">
        <v>84310348.379999995</v>
      </c>
      <c r="J16" s="1273"/>
      <c r="K16" s="1281"/>
      <c r="L16" s="1282">
        <f t="shared" ref="L16:L21" si="0">SUM(C16:K16)</f>
        <v>494458853.77999997</v>
      </c>
    </row>
    <row r="17" spans="1:19" ht="15" customHeight="1">
      <c r="A17" s="1273" t="s">
        <v>508</v>
      </c>
      <c r="B17" s="1273"/>
      <c r="C17" s="1248">
        <v>26801341.23</v>
      </c>
      <c r="D17" s="1273"/>
      <c r="E17" s="1248">
        <v>9201453.3300000001</v>
      </c>
      <c r="F17" s="1273"/>
      <c r="G17" s="1248">
        <v>9294330.3500000015</v>
      </c>
      <c r="H17" s="1273"/>
      <c r="I17" s="1248">
        <v>6664575.9199999999</v>
      </c>
      <c r="J17" s="1273"/>
      <c r="K17" s="1281"/>
      <c r="L17" s="1282">
        <f t="shared" si="0"/>
        <v>51961700.830000006</v>
      </c>
    </row>
    <row r="18" spans="1:19" ht="15" customHeight="1">
      <c r="A18" s="1273" t="s">
        <v>509</v>
      </c>
      <c r="B18" s="1273"/>
      <c r="C18" s="1248">
        <v>119091702</v>
      </c>
      <c r="D18" s="1273"/>
      <c r="E18" s="1248">
        <v>37196732</v>
      </c>
      <c r="F18" s="1273"/>
      <c r="G18" s="1248">
        <v>39821503</v>
      </c>
      <c r="H18" s="1273"/>
      <c r="I18" s="1248">
        <v>35426678</v>
      </c>
      <c r="J18" s="1273"/>
      <c r="K18" s="1281"/>
      <c r="L18" s="1282">
        <f t="shared" si="0"/>
        <v>231536615</v>
      </c>
    </row>
    <row r="19" spans="1:19" s="1467" customFormat="1" ht="18" customHeight="1">
      <c r="A19" s="1468" t="s">
        <v>510</v>
      </c>
      <c r="B19" s="1273"/>
      <c r="C19" s="779">
        <v>0</v>
      </c>
      <c r="D19" s="1273"/>
      <c r="E19" s="779">
        <v>0</v>
      </c>
      <c r="F19" s="1273"/>
      <c r="G19" s="779">
        <v>0</v>
      </c>
      <c r="H19" s="1273"/>
      <c r="I19" s="779">
        <v>0</v>
      </c>
      <c r="J19" s="1273"/>
      <c r="K19" s="1281"/>
      <c r="L19" s="1282">
        <f t="shared" si="0"/>
        <v>0</v>
      </c>
      <c r="M19" s="1275"/>
      <c r="N19" s="1275"/>
    </row>
    <row r="20" spans="1:19" ht="15" customHeight="1">
      <c r="A20" s="1273" t="s">
        <v>511</v>
      </c>
      <c r="B20" s="1273"/>
      <c r="C20" s="1248">
        <v>3690.3</v>
      </c>
      <c r="D20" s="1273"/>
      <c r="E20" s="1248">
        <v>1226.45</v>
      </c>
      <c r="F20" s="1273"/>
      <c r="G20" s="1248">
        <v>1270.31</v>
      </c>
      <c r="H20" s="1273"/>
      <c r="I20" s="1248">
        <v>1188.8699999999999</v>
      </c>
      <c r="J20" s="1273"/>
      <c r="K20" s="1281"/>
      <c r="L20" s="1282">
        <f t="shared" si="0"/>
        <v>7375.9299999999994</v>
      </c>
    </row>
    <row r="21" spans="1:19" ht="15" customHeight="1">
      <c r="A21" s="1273" t="s">
        <v>512</v>
      </c>
      <c r="B21" s="1273"/>
      <c r="C21" s="1943">
        <v>-357587.65999999922</v>
      </c>
      <c r="D21" s="1273"/>
      <c r="E21" s="1943">
        <v>-955771</v>
      </c>
      <c r="F21" s="1273"/>
      <c r="G21" s="1943">
        <v>13126514</v>
      </c>
      <c r="H21" s="1273"/>
      <c r="I21" s="1943">
        <v>-13047651</v>
      </c>
      <c r="J21" s="1273"/>
      <c r="K21" s="1283"/>
      <c r="L21" s="1282">
        <f t="shared" si="0"/>
        <v>-1234495.6600000001</v>
      </c>
      <c r="M21" s="1262"/>
    </row>
    <row r="22" spans="1:19" s="1272" customFormat="1" ht="15.5">
      <c r="A22" s="1276" t="s">
        <v>149</v>
      </c>
      <c r="B22" s="1276"/>
      <c r="C22" s="1944">
        <f>ROUND(SUM(C15:C21),2)</f>
        <v>1384079165.96</v>
      </c>
      <c r="D22" s="1276"/>
      <c r="E22" s="1944">
        <f>ROUND(SUM(E15:E21),2)</f>
        <v>464720722.50999999</v>
      </c>
      <c r="F22" s="1276"/>
      <c r="G22" s="1944">
        <f>ROUND(SUM(G15:G21),2)</f>
        <v>451826414.20999998</v>
      </c>
      <c r="H22" s="1276"/>
      <c r="I22" s="1944">
        <f>ROUND(SUM(I15:I21),2)</f>
        <v>454752990.05000001</v>
      </c>
      <c r="J22" s="1276"/>
      <c r="K22" s="1284"/>
      <c r="L22" s="1878">
        <f>ROUND(SUM(L15:L21),2)</f>
        <v>2755379292.73</v>
      </c>
      <c r="M22" s="1286"/>
      <c r="N22" s="1259"/>
    </row>
    <row r="23" spans="1:19" ht="15" customHeight="1">
      <c r="A23" s="1273"/>
      <c r="B23" s="1273"/>
      <c r="C23" s="1280"/>
      <c r="D23" s="1273"/>
      <c r="E23" s="1280"/>
      <c r="F23" s="1273"/>
      <c r="G23" s="1280"/>
      <c r="H23" s="1273"/>
      <c r="I23" s="1280"/>
      <c r="J23" s="1273"/>
      <c r="K23" s="1281"/>
      <c r="L23" s="1282"/>
    </row>
    <row r="24" spans="1:19" ht="15" customHeight="1">
      <c r="A24" s="1276" t="s">
        <v>849</v>
      </c>
      <c r="B24" s="1273"/>
      <c r="C24" s="1287"/>
      <c r="D24" s="1273"/>
      <c r="E24" s="1287"/>
      <c r="F24" s="1273"/>
      <c r="G24" s="1287"/>
      <c r="H24" s="1273"/>
      <c r="I24" s="1287"/>
      <c r="J24" s="1273"/>
      <c r="K24" s="1281"/>
      <c r="L24" s="1282"/>
    </row>
    <row r="25" spans="1:19" ht="15" customHeight="1">
      <c r="A25" s="1288" t="s">
        <v>513</v>
      </c>
      <c r="B25" s="1273"/>
      <c r="C25" s="1280">
        <v>0</v>
      </c>
      <c r="D25" s="1273"/>
      <c r="E25" s="1280">
        <v>0</v>
      </c>
      <c r="F25" s="1273"/>
      <c r="G25" s="1280">
        <v>0</v>
      </c>
      <c r="H25" s="1273"/>
      <c r="I25" s="1280">
        <v>0</v>
      </c>
      <c r="J25" s="1273"/>
      <c r="K25" s="1281"/>
      <c r="L25" s="1282">
        <f>SUM(C25:K25)</f>
        <v>0</v>
      </c>
    </row>
    <row r="26" spans="1:19" ht="15" customHeight="1">
      <c r="A26" s="1288" t="s">
        <v>514</v>
      </c>
      <c r="B26" s="1273"/>
      <c r="C26" s="1280">
        <v>0</v>
      </c>
      <c r="D26" s="1273"/>
      <c r="E26" s="1280">
        <v>0</v>
      </c>
      <c r="F26" s="1273"/>
      <c r="G26" s="1280">
        <v>0</v>
      </c>
      <c r="H26" s="1273"/>
      <c r="I26" s="1280">
        <v>0</v>
      </c>
      <c r="J26" s="1273"/>
      <c r="K26" s="1281"/>
      <c r="L26" s="1282">
        <f>SUM(C26:K26)</f>
        <v>0</v>
      </c>
    </row>
    <row r="27" spans="1:19" ht="15" customHeight="1">
      <c r="A27" s="1288" t="s">
        <v>515</v>
      </c>
      <c r="B27" s="1273"/>
      <c r="C27" s="1280">
        <v>0</v>
      </c>
      <c r="D27" s="1273"/>
      <c r="E27" s="1280">
        <v>0</v>
      </c>
      <c r="F27" s="1273"/>
      <c r="G27" s="1280">
        <v>0</v>
      </c>
      <c r="H27" s="1273"/>
      <c r="I27" s="1280">
        <v>0</v>
      </c>
      <c r="J27" s="1273"/>
      <c r="K27" s="1283"/>
      <c r="L27" s="1282">
        <f>SUM(C27:K27)</f>
        <v>0</v>
      </c>
    </row>
    <row r="28" spans="1:19" ht="15.5">
      <c r="A28" s="1264" t="s">
        <v>887</v>
      </c>
      <c r="B28" s="1276"/>
      <c r="C28" s="1878">
        <f>ROUND(SUM(C25:C27),2)</f>
        <v>0</v>
      </c>
      <c r="D28" s="1276"/>
      <c r="E28" s="1878">
        <f>ROUND(SUM(E25:E27),2)</f>
        <v>0</v>
      </c>
      <c r="F28" s="1276"/>
      <c r="G28" s="1878">
        <f>ROUND(SUM(G25:G27),2)</f>
        <v>0</v>
      </c>
      <c r="H28" s="1276"/>
      <c r="I28" s="1878">
        <f>ROUND(SUM(I25:I27),2)</f>
        <v>0</v>
      </c>
      <c r="J28" s="1276"/>
      <c r="K28" s="1284"/>
      <c r="L28" s="1878">
        <f>ROUND(SUM(L25:L27),2)</f>
        <v>0</v>
      </c>
    </row>
    <row r="29" spans="1:19" ht="15" customHeight="1">
      <c r="A29" s="1273"/>
      <c r="B29" s="1273"/>
      <c r="C29" s="1280"/>
      <c r="D29" s="1273"/>
      <c r="E29" s="1280"/>
      <c r="F29" s="1273"/>
      <c r="G29" s="1280"/>
      <c r="H29" s="1273"/>
      <c r="I29" s="1280"/>
      <c r="J29" s="1273"/>
      <c r="K29" s="1281"/>
      <c r="L29" s="1282"/>
    </row>
    <row r="30" spans="1:19" ht="15" customHeight="1">
      <c r="A30" s="1276" t="s">
        <v>516</v>
      </c>
      <c r="B30" s="1276"/>
      <c r="C30" s="2214">
        <f>ROUND(+C22+C28,2)</f>
        <v>1384079165.96</v>
      </c>
      <c r="D30" s="1276"/>
      <c r="E30" s="2214">
        <f>ROUND(+E22+E28,2)</f>
        <v>464720722.50999999</v>
      </c>
      <c r="F30" s="1276"/>
      <c r="G30" s="2214">
        <f>ROUND(+G22+G28,2)</f>
        <v>451826414.20999998</v>
      </c>
      <c r="H30" s="1276"/>
      <c r="I30" s="2214">
        <f>ROUND(+I22+I28,2)</f>
        <v>454752990.05000001</v>
      </c>
      <c r="J30" s="1276"/>
      <c r="K30" s="1289"/>
      <c r="L30" s="1285">
        <f>ROUND(+L22+L28,2)</f>
        <v>2755379292.73</v>
      </c>
    </row>
    <row r="31" spans="1:19" ht="15" customHeight="1">
      <c r="A31" s="1273"/>
      <c r="B31" s="1273"/>
      <c r="C31" s="1282"/>
      <c r="D31" s="1273"/>
      <c r="E31" s="1282"/>
      <c r="F31" s="1273"/>
      <c r="G31" s="1282"/>
      <c r="H31" s="1273"/>
      <c r="I31" s="1282"/>
      <c r="J31" s="1273"/>
      <c r="K31" s="1281"/>
      <c r="L31" s="1879"/>
      <c r="M31" s="1262"/>
      <c r="N31" s="1262"/>
      <c r="O31" s="1290"/>
      <c r="P31" s="1290"/>
      <c r="Q31" s="1290"/>
      <c r="R31" s="1290"/>
      <c r="S31" s="1290"/>
    </row>
    <row r="32" spans="1:19" ht="15" customHeight="1">
      <c r="A32" s="1276" t="s">
        <v>45</v>
      </c>
      <c r="B32" s="1273"/>
      <c r="C32" s="1282"/>
      <c r="D32" s="1273"/>
      <c r="E32" s="1282"/>
      <c r="F32" s="1273"/>
      <c r="G32" s="1282"/>
      <c r="H32" s="1273"/>
      <c r="I32" s="1282"/>
      <c r="J32" s="1273"/>
      <c r="K32" s="1281"/>
      <c r="L32" s="1282"/>
      <c r="M32" s="1262"/>
      <c r="N32" s="1262"/>
      <c r="O32" s="1290"/>
      <c r="P32" s="1290"/>
      <c r="Q32" s="1290"/>
      <c r="R32" s="1290"/>
      <c r="S32" s="1290"/>
    </row>
    <row r="33" spans="1:19" ht="15" customHeight="1">
      <c r="A33" s="1276" t="s">
        <v>798</v>
      </c>
      <c r="B33" s="1273"/>
      <c r="C33" s="1282"/>
      <c r="D33" s="1273"/>
      <c r="E33" s="1282"/>
      <c r="F33" s="1273"/>
      <c r="G33" s="1282"/>
      <c r="H33" s="1273"/>
      <c r="I33" s="1282"/>
      <c r="J33" s="1273"/>
      <c r="K33" s="1281"/>
      <c r="L33" s="1282"/>
      <c r="M33" s="1262"/>
      <c r="N33" s="1262"/>
      <c r="O33" s="1290"/>
      <c r="P33" s="1290"/>
      <c r="Q33" s="1290"/>
      <c r="R33" s="1290"/>
      <c r="S33" s="1290"/>
    </row>
    <row r="34" spans="1:19" ht="15" customHeight="1">
      <c r="A34" s="1273" t="s">
        <v>517</v>
      </c>
      <c r="B34" s="1273"/>
      <c r="C34" s="1248">
        <v>0</v>
      </c>
      <c r="D34" s="1273"/>
      <c r="E34" s="1248">
        <v>0</v>
      </c>
      <c r="F34" s="1273"/>
      <c r="G34" s="1248">
        <v>0</v>
      </c>
      <c r="H34" s="1273"/>
      <c r="I34" s="1248">
        <v>0</v>
      </c>
      <c r="J34" s="1273"/>
      <c r="K34" s="1281"/>
      <c r="L34" s="1282">
        <f>SUM(C34:K34)</f>
        <v>0</v>
      </c>
      <c r="M34" s="1262"/>
      <c r="N34" s="1262"/>
      <c r="O34" s="1290"/>
      <c r="P34" s="1290"/>
      <c r="Q34" s="1290"/>
      <c r="R34" s="1290"/>
      <c r="S34" s="1290"/>
    </row>
    <row r="35" spans="1:19" ht="15" customHeight="1">
      <c r="A35" s="1288" t="s">
        <v>518</v>
      </c>
      <c r="B35" s="1273"/>
      <c r="C35" s="1248">
        <v>12373155</v>
      </c>
      <c r="D35" s="1273"/>
      <c r="E35" s="1248">
        <v>4725578</v>
      </c>
      <c r="F35" s="1273"/>
      <c r="G35" s="1248">
        <v>4593788</v>
      </c>
      <c r="H35" s="1273"/>
      <c r="I35" s="1248">
        <v>4826560</v>
      </c>
      <c r="J35" s="1273"/>
      <c r="K35" s="1281"/>
      <c r="L35" s="1282">
        <f>SUM(C35:K35)</f>
        <v>26519081</v>
      </c>
      <c r="M35" s="1262"/>
      <c r="N35" s="1262"/>
      <c r="O35" s="1290"/>
      <c r="P35" s="1290"/>
      <c r="Q35" s="1290"/>
      <c r="R35" s="1290"/>
      <c r="S35" s="1290"/>
    </row>
    <row r="36" spans="1:19" ht="15" customHeight="1">
      <c r="A36" s="1276" t="s">
        <v>519</v>
      </c>
      <c r="B36" s="1273"/>
      <c r="C36" s="1282"/>
      <c r="D36" s="1273"/>
      <c r="E36" s="1282"/>
      <c r="F36" s="1273"/>
      <c r="G36" s="1282"/>
      <c r="H36" s="1273"/>
      <c r="I36" s="1282"/>
      <c r="J36" s="1273"/>
      <c r="K36" s="1281"/>
      <c r="L36" s="1282"/>
      <c r="M36" s="1262"/>
      <c r="N36" s="1262"/>
      <c r="O36" s="1290"/>
      <c r="P36" s="1290"/>
      <c r="Q36" s="1290"/>
      <c r="R36" s="1290"/>
      <c r="S36" s="1290"/>
    </row>
    <row r="37" spans="1:19" ht="15" customHeight="1">
      <c r="A37" s="1240" t="s">
        <v>520</v>
      </c>
      <c r="B37" s="1273"/>
      <c r="C37" s="1291">
        <v>0</v>
      </c>
      <c r="D37" s="1273"/>
      <c r="E37" s="1291">
        <v>0</v>
      </c>
      <c r="F37" s="1273"/>
      <c r="G37" s="1291">
        <v>0</v>
      </c>
      <c r="H37" s="1273"/>
      <c r="I37" s="1291">
        <v>0</v>
      </c>
      <c r="J37" s="1273"/>
      <c r="K37" s="1281"/>
      <c r="L37" s="1282">
        <f>SUM(C37:K37)</f>
        <v>0</v>
      </c>
      <c r="M37" s="1262"/>
      <c r="N37" s="1262"/>
      <c r="O37" s="1290"/>
      <c r="P37" s="1290"/>
      <c r="Q37" s="1290"/>
      <c r="R37" s="1290"/>
      <c r="S37" s="1290"/>
    </row>
    <row r="38" spans="1:19" s="1272" customFormat="1" ht="15.5">
      <c r="A38" s="1276" t="s">
        <v>521</v>
      </c>
      <c r="B38" s="1276"/>
      <c r="C38" s="1878">
        <f>ROUND(SUM(C34:C37),2)</f>
        <v>12373155</v>
      </c>
      <c r="D38" s="1276"/>
      <c r="E38" s="1878">
        <f>ROUND(SUM(E34:E37),2)</f>
        <v>4725578</v>
      </c>
      <c r="F38" s="1276"/>
      <c r="G38" s="1878">
        <f>ROUND(SUM(G34:G37),2)</f>
        <v>4593788</v>
      </c>
      <c r="H38" s="1276"/>
      <c r="I38" s="1878">
        <f>ROUND(SUM(I34:I37),2)</f>
        <v>4826560</v>
      </c>
      <c r="J38" s="1276"/>
      <c r="K38" s="1284"/>
      <c r="L38" s="1878">
        <f>ROUND(SUM(L34:L37),2)</f>
        <v>26519081</v>
      </c>
      <c r="M38" s="1286"/>
      <c r="N38" s="1286"/>
      <c r="O38" s="1292"/>
      <c r="P38" s="1292"/>
      <c r="Q38" s="1292"/>
      <c r="R38" s="1292"/>
      <c r="S38" s="1292"/>
    </row>
    <row r="39" spans="1:19" ht="15" customHeight="1">
      <c r="A39" s="1273"/>
      <c r="B39" s="1273"/>
      <c r="C39" s="1280"/>
      <c r="D39" s="1273"/>
      <c r="E39" s="1280"/>
      <c r="F39" s="1273"/>
      <c r="G39" s="1280"/>
      <c r="H39" s="1273"/>
      <c r="I39" s="1280"/>
      <c r="J39" s="1273"/>
      <c r="K39" s="1281"/>
      <c r="L39" s="1282"/>
      <c r="M39" s="1262"/>
      <c r="N39" s="1262"/>
      <c r="O39" s="1290"/>
      <c r="P39" s="1290"/>
      <c r="Q39" s="1290"/>
      <c r="R39" s="1290"/>
      <c r="S39" s="1290"/>
    </row>
    <row r="40" spans="1:19" ht="15" customHeight="1">
      <c r="A40" s="1276" t="s">
        <v>850</v>
      </c>
      <c r="B40" s="1273"/>
      <c r="C40" s="1280"/>
      <c r="D40" s="1273"/>
      <c r="E40" s="1280"/>
      <c r="F40" s="1273"/>
      <c r="G40" s="1280"/>
      <c r="H40" s="1273"/>
      <c r="I40" s="1280"/>
      <c r="J40" s="1273"/>
      <c r="K40" s="1281"/>
      <c r="L40" s="1282"/>
      <c r="M40" s="1262"/>
      <c r="N40" s="1262"/>
      <c r="O40" s="1290"/>
      <c r="P40" s="1290"/>
      <c r="Q40" s="1290"/>
      <c r="R40" s="1290"/>
      <c r="S40" s="1290"/>
    </row>
    <row r="41" spans="1:19" ht="15" customHeight="1">
      <c r="A41" s="1273" t="s">
        <v>517</v>
      </c>
      <c r="B41" s="1273"/>
      <c r="C41" s="1241">
        <v>0</v>
      </c>
      <c r="D41" s="1273"/>
      <c r="E41" s="1241">
        <v>0</v>
      </c>
      <c r="F41" s="1273"/>
      <c r="G41" s="1241">
        <v>0</v>
      </c>
      <c r="H41" s="1273"/>
      <c r="I41" s="1241">
        <v>0</v>
      </c>
      <c r="J41" s="1273"/>
      <c r="K41" s="1281"/>
      <c r="L41" s="1282">
        <f>SUM(C41:K41)</f>
        <v>0</v>
      </c>
      <c r="M41" s="1262"/>
      <c r="N41" s="1262"/>
      <c r="O41" s="1290"/>
      <c r="P41" s="1290"/>
      <c r="Q41" s="1290"/>
      <c r="R41" s="1290"/>
      <c r="S41" s="1290"/>
    </row>
    <row r="42" spans="1:19" ht="15" customHeight="1">
      <c r="A42" s="1273" t="s">
        <v>522</v>
      </c>
      <c r="B42" s="1273"/>
      <c r="C42" s="1280">
        <v>0</v>
      </c>
      <c r="D42" s="1273"/>
      <c r="E42" s="1280">
        <v>0</v>
      </c>
      <c r="F42" s="1273"/>
      <c r="G42" s="1280">
        <v>0</v>
      </c>
      <c r="H42" s="1273"/>
      <c r="I42" s="1280">
        <v>0</v>
      </c>
      <c r="J42" s="1273"/>
      <c r="K42" s="1281"/>
      <c r="L42" s="1282">
        <f>SUM(C42:K42)</f>
        <v>0</v>
      </c>
      <c r="M42" s="1262"/>
      <c r="N42" s="1262"/>
      <c r="O42" s="1290"/>
      <c r="P42" s="1290"/>
      <c r="Q42" s="1290"/>
      <c r="R42" s="1290"/>
      <c r="S42" s="1290"/>
    </row>
    <row r="43" spans="1:19" ht="15" customHeight="1">
      <c r="A43" s="1276" t="s">
        <v>851</v>
      </c>
      <c r="B43" s="1273"/>
      <c r="C43" s="1280"/>
      <c r="D43" s="1273"/>
      <c r="E43" s="1280"/>
      <c r="F43" s="1273"/>
      <c r="G43" s="1280"/>
      <c r="H43" s="1273"/>
      <c r="I43" s="1280"/>
      <c r="J43" s="1273"/>
      <c r="K43" s="1281"/>
      <c r="L43" s="1282"/>
      <c r="M43" s="1262"/>
      <c r="N43" s="1262"/>
      <c r="O43" s="1290"/>
      <c r="P43" s="1290"/>
      <c r="Q43" s="1290"/>
      <c r="R43" s="1290"/>
      <c r="S43" s="1290"/>
    </row>
    <row r="44" spans="1:19" ht="15" customHeight="1">
      <c r="A44" s="1288" t="s">
        <v>520</v>
      </c>
      <c r="B44" s="1273"/>
      <c r="C44" s="1248">
        <v>-1349793487.4000001</v>
      </c>
      <c r="D44" s="1273"/>
      <c r="E44" s="1248">
        <v>-458852194.66000003</v>
      </c>
      <c r="F44" s="1273"/>
      <c r="G44" s="1248">
        <v>-457886208.31999999</v>
      </c>
      <c r="H44" s="1273"/>
      <c r="I44" s="1248">
        <v>-461408070.66000003</v>
      </c>
      <c r="J44" s="1273"/>
      <c r="K44" s="1281"/>
      <c r="L44" s="1282">
        <f>SUM(C44:K44)</f>
        <v>-2727939961.04</v>
      </c>
      <c r="M44" s="1262"/>
      <c r="N44" s="1262"/>
      <c r="O44" s="1290"/>
      <c r="P44" s="1290"/>
      <c r="Q44" s="1290"/>
      <c r="R44" s="1290"/>
      <c r="S44" s="1290"/>
    </row>
    <row r="45" spans="1:19" ht="15" customHeight="1">
      <c r="A45" s="1273" t="s">
        <v>1202</v>
      </c>
      <c r="B45" s="1273"/>
      <c r="C45" s="1248">
        <v>0</v>
      </c>
      <c r="D45" s="1273"/>
      <c r="E45" s="1248">
        <v>0</v>
      </c>
      <c r="F45" s="1273"/>
      <c r="G45" s="1248">
        <v>0</v>
      </c>
      <c r="H45" s="1273"/>
      <c r="I45" s="1248">
        <v>0</v>
      </c>
      <c r="J45" s="1273"/>
      <c r="K45" s="1281"/>
      <c r="L45" s="1282">
        <f>SUM(C45:K45)</f>
        <v>0</v>
      </c>
      <c r="M45" s="1262"/>
      <c r="N45" s="1262"/>
      <c r="O45" s="1290"/>
      <c r="P45" s="1290"/>
      <c r="Q45" s="1290"/>
      <c r="R45" s="1290"/>
      <c r="S45" s="1290"/>
    </row>
    <row r="46" spans="1:19" ht="15" customHeight="1">
      <c r="A46" s="1273" t="s">
        <v>1203</v>
      </c>
      <c r="B46" s="1273"/>
      <c r="C46" s="1945">
        <v>0</v>
      </c>
      <c r="D46" s="1273"/>
      <c r="E46" s="1945">
        <v>0</v>
      </c>
      <c r="F46" s="1273"/>
      <c r="G46" s="1945">
        <v>0</v>
      </c>
      <c r="H46" s="1273"/>
      <c r="I46" s="1945">
        <v>0</v>
      </c>
      <c r="J46" s="1273"/>
      <c r="K46" s="1281"/>
      <c r="L46" s="1282">
        <f>SUM(C46:K46)</f>
        <v>0</v>
      </c>
      <c r="M46" s="1262"/>
      <c r="N46" s="1262"/>
      <c r="O46" s="1290"/>
      <c r="P46" s="1290"/>
      <c r="Q46" s="1290"/>
      <c r="R46" s="1290"/>
      <c r="S46" s="1290"/>
    </row>
    <row r="47" spans="1:19" ht="15.5">
      <c r="A47" s="1276" t="s">
        <v>523</v>
      </c>
      <c r="B47" s="1276"/>
      <c r="C47" s="1878">
        <f>ROUND(SUM(C41:C46),2)</f>
        <v>-1349793487.4000001</v>
      </c>
      <c r="D47" s="1276"/>
      <c r="E47" s="1878">
        <f>ROUND(SUM(E41:E46),2)</f>
        <v>-458852194.66000003</v>
      </c>
      <c r="F47" s="1276"/>
      <c r="G47" s="1878">
        <f>ROUND(SUM(G41:G46),2)</f>
        <v>-457886208.31999999</v>
      </c>
      <c r="H47" s="1276"/>
      <c r="I47" s="1878">
        <f>ROUND(SUM(I41:I46),2)</f>
        <v>-461408070.66000003</v>
      </c>
      <c r="J47" s="1276"/>
      <c r="K47" s="1284"/>
      <c r="L47" s="1878">
        <f>ROUND(SUM(L41:L46),2)</f>
        <v>-2727939961.04</v>
      </c>
      <c r="M47" s="1262"/>
      <c r="N47" s="1262"/>
      <c r="O47" s="1290"/>
      <c r="P47" s="1290"/>
      <c r="Q47" s="1290"/>
      <c r="R47" s="1290"/>
      <c r="S47" s="1290"/>
    </row>
    <row r="48" spans="1:19" ht="15" customHeight="1">
      <c r="A48" s="1273"/>
      <c r="B48" s="1273"/>
      <c r="C48" s="1280"/>
      <c r="D48" s="1273"/>
      <c r="E48" s="1280"/>
      <c r="F48" s="1273"/>
      <c r="G48" s="1280"/>
      <c r="H48" s="1273"/>
      <c r="I48" s="1280"/>
      <c r="J48" s="1273"/>
      <c r="K48" s="1281"/>
      <c r="L48" s="1282"/>
      <c r="M48" s="1262"/>
      <c r="N48" s="1262"/>
      <c r="O48" s="1290"/>
      <c r="P48" s="1290"/>
      <c r="Q48" s="1290"/>
      <c r="R48" s="1290"/>
      <c r="S48" s="1290"/>
    </row>
    <row r="49" spans="1:19" ht="15" customHeight="1">
      <c r="A49" s="1276" t="s">
        <v>524</v>
      </c>
      <c r="B49" s="1273"/>
      <c r="C49" s="1280"/>
      <c r="D49" s="1273"/>
      <c r="E49" s="1280"/>
      <c r="F49" s="1273"/>
      <c r="G49" s="1280"/>
      <c r="H49" s="1273"/>
      <c r="I49" s="1280"/>
      <c r="J49" s="1273"/>
      <c r="K49" s="1281"/>
      <c r="L49" s="1282"/>
      <c r="M49" s="1262"/>
      <c r="N49" s="1262"/>
      <c r="O49" s="1290"/>
      <c r="P49" s="1290"/>
      <c r="Q49" s="1290"/>
      <c r="R49" s="1290"/>
      <c r="S49" s="1290"/>
    </row>
    <row r="50" spans="1:19" ht="15" customHeight="1">
      <c r="A50" s="1276" t="s">
        <v>525</v>
      </c>
      <c r="B50" s="1273"/>
      <c r="C50" s="1944">
        <f>ROUND(+C30+C38+C47,2)</f>
        <v>46658833.560000002</v>
      </c>
      <c r="D50" s="1273"/>
      <c r="E50" s="1944">
        <f>ROUND(+E30+E38+E47,2)</f>
        <v>10594105.85</v>
      </c>
      <c r="F50" s="1273"/>
      <c r="G50" s="1944">
        <f>ROUND(+G30+G38+G47,2)</f>
        <v>-1466006.11</v>
      </c>
      <c r="H50" s="1273"/>
      <c r="I50" s="1944">
        <f>ROUND(+I30+I38+I47,2)</f>
        <v>-1828520.61</v>
      </c>
      <c r="J50" s="1273"/>
      <c r="K50" s="1289"/>
      <c r="L50" s="1944">
        <f>ROUND(+L30+L38+L47,2)</f>
        <v>53958412.689999998</v>
      </c>
      <c r="M50" s="1262"/>
      <c r="N50" s="1262"/>
      <c r="O50" s="1290"/>
      <c r="P50" s="1290"/>
      <c r="Q50" s="1290"/>
      <c r="R50" s="1290"/>
      <c r="S50" s="1290"/>
    </row>
    <row r="51" spans="1:19" ht="15" customHeight="1">
      <c r="A51" s="1273"/>
      <c r="B51" s="1273"/>
      <c r="C51" s="1275"/>
      <c r="D51" s="1273"/>
      <c r="E51" s="1275"/>
      <c r="F51" s="1273"/>
      <c r="G51" s="1275"/>
      <c r="H51" s="1273"/>
      <c r="I51" s="1275"/>
      <c r="J51" s="1273"/>
      <c r="K51" s="1293"/>
      <c r="L51" s="1282"/>
      <c r="M51" s="1262"/>
      <c r="N51" s="1262"/>
      <c r="O51" s="1290"/>
      <c r="P51" s="1290"/>
      <c r="Q51" s="1290"/>
      <c r="R51" s="1290"/>
      <c r="S51" s="1290"/>
    </row>
    <row r="52" spans="1:19" s="1272" customFormat="1" ht="21" customHeight="1" thickBot="1">
      <c r="A52" s="1276" t="s">
        <v>526</v>
      </c>
      <c r="B52" s="1276"/>
      <c r="C52" s="2213">
        <f>ROUND(C12+C50,2)</f>
        <v>340535703.17000002</v>
      </c>
      <c r="D52" s="1276"/>
      <c r="E52" s="2213">
        <f>ROUND(E12+E50,2)</f>
        <v>351129809.01999998</v>
      </c>
      <c r="F52" s="1276"/>
      <c r="G52" s="2213">
        <f>ROUND(G12+G50,2)</f>
        <v>349663802.91000003</v>
      </c>
      <c r="H52" s="1276"/>
      <c r="I52" s="2213">
        <f>ROUND(I12+I50,2)</f>
        <v>347835282.30000001</v>
      </c>
      <c r="J52" s="1276"/>
      <c r="K52" s="1294"/>
      <c r="L52" s="1346">
        <f>ROUND(L12+L50,2)</f>
        <v>347835282.30000001</v>
      </c>
      <c r="M52" s="1259"/>
      <c r="N52" s="1259"/>
    </row>
    <row r="53" spans="1:19" ht="15" customHeight="1" thickTop="1">
      <c r="A53" s="1273" t="s">
        <v>14</v>
      </c>
      <c r="B53" s="1273"/>
      <c r="C53" s="1265"/>
      <c r="D53" s="1273"/>
      <c r="E53" s="1265"/>
      <c r="F53" s="1273"/>
      <c r="G53" s="1265"/>
      <c r="H53" s="1273"/>
      <c r="I53" s="1265"/>
      <c r="J53" s="1273"/>
      <c r="K53" s="1265"/>
      <c r="L53" s="1295"/>
    </row>
    <row r="54" spans="1:19" ht="15" customHeight="1">
      <c r="A54" s="1256" t="s">
        <v>527</v>
      </c>
    </row>
    <row r="55" spans="1:19" ht="15" customHeight="1">
      <c r="A55" s="1296"/>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pageSetUpPr autoPageBreaks="0" fitToPage="1"/>
  </sheetPr>
  <dimension ref="A1:U144"/>
  <sheetViews>
    <sheetView showGridLines="0" zoomScale="90" zoomScaleNormal="90" workbookViewId="0"/>
  </sheetViews>
  <sheetFormatPr defaultColWidth="8.84375" defaultRowHeight="15.5"/>
  <cols>
    <col min="1" max="1" width="3.53515625" style="1479" customWidth="1"/>
    <col min="2" max="2" width="8.4609375" style="1480" customWidth="1"/>
    <col min="3" max="3" width="12.07421875" style="1480" customWidth="1"/>
    <col min="4" max="4" width="15" style="1481" customWidth="1"/>
    <col min="5" max="5" width="15.07421875" style="1478" customWidth="1"/>
    <col min="6" max="6" width="10.4609375" style="1479" customWidth="1"/>
    <col min="7" max="7" width="10.07421875" style="1479" customWidth="1"/>
    <col min="8" max="8" width="9.07421875" style="1539" customWidth="1"/>
    <col min="9" max="9" width="5.53515625" style="1477" customWidth="1"/>
    <col min="10" max="10" width="9.07421875" style="1477" customWidth="1"/>
    <col min="11" max="11" width="8.07421875" style="1478" customWidth="1"/>
    <col min="12" max="12" width="16" style="1478" customWidth="1"/>
    <col min="13" max="13" width="12.07421875" style="1478" customWidth="1"/>
    <col min="14" max="14" width="7.84375" style="1478" customWidth="1"/>
    <col min="15" max="15" width="18.84375" style="1541" customWidth="1"/>
    <col min="16" max="16" width="4.84375" style="1541" customWidth="1"/>
    <col min="17" max="17" width="8" style="1541" customWidth="1"/>
    <col min="18" max="18" width="3.84375" style="1541" customWidth="1"/>
    <col min="19" max="19" width="13.07421875" style="1541" customWidth="1"/>
    <col min="20" max="21" width="12.07421875" style="1541" customWidth="1"/>
    <col min="22" max="16384" width="8.84375" style="1541"/>
  </cols>
  <sheetData>
    <row r="1" spans="1:20">
      <c r="A1" s="635" t="s">
        <v>882</v>
      </c>
    </row>
    <row r="2" spans="1:20">
      <c r="A2" s="543" t="s">
        <v>704</v>
      </c>
      <c r="B2" s="544"/>
      <c r="C2" s="545"/>
      <c r="D2" s="546"/>
      <c r="E2" s="1539"/>
      <c r="F2" s="1539"/>
      <c r="G2" s="1539"/>
      <c r="I2" s="547"/>
      <c r="J2" s="547"/>
      <c r="K2" s="1539"/>
      <c r="L2" s="1539"/>
      <c r="M2" s="1539"/>
      <c r="N2" s="548"/>
      <c r="O2" s="873" t="s">
        <v>878</v>
      </c>
      <c r="Q2" s="550"/>
      <c r="R2" s="550"/>
      <c r="S2" s="551"/>
      <c r="T2" s="552"/>
    </row>
    <row r="3" spans="1:20" ht="12.75" customHeight="1">
      <c r="A3" s="544"/>
      <c r="B3" s="544"/>
      <c r="C3" s="545"/>
      <c r="D3" s="546"/>
      <c r="E3" s="1539"/>
      <c r="F3" s="1539"/>
      <c r="G3" s="1539"/>
      <c r="I3" s="1480"/>
      <c r="J3" s="1480"/>
      <c r="K3" s="1481"/>
      <c r="M3" s="1479"/>
      <c r="N3" s="1479"/>
      <c r="O3" s="874" t="s">
        <v>1560</v>
      </c>
      <c r="T3" s="552"/>
    </row>
    <row r="4" spans="1:20" ht="9" customHeight="1">
      <c r="B4" s="1608"/>
      <c r="C4" s="1608"/>
      <c r="D4" s="1603"/>
      <c r="E4" s="1604"/>
      <c r="F4" s="1605"/>
      <c r="G4" s="1605"/>
      <c r="H4" s="560"/>
      <c r="I4" s="657"/>
      <c r="J4" s="657"/>
      <c r="K4" s="1604"/>
      <c r="L4" s="1604"/>
      <c r="M4" s="1604"/>
      <c r="N4" s="1604"/>
      <c r="O4" s="1610"/>
      <c r="P4" s="1610"/>
      <c r="T4" s="552"/>
    </row>
    <row r="5" spans="1:20" ht="13.5" customHeight="1">
      <c r="T5" s="552"/>
    </row>
    <row r="6" spans="1:20" ht="13.5" customHeight="1">
      <c r="A6" s="553" t="s">
        <v>705</v>
      </c>
      <c r="B6" s="1540" t="s">
        <v>706</v>
      </c>
      <c r="C6" s="1540"/>
      <c r="D6" s="1540"/>
      <c r="E6" s="560"/>
      <c r="F6" s="560"/>
      <c r="G6" s="560"/>
      <c r="H6" s="555"/>
      <c r="I6" s="1616"/>
      <c r="J6" s="1632" t="s">
        <v>1402</v>
      </c>
      <c r="K6" s="547"/>
      <c r="L6" s="546"/>
      <c r="M6" s="1539"/>
      <c r="N6" s="1607"/>
      <c r="O6" s="1479"/>
    </row>
    <row r="7" spans="1:20" ht="13.5" customHeight="1">
      <c r="A7" s="553"/>
      <c r="B7" s="1540" t="s">
        <v>707</v>
      </c>
      <c r="C7" s="1540"/>
      <c r="D7" s="1540"/>
      <c r="E7" s="560"/>
      <c r="F7" s="560"/>
      <c r="G7" s="560"/>
      <c r="H7" s="1479"/>
      <c r="J7" s="1540" t="s">
        <v>1580</v>
      </c>
      <c r="K7" s="547"/>
      <c r="L7" s="546"/>
      <c r="M7" s="1539"/>
      <c r="N7" s="1607"/>
      <c r="O7" s="1479"/>
    </row>
    <row r="8" spans="1:20" ht="13.4" customHeight="1">
      <c r="A8" s="553"/>
      <c r="B8" s="1540" t="s">
        <v>708</v>
      </c>
      <c r="C8" s="1540"/>
      <c r="D8" s="1540"/>
      <c r="E8" s="560"/>
      <c r="F8" s="560"/>
      <c r="G8" s="560"/>
      <c r="H8" s="1479"/>
      <c r="J8" s="1540" t="s">
        <v>1581</v>
      </c>
      <c r="K8" s="547"/>
      <c r="L8" s="1481"/>
      <c r="N8" s="1607"/>
      <c r="O8" s="1478"/>
    </row>
    <row r="9" spans="1:20" ht="12.75" customHeight="1">
      <c r="A9" s="553"/>
      <c r="B9" s="1540" t="s">
        <v>709</v>
      </c>
      <c r="C9" s="1540"/>
      <c r="D9" s="1540"/>
      <c r="E9" s="560"/>
      <c r="F9" s="560"/>
      <c r="G9" s="560"/>
      <c r="H9" s="1615"/>
      <c r="J9" s="1540" t="s">
        <v>1582</v>
      </c>
    </row>
    <row r="10" spans="1:20" ht="12.75" customHeight="1">
      <c r="B10" s="1608"/>
      <c r="C10" s="1608"/>
      <c r="D10" s="1603"/>
      <c r="E10" s="1604"/>
      <c r="F10" s="1612"/>
      <c r="G10" s="1605"/>
      <c r="H10" s="560"/>
      <c r="J10" s="2097"/>
      <c r="K10" s="1477"/>
      <c r="O10" s="1478"/>
    </row>
    <row r="11" spans="1:20" ht="12.75" customHeight="1">
      <c r="A11" s="1539"/>
      <c r="B11" s="1540"/>
      <c r="C11" s="1611" t="s">
        <v>755</v>
      </c>
      <c r="D11" s="1606"/>
      <c r="E11" s="560"/>
      <c r="F11" s="1606">
        <v>337</v>
      </c>
      <c r="G11" s="560" t="s">
        <v>710</v>
      </c>
      <c r="H11" s="1617"/>
      <c r="J11" s="2097"/>
      <c r="K11" s="1611"/>
      <c r="L11" s="1606"/>
      <c r="M11" s="560"/>
      <c r="N11" s="1607"/>
      <c r="O11" s="1478"/>
    </row>
    <row r="12" spans="1:20" ht="12.75" customHeight="1">
      <c r="A12" s="1539"/>
      <c r="B12" s="1611"/>
      <c r="C12" s="1611" t="s">
        <v>907</v>
      </c>
      <c r="D12" s="1613"/>
      <c r="E12" s="560"/>
      <c r="F12" s="3871">
        <v>18.899999999999999</v>
      </c>
      <c r="G12" s="560"/>
      <c r="H12" s="560"/>
      <c r="J12" s="2097" t="s">
        <v>1393</v>
      </c>
      <c r="K12" s="1477"/>
      <c r="O12" s="1478"/>
    </row>
    <row r="13" spans="1:20" ht="12.75" customHeight="1">
      <c r="A13" s="1539"/>
      <c r="B13" s="1611"/>
      <c r="C13" s="1611" t="s">
        <v>711</v>
      </c>
      <c r="D13" s="1613"/>
      <c r="E13" s="560"/>
      <c r="F13" s="3829">
        <v>682</v>
      </c>
      <c r="G13" s="560"/>
      <c r="H13" s="1610"/>
      <c r="K13" s="1477"/>
      <c r="O13" s="1478"/>
      <c r="T13" s="1539"/>
    </row>
    <row r="14" spans="1:20" ht="12.75" customHeight="1">
      <c r="A14" s="1539"/>
      <c r="B14" s="1611"/>
      <c r="C14" s="1611" t="s">
        <v>712</v>
      </c>
      <c r="D14" s="1613"/>
      <c r="E14" s="560"/>
      <c r="F14" s="3829">
        <v>12.9</v>
      </c>
      <c r="G14" s="1605"/>
      <c r="H14" s="1479"/>
      <c r="K14" s="1611" t="s">
        <v>1516</v>
      </c>
      <c r="N14" s="3547">
        <v>1.4</v>
      </c>
      <c r="O14" s="1539" t="s">
        <v>710</v>
      </c>
      <c r="T14" s="554"/>
    </row>
    <row r="15" spans="1:20" ht="12.75" customHeight="1">
      <c r="A15" s="1539"/>
      <c r="B15" s="1611"/>
      <c r="C15" s="1611" t="s">
        <v>908</v>
      </c>
      <c r="D15" s="1613"/>
      <c r="E15" s="560"/>
      <c r="F15" s="3829">
        <v>448.3</v>
      </c>
      <c r="G15" s="560"/>
      <c r="H15" s="1615"/>
      <c r="K15" s="3890" t="s">
        <v>1524</v>
      </c>
      <c r="L15" s="1606"/>
      <c r="M15" s="560"/>
      <c r="N15" s="1607">
        <v>3.1</v>
      </c>
      <c r="T15" s="554"/>
    </row>
    <row r="16" spans="1:20" ht="12.75" customHeight="1">
      <c r="A16" s="1539"/>
      <c r="B16" s="1611"/>
      <c r="C16" s="1611" t="s">
        <v>756</v>
      </c>
      <c r="D16" s="1613"/>
      <c r="E16" s="560"/>
      <c r="F16" s="3871">
        <v>570.6</v>
      </c>
      <c r="G16" s="560"/>
      <c r="K16" s="1611" t="s">
        <v>1523</v>
      </c>
      <c r="L16" s="1606"/>
      <c r="M16" s="560"/>
      <c r="N16" s="1607">
        <v>1.7</v>
      </c>
      <c r="R16" s="1539"/>
    </row>
    <row r="17" spans="1:16" ht="12.75" customHeight="1">
      <c r="A17" s="1539"/>
      <c r="B17" s="1611"/>
      <c r="C17" s="1611" t="s">
        <v>713</v>
      </c>
      <c r="D17" s="1614"/>
      <c r="E17" s="560"/>
      <c r="F17" s="3871">
        <v>1005.2</v>
      </c>
      <c r="G17" s="560"/>
      <c r="K17" s="1611" t="s">
        <v>1525</v>
      </c>
      <c r="L17" s="1606"/>
      <c r="M17" s="560"/>
      <c r="N17" s="1607">
        <v>58.7</v>
      </c>
    </row>
    <row r="18" spans="1:16" ht="12.75" customHeight="1">
      <c r="A18" s="1539"/>
      <c r="B18" s="1611"/>
      <c r="C18" s="1611" t="s">
        <v>1163</v>
      </c>
      <c r="D18" s="1614"/>
      <c r="E18" s="560"/>
      <c r="F18" s="3829">
        <v>119.8</v>
      </c>
      <c r="G18" s="560"/>
      <c r="H18" s="560"/>
      <c r="K18" s="1611" t="s">
        <v>1530</v>
      </c>
      <c r="L18" s="1606"/>
      <c r="M18" s="560"/>
      <c r="N18" s="1607">
        <v>18.3</v>
      </c>
    </row>
    <row r="19" spans="1:16" ht="12.75" customHeight="1">
      <c r="A19" s="1605"/>
      <c r="B19" s="1608"/>
      <c r="C19" s="1608"/>
      <c r="D19" s="1603"/>
      <c r="E19" s="1604"/>
      <c r="F19" s="1605"/>
      <c r="G19" s="1605"/>
      <c r="K19" s="3890" t="s">
        <v>1515</v>
      </c>
      <c r="L19" s="1606"/>
      <c r="M19" s="560"/>
      <c r="N19" s="1607">
        <v>9.4</v>
      </c>
    </row>
    <row r="20" spans="1:16" ht="13.4" customHeight="1">
      <c r="A20" s="1617" t="s">
        <v>714</v>
      </c>
      <c r="B20" s="1540" t="s">
        <v>889</v>
      </c>
      <c r="C20" s="1540"/>
      <c r="D20" s="1540"/>
      <c r="E20" s="560"/>
      <c r="F20" s="560"/>
      <c r="G20" s="560"/>
      <c r="H20" s="1617"/>
      <c r="K20" s="3905" t="s">
        <v>1539</v>
      </c>
      <c r="L20" s="2150"/>
      <c r="M20" s="1539"/>
      <c r="N20" s="1609">
        <v>6.8</v>
      </c>
    </row>
    <row r="21" spans="1:16" ht="12.75" customHeight="1">
      <c r="A21" s="1617"/>
      <c r="B21" s="1540" t="s">
        <v>1286</v>
      </c>
      <c r="C21" s="1540"/>
      <c r="D21" s="1540"/>
      <c r="E21" s="560"/>
      <c r="F21" s="560"/>
      <c r="G21" s="560"/>
      <c r="K21" s="1611" t="s">
        <v>1517</v>
      </c>
      <c r="L21" s="1606"/>
      <c r="M21" s="560"/>
      <c r="N21" s="1607">
        <v>5</v>
      </c>
    </row>
    <row r="22" spans="1:16" ht="14.15" customHeight="1">
      <c r="A22" s="1617"/>
      <c r="B22" s="1540"/>
      <c r="C22" s="1540"/>
      <c r="D22" s="1540"/>
      <c r="E22" s="560"/>
      <c r="F22" s="560"/>
      <c r="G22" s="560"/>
      <c r="K22" s="1611" t="s">
        <v>1527</v>
      </c>
      <c r="N22" s="1607">
        <v>5</v>
      </c>
    </row>
    <row r="23" spans="1:16" ht="12.75" customHeight="1">
      <c r="A23" s="560"/>
      <c r="B23" s="1616" t="s">
        <v>1403</v>
      </c>
      <c r="C23" s="1616"/>
      <c r="D23" s="1540"/>
      <c r="E23" s="560"/>
      <c r="F23" s="560"/>
      <c r="G23" s="560"/>
      <c r="K23" s="3887" t="s">
        <v>1491</v>
      </c>
      <c r="L23" s="1606"/>
      <c r="M23" s="560"/>
      <c r="N23" s="1607">
        <v>1</v>
      </c>
    </row>
    <row r="24" spans="1:16" ht="12.75" customHeight="1">
      <c r="A24" s="1605"/>
      <c r="B24" s="1608"/>
      <c r="C24" s="1608"/>
      <c r="D24" s="1603"/>
      <c r="E24" s="1604"/>
      <c r="F24" s="1605"/>
      <c r="G24" s="560"/>
      <c r="K24" s="1611" t="s">
        <v>1521</v>
      </c>
      <c r="L24" s="1606"/>
      <c r="M24" s="560"/>
      <c r="N24" s="1607">
        <v>1.1000000000000001</v>
      </c>
    </row>
    <row r="25" spans="1:16" ht="13.4" customHeight="1">
      <c r="A25" s="1605"/>
      <c r="B25" s="1608"/>
      <c r="C25" s="1611" t="s">
        <v>1135</v>
      </c>
      <c r="D25" s="1603"/>
      <c r="E25" s="1604"/>
      <c r="F25" s="1633">
        <v>2826.2</v>
      </c>
      <c r="G25" s="560" t="s">
        <v>710</v>
      </c>
      <c r="K25" s="1611" t="s">
        <v>1522</v>
      </c>
      <c r="L25" s="1606"/>
      <c r="M25" s="560"/>
      <c r="N25" s="1607">
        <v>2.1</v>
      </c>
    </row>
    <row r="26" spans="1:16" ht="12.75" customHeight="1">
      <c r="A26" s="1605"/>
      <c r="B26" s="1608"/>
      <c r="C26" s="1611" t="s">
        <v>715</v>
      </c>
      <c r="D26" s="1606"/>
      <c r="E26" s="560"/>
      <c r="F26" s="1607">
        <v>179.9</v>
      </c>
      <c r="G26" s="1610"/>
      <c r="H26" s="1479"/>
      <c r="K26" s="1611" t="s">
        <v>1519</v>
      </c>
      <c r="L26" s="1606"/>
      <c r="M26" s="560"/>
      <c r="N26" s="1607">
        <v>8.8000000000000007</v>
      </c>
      <c r="O26" s="1539"/>
      <c r="P26" s="560"/>
    </row>
    <row r="27" spans="1:16" ht="12.75" customHeight="1">
      <c r="A27" s="1605"/>
      <c r="B27" s="1608"/>
      <c r="C27" s="1611" t="s">
        <v>1116</v>
      </c>
      <c r="D27" s="1606"/>
      <c r="E27" s="560"/>
      <c r="F27" s="1607">
        <v>20.5</v>
      </c>
      <c r="G27" s="560"/>
      <c r="I27" s="1480"/>
      <c r="K27" s="1611" t="s">
        <v>1520</v>
      </c>
      <c r="L27" s="1606"/>
      <c r="M27" s="560"/>
      <c r="N27" s="1607">
        <v>1.9</v>
      </c>
    </row>
    <row r="28" spans="1:16" ht="12.75" customHeight="1">
      <c r="C28" s="1611" t="s">
        <v>1542</v>
      </c>
      <c r="D28" s="1606"/>
      <c r="E28" s="560"/>
      <c r="F28" s="1607">
        <v>8</v>
      </c>
      <c r="H28" s="1617"/>
      <c r="K28" s="3887" t="s">
        <v>1394</v>
      </c>
      <c r="L28" s="1606"/>
      <c r="M28" s="560"/>
      <c r="N28" s="1607">
        <v>20.9</v>
      </c>
      <c r="O28" s="1478"/>
    </row>
    <row r="29" spans="1:16" ht="13.4" customHeight="1">
      <c r="C29" s="1611" t="s">
        <v>1513</v>
      </c>
      <c r="D29" s="1606"/>
      <c r="E29" s="560"/>
      <c r="F29" s="1607">
        <v>30</v>
      </c>
      <c r="K29" s="1611" t="s">
        <v>1526</v>
      </c>
      <c r="L29" s="1606"/>
      <c r="M29" s="560"/>
      <c r="N29" s="1607">
        <v>13.9</v>
      </c>
    </row>
    <row r="30" spans="1:16" ht="12.75" customHeight="1">
      <c r="C30" s="1611" t="s">
        <v>1528</v>
      </c>
      <c r="D30" s="1606"/>
      <c r="E30" s="560"/>
      <c r="F30" s="1607">
        <v>11.5</v>
      </c>
      <c r="K30" s="1611" t="s">
        <v>1583</v>
      </c>
      <c r="N30" s="1607">
        <v>11.3</v>
      </c>
    </row>
    <row r="31" spans="1:16" ht="12.75" customHeight="1">
      <c r="C31" s="1611" t="s">
        <v>1511</v>
      </c>
      <c r="D31" s="1606"/>
      <c r="E31" s="560"/>
      <c r="F31" s="1607">
        <v>4.8</v>
      </c>
      <c r="K31" s="1611" t="s">
        <v>1518</v>
      </c>
      <c r="L31" s="1606"/>
      <c r="M31" s="560"/>
      <c r="N31" s="1607">
        <v>6.4</v>
      </c>
      <c r="O31" s="1478"/>
    </row>
    <row r="32" spans="1:16" ht="12.75" customHeight="1">
      <c r="C32" s="3887" t="s">
        <v>1283</v>
      </c>
      <c r="D32" s="1606"/>
      <c r="E32" s="560"/>
      <c r="F32" s="1607">
        <v>38.4</v>
      </c>
      <c r="K32" s="3709"/>
      <c r="N32" s="1609"/>
      <c r="O32" s="3710"/>
    </row>
    <row r="33" spans="3:20" ht="12.75" customHeight="1">
      <c r="C33" s="1611" t="s">
        <v>1509</v>
      </c>
      <c r="D33" s="1606"/>
      <c r="E33" s="560"/>
      <c r="F33" s="1607">
        <v>33</v>
      </c>
      <c r="J33" s="1632" t="s">
        <v>1401</v>
      </c>
      <c r="K33" s="1632"/>
      <c r="L33" s="560"/>
      <c r="M33" s="560"/>
      <c r="N33" s="560"/>
      <c r="O33" s="1478"/>
    </row>
    <row r="34" spans="3:20" ht="13.4" customHeight="1">
      <c r="C34" s="1611" t="s">
        <v>1514</v>
      </c>
      <c r="D34" s="1606"/>
      <c r="E34" s="560"/>
      <c r="F34" s="1607">
        <v>70</v>
      </c>
      <c r="J34" s="657"/>
      <c r="K34" s="657"/>
      <c r="L34" s="1604"/>
      <c r="M34" s="1604"/>
      <c r="N34" s="1604"/>
      <c r="O34" s="1479"/>
    </row>
    <row r="35" spans="3:20" ht="12.75" customHeight="1">
      <c r="C35" s="1611" t="s">
        <v>1512</v>
      </c>
      <c r="D35" s="1606"/>
      <c r="E35" s="560"/>
      <c r="F35" s="1607">
        <v>2.5</v>
      </c>
      <c r="J35" s="1611"/>
      <c r="K35" s="1611" t="s">
        <v>716</v>
      </c>
      <c r="L35" s="1606"/>
      <c r="M35" s="560"/>
      <c r="N35" s="1633">
        <v>17005.7</v>
      </c>
      <c r="O35" s="560" t="s">
        <v>710</v>
      </c>
    </row>
    <row r="36" spans="3:20" ht="12.75" customHeight="1">
      <c r="C36" s="3889" t="s">
        <v>1529</v>
      </c>
      <c r="D36" s="1606"/>
      <c r="E36" s="560"/>
      <c r="F36" s="1607">
        <v>4.4000000000000004</v>
      </c>
      <c r="J36" s="1611"/>
      <c r="K36" s="1611" t="s">
        <v>717</v>
      </c>
      <c r="L36" s="1606"/>
      <c r="M36" s="560"/>
      <c r="N36" s="1607">
        <v>2038.3</v>
      </c>
      <c r="O36" s="1604"/>
      <c r="R36" s="1539"/>
    </row>
    <row r="37" spans="3:20" ht="12.75" customHeight="1">
      <c r="C37" s="3891" t="s">
        <v>1531</v>
      </c>
      <c r="D37" s="1606"/>
      <c r="E37" s="560"/>
      <c r="F37" s="1607">
        <v>24.4</v>
      </c>
      <c r="J37" s="1611"/>
      <c r="K37" s="1611" t="s">
        <v>718</v>
      </c>
      <c r="L37" s="1606"/>
      <c r="M37" s="560"/>
      <c r="N37" s="1607">
        <v>3935.8</v>
      </c>
      <c r="O37" s="560"/>
      <c r="R37" s="554"/>
    </row>
    <row r="38" spans="3:20" ht="12.75" customHeight="1">
      <c r="C38" s="1611" t="s">
        <v>1510</v>
      </c>
      <c r="D38" s="1606"/>
      <c r="E38" s="560"/>
      <c r="F38" s="1607">
        <v>14</v>
      </c>
      <c r="J38" s="657"/>
      <c r="K38" s="1611" t="s">
        <v>719</v>
      </c>
      <c r="L38" s="1606"/>
      <c r="M38" s="560"/>
      <c r="N38" s="1607">
        <v>707</v>
      </c>
      <c r="R38" s="554"/>
      <c r="T38" s="653"/>
    </row>
    <row r="39" spans="3:20" ht="12.75" customHeight="1">
      <c r="C39" s="3888" t="s">
        <v>1543</v>
      </c>
      <c r="D39" s="1606"/>
      <c r="E39" s="560"/>
      <c r="F39" s="1607">
        <v>12</v>
      </c>
      <c r="K39" s="547" t="s">
        <v>1221</v>
      </c>
      <c r="L39" s="2150"/>
      <c r="M39" s="1539"/>
      <c r="N39" s="1609">
        <v>699.2</v>
      </c>
      <c r="T39" s="653"/>
    </row>
    <row r="40" spans="3:20" ht="13.4" customHeight="1">
      <c r="C40" s="3888" t="s">
        <v>1390</v>
      </c>
      <c r="D40" s="1606"/>
      <c r="E40" s="560"/>
      <c r="F40" s="1607">
        <v>146.6</v>
      </c>
      <c r="J40" s="657"/>
      <c r="K40" s="1611"/>
      <c r="L40" s="1604"/>
      <c r="M40" s="1604"/>
      <c r="N40" s="1604"/>
      <c r="T40" s="653"/>
    </row>
    <row r="41" spans="3:20" ht="12.75" customHeight="1">
      <c r="C41" s="3888" t="s">
        <v>1388</v>
      </c>
      <c r="D41" s="1606"/>
      <c r="E41" s="560"/>
      <c r="F41" s="1607">
        <v>29.7</v>
      </c>
      <c r="J41" s="560" t="s">
        <v>905</v>
      </c>
      <c r="K41" s="1611"/>
      <c r="L41" s="560"/>
      <c r="M41" s="560"/>
      <c r="N41" s="560"/>
      <c r="T41" s="653"/>
    </row>
    <row r="42" spans="3:20" ht="12.75" customHeight="1">
      <c r="C42" s="3888" t="s">
        <v>1387</v>
      </c>
      <c r="D42" s="1606"/>
      <c r="E42" s="560"/>
      <c r="F42" s="1607">
        <v>75.8</v>
      </c>
      <c r="G42" s="1605" t="s">
        <v>14</v>
      </c>
      <c r="J42" s="560" t="s">
        <v>1288</v>
      </c>
      <c r="K42" s="1611"/>
      <c r="L42" s="560"/>
      <c r="M42" s="560"/>
      <c r="N42" s="560"/>
      <c r="O42" s="1604"/>
      <c r="T42" s="653"/>
    </row>
    <row r="43" spans="3:20" ht="12.75" customHeight="1">
      <c r="C43" s="3888" t="s">
        <v>1385</v>
      </c>
      <c r="D43" s="1606"/>
      <c r="E43" s="560"/>
      <c r="F43" s="1607">
        <v>2.1</v>
      </c>
      <c r="J43" s="560" t="s">
        <v>1584</v>
      </c>
      <c r="K43" s="1611"/>
      <c r="L43" s="560"/>
      <c r="M43" s="560"/>
      <c r="N43" s="560"/>
      <c r="O43" s="560"/>
      <c r="T43" s="653"/>
    </row>
    <row r="44" spans="3:20" ht="12.75" customHeight="1">
      <c r="C44" s="3888" t="s">
        <v>1504</v>
      </c>
      <c r="D44" s="1606"/>
      <c r="E44" s="560"/>
      <c r="F44" s="1607">
        <v>2.6</v>
      </c>
      <c r="G44" s="1478"/>
      <c r="J44" s="1480"/>
      <c r="K44" s="1480"/>
      <c r="L44" s="1481"/>
      <c r="N44" s="1479"/>
      <c r="O44" s="1479"/>
      <c r="P44" s="1610"/>
      <c r="T44" s="653"/>
    </row>
    <row r="45" spans="3:20" ht="12.75" customHeight="1">
      <c r="C45" s="3888" t="s">
        <v>1505</v>
      </c>
      <c r="D45" s="1606"/>
      <c r="E45" s="560"/>
      <c r="F45" s="1607">
        <v>5.7</v>
      </c>
      <c r="G45" s="1478"/>
      <c r="J45" s="1632" t="s">
        <v>1585</v>
      </c>
      <c r="K45" s="2098"/>
      <c r="O45" s="1478"/>
      <c r="P45" s="1610"/>
      <c r="T45" s="653"/>
    </row>
    <row r="46" spans="3:20" ht="13.5" customHeight="1">
      <c r="C46" s="3888" t="s">
        <v>1391</v>
      </c>
      <c r="D46" s="1606"/>
      <c r="E46" s="560"/>
      <c r="F46" s="1607">
        <v>7</v>
      </c>
      <c r="G46" s="1478"/>
      <c r="J46" s="1540" t="s">
        <v>1586</v>
      </c>
      <c r="K46" s="2098"/>
      <c r="O46" s="1478"/>
      <c r="P46" s="560"/>
    </row>
    <row r="47" spans="3:20" ht="12.75" customHeight="1">
      <c r="C47" s="3888" t="s">
        <v>1392</v>
      </c>
      <c r="D47" s="1606"/>
      <c r="E47" s="560"/>
      <c r="F47" s="1607">
        <v>1185.4000000000001</v>
      </c>
      <c r="G47" s="1478"/>
    </row>
    <row r="48" spans="3:20" ht="12.75" customHeight="1">
      <c r="G48" s="1478"/>
      <c r="I48" s="553" t="s">
        <v>1492</v>
      </c>
      <c r="J48" s="547" t="s">
        <v>1494</v>
      </c>
      <c r="K48" s="3709"/>
      <c r="N48" s="1609"/>
      <c r="O48" s="1478"/>
    </row>
    <row r="49" spans="2:21" ht="13.4" customHeight="1">
      <c r="C49" s="3709"/>
      <c r="D49" s="3711"/>
      <c r="E49" s="1539"/>
      <c r="F49" s="1609"/>
      <c r="G49" s="1478"/>
      <c r="J49" s="547" t="s">
        <v>1495</v>
      </c>
      <c r="K49" s="3709"/>
      <c r="N49" s="1609"/>
      <c r="O49" s="1478"/>
    </row>
    <row r="50" spans="2:21" ht="12.75" customHeight="1">
      <c r="B50" s="1611" t="s">
        <v>720</v>
      </c>
      <c r="C50" s="1481"/>
      <c r="D50" s="1478"/>
      <c r="E50" s="1479"/>
      <c r="G50" s="1478"/>
      <c r="J50" s="547" t="s">
        <v>1496</v>
      </c>
      <c r="K50" s="3709"/>
      <c r="N50" s="1609"/>
      <c r="O50" s="1478"/>
      <c r="S50" s="545"/>
      <c r="T50" s="653"/>
      <c r="U50" s="653"/>
    </row>
    <row r="51" spans="2:21" ht="12.75" customHeight="1">
      <c r="B51" s="560" t="s">
        <v>1578</v>
      </c>
      <c r="C51" s="1481"/>
      <c r="D51" s="1478"/>
      <c r="E51" s="1479"/>
      <c r="G51" s="1478"/>
      <c r="J51" s="547" t="s">
        <v>1498</v>
      </c>
      <c r="K51" s="3709"/>
      <c r="N51" s="1609"/>
      <c r="O51" s="1478"/>
      <c r="S51" s="557"/>
      <c r="T51" s="653"/>
      <c r="U51" s="653"/>
    </row>
    <row r="52" spans="2:21" ht="12.75" customHeight="1">
      <c r="B52" s="560" t="s">
        <v>1579</v>
      </c>
      <c r="C52" s="1481"/>
      <c r="D52" s="1478"/>
      <c r="E52" s="1479"/>
      <c r="G52" s="1478"/>
      <c r="J52" s="547" t="s">
        <v>1500</v>
      </c>
      <c r="K52" s="3709"/>
      <c r="N52" s="1609"/>
      <c r="O52" s="1478"/>
      <c r="S52" s="557"/>
      <c r="T52" s="653"/>
      <c r="U52" s="653"/>
    </row>
    <row r="53" spans="2:21" ht="12.75" customHeight="1">
      <c r="B53" s="1477"/>
      <c r="C53" s="1481"/>
      <c r="D53" s="1478"/>
      <c r="E53" s="1479"/>
      <c r="F53" s="1607"/>
      <c r="G53" s="1479" t="s">
        <v>14</v>
      </c>
      <c r="J53" s="547"/>
      <c r="K53" s="3709"/>
      <c r="N53" s="1609"/>
      <c r="O53" s="1478"/>
      <c r="P53" s="1478"/>
      <c r="S53" s="558"/>
      <c r="T53" s="653"/>
      <c r="U53" s="653"/>
    </row>
    <row r="54" spans="2:21" ht="12.75" customHeight="1">
      <c r="B54" s="1540" t="s">
        <v>890</v>
      </c>
      <c r="C54" s="1477"/>
      <c r="D54" s="1606"/>
      <c r="E54" s="560"/>
      <c r="F54" s="1607"/>
      <c r="J54" s="547" t="s">
        <v>1501</v>
      </c>
      <c r="K54" s="3709"/>
      <c r="N54" s="1609"/>
      <c r="O54" s="1478"/>
      <c r="R54" s="549"/>
    </row>
    <row r="55" spans="2:21" ht="12.75" customHeight="1">
      <c r="B55" s="1540" t="s">
        <v>891</v>
      </c>
      <c r="C55" s="1477"/>
      <c r="D55" s="1606"/>
      <c r="E55" s="560"/>
      <c r="J55" s="547" t="s">
        <v>1493</v>
      </c>
      <c r="K55" s="3709"/>
      <c r="N55" s="1609"/>
      <c r="O55" s="1478"/>
      <c r="R55" s="549"/>
    </row>
    <row r="56" spans="2:21" ht="12.75" customHeight="1">
      <c r="B56" s="1540" t="s">
        <v>1575</v>
      </c>
      <c r="C56" s="1477"/>
      <c r="F56" s="3904"/>
      <c r="G56" s="1605"/>
      <c r="J56" s="547" t="s">
        <v>1499</v>
      </c>
      <c r="K56" s="3709"/>
      <c r="N56" s="1609"/>
      <c r="O56" s="1478"/>
      <c r="R56" s="1482"/>
    </row>
    <row r="57" spans="2:21" ht="12.75" customHeight="1">
      <c r="B57" s="2097" t="s">
        <v>1576</v>
      </c>
      <c r="C57" s="1477"/>
      <c r="D57" s="1606"/>
      <c r="E57" s="560"/>
      <c r="F57" s="1607"/>
      <c r="R57" s="1482"/>
    </row>
    <row r="58" spans="2:21" ht="12.75" customHeight="1">
      <c r="B58" s="2097" t="s">
        <v>1577</v>
      </c>
      <c r="C58" s="1611"/>
      <c r="D58" s="1606"/>
      <c r="E58" s="560"/>
      <c r="F58" s="1607"/>
      <c r="R58" s="1482"/>
    </row>
    <row r="59" spans="2:21" ht="12.75" customHeight="1">
      <c r="B59" s="560"/>
      <c r="C59" s="547"/>
      <c r="F59" s="1609"/>
      <c r="R59" s="1482"/>
    </row>
    <row r="60" spans="2:21" ht="12.75" customHeight="1">
      <c r="B60" s="1479"/>
      <c r="G60" s="3831" t="s">
        <v>14</v>
      </c>
      <c r="H60" s="1609"/>
      <c r="R60" s="1482"/>
    </row>
    <row r="61" spans="2:21" ht="12.75" customHeight="1">
      <c r="B61" s="1479"/>
      <c r="G61" s="3832" t="s">
        <v>14</v>
      </c>
      <c r="R61" s="1482"/>
    </row>
    <row r="62" spans="2:21" ht="12.75" customHeight="1">
      <c r="N62" s="1609"/>
      <c r="P62" s="1539"/>
      <c r="R62" s="1482"/>
    </row>
    <row r="63" spans="2:21" ht="12.75" customHeight="1">
      <c r="B63" s="1616"/>
      <c r="H63" s="1541"/>
      <c r="I63" s="546"/>
      <c r="N63" s="1479"/>
      <c r="O63" s="1479"/>
      <c r="P63" s="1539"/>
      <c r="R63" s="1482"/>
    </row>
    <row r="64" spans="2:21" ht="12.75" customHeight="1">
      <c r="H64" s="1541"/>
      <c r="I64" s="1541"/>
      <c r="J64" s="1539"/>
      <c r="K64" s="1539"/>
      <c r="L64" s="1539"/>
      <c r="M64" s="1539"/>
      <c r="N64" s="1539"/>
      <c r="O64" s="1539"/>
      <c r="R64" s="1482"/>
    </row>
    <row r="65" spans="1:19" s="555" customFormat="1" ht="12.75" customHeight="1">
      <c r="A65" s="1479"/>
      <c r="B65" s="1480"/>
      <c r="C65" s="3709"/>
      <c r="D65" s="1478"/>
      <c r="E65" s="1478"/>
      <c r="F65" s="1609"/>
      <c r="G65" s="1479"/>
      <c r="H65" s="1541"/>
      <c r="I65" s="1541"/>
      <c r="J65" s="1611"/>
      <c r="K65" s="1540"/>
      <c r="L65" s="560"/>
      <c r="M65" s="560"/>
      <c r="N65" s="560"/>
      <c r="O65" s="560"/>
      <c r="P65" s="1541"/>
      <c r="R65" s="1482"/>
    </row>
    <row r="66" spans="1:19" s="555" customFormat="1" ht="12.75" customHeight="1">
      <c r="A66" s="1479"/>
      <c r="B66" s="1480"/>
      <c r="G66" s="1479"/>
      <c r="H66" s="1541"/>
      <c r="I66" s="1541"/>
      <c r="J66" s="1611"/>
      <c r="K66" s="560"/>
      <c r="L66" s="560"/>
      <c r="M66" s="560"/>
      <c r="N66" s="560"/>
      <c r="O66" s="560"/>
      <c r="P66" s="1541"/>
      <c r="R66" s="1482"/>
    </row>
    <row r="67" spans="1:19" ht="12.75" customHeight="1">
      <c r="C67" s="3709"/>
      <c r="D67" s="1478"/>
      <c r="F67" s="1609"/>
      <c r="H67" s="1541"/>
      <c r="I67" s="1541"/>
      <c r="J67" s="1611"/>
      <c r="K67" s="560"/>
      <c r="L67" s="560"/>
      <c r="M67" s="560"/>
      <c r="N67" s="560"/>
      <c r="O67" s="560"/>
      <c r="R67" s="559"/>
    </row>
    <row r="68" spans="1:19" ht="12.75" customHeight="1">
      <c r="C68" s="3709"/>
      <c r="D68" s="1478"/>
      <c r="F68" s="1609"/>
      <c r="I68" s="1539"/>
      <c r="J68" s="1539"/>
      <c r="K68" s="1539"/>
      <c r="L68" s="1539"/>
      <c r="M68" s="1539"/>
      <c r="N68" s="1539"/>
      <c r="O68" s="1539"/>
      <c r="R68" s="1539"/>
      <c r="S68" s="1539"/>
    </row>
    <row r="69" spans="1:19" ht="12.75" customHeight="1">
      <c r="C69" s="3709"/>
      <c r="D69" s="1478"/>
      <c r="F69" s="1609"/>
      <c r="I69" s="1539"/>
      <c r="J69" s="1539"/>
      <c r="K69" s="1539"/>
      <c r="L69" s="1539"/>
      <c r="M69" s="1539"/>
      <c r="N69" s="1539"/>
      <c r="O69" s="1539"/>
      <c r="R69" s="1539"/>
      <c r="S69" s="1539"/>
    </row>
    <row r="70" spans="1:19" ht="12.75" customHeight="1">
      <c r="A70" s="555"/>
      <c r="B70" s="657"/>
      <c r="C70" s="3709"/>
      <c r="D70" s="1478"/>
      <c r="F70" s="1609"/>
      <c r="G70" s="555"/>
      <c r="H70" s="1541"/>
      <c r="I70" s="1539"/>
      <c r="J70" s="1539"/>
      <c r="K70" s="1539"/>
      <c r="L70" s="1539"/>
      <c r="M70" s="1539"/>
      <c r="N70" s="1539"/>
      <c r="O70" s="1539"/>
      <c r="R70" s="1539"/>
      <c r="S70" s="1539"/>
    </row>
    <row r="71" spans="1:19" ht="12.75" customHeight="1">
      <c r="A71" s="555"/>
      <c r="B71" s="555"/>
      <c r="C71" s="3709"/>
      <c r="D71" s="1478"/>
      <c r="F71" s="1609"/>
      <c r="G71" s="555"/>
      <c r="H71" s="1541"/>
      <c r="I71" s="1539"/>
      <c r="J71" s="1539"/>
      <c r="K71" s="1539"/>
      <c r="L71" s="1539"/>
      <c r="M71" s="1539"/>
      <c r="N71" s="1539"/>
      <c r="O71" s="1539"/>
      <c r="R71" s="1539"/>
      <c r="S71" s="1539"/>
    </row>
    <row r="72" spans="1:19" ht="12.75" customHeight="1">
      <c r="C72" s="3709"/>
      <c r="D72" s="1478"/>
      <c r="F72" s="1609"/>
      <c r="H72" s="1541"/>
      <c r="I72" s="1539"/>
      <c r="J72" s="1539"/>
      <c r="K72" s="1539"/>
      <c r="L72" s="1539"/>
      <c r="M72" s="1539"/>
      <c r="N72" s="1539"/>
      <c r="O72" s="1539"/>
      <c r="R72" s="1539"/>
    </row>
    <row r="73" spans="1:19" ht="12.75" customHeight="1">
      <c r="C73" s="3709"/>
      <c r="D73" s="1478"/>
      <c r="F73" s="1609"/>
      <c r="H73" s="1541"/>
      <c r="I73" s="1539"/>
      <c r="J73" s="1539"/>
      <c r="K73" s="1539"/>
      <c r="L73" s="1539"/>
      <c r="M73" s="1539"/>
      <c r="N73" s="1539"/>
      <c r="O73" s="1539"/>
      <c r="R73" s="1539"/>
      <c r="S73" s="1539"/>
    </row>
    <row r="74" spans="1:19" ht="12.75" customHeight="1">
      <c r="C74" s="3709"/>
      <c r="D74" s="1478"/>
      <c r="F74" s="1609"/>
      <c r="H74" s="1541"/>
      <c r="L74" s="545"/>
      <c r="M74" s="545"/>
      <c r="N74" s="545"/>
      <c r="O74" s="545"/>
      <c r="R74" s="1539"/>
      <c r="S74" s="1539"/>
    </row>
    <row r="75" spans="1:19" ht="12.75" customHeight="1">
      <c r="H75" s="1541"/>
      <c r="L75" s="545"/>
      <c r="M75" s="545"/>
      <c r="N75" s="545"/>
      <c r="O75" s="545"/>
      <c r="R75" s="1539"/>
      <c r="S75" s="1539"/>
    </row>
    <row r="76" spans="1:19" ht="12.75" customHeight="1">
      <c r="A76" s="1539"/>
      <c r="H76" s="1541"/>
      <c r="M76" s="1541"/>
      <c r="N76" s="1541"/>
      <c r="R76" s="1539"/>
      <c r="S76" s="1539"/>
    </row>
    <row r="77" spans="1:19" ht="12.75" customHeight="1">
      <c r="A77" s="1539"/>
      <c r="H77" s="1541"/>
      <c r="I77" s="547"/>
      <c r="M77" s="561"/>
      <c r="N77" s="562"/>
      <c r="R77" s="1539"/>
      <c r="S77" s="1539"/>
    </row>
    <row r="78" spans="1:19" ht="12.75" customHeight="1">
      <c r="A78" s="1539"/>
      <c r="H78" s="1541"/>
      <c r="I78" s="547"/>
      <c r="M78" s="561"/>
      <c r="N78" s="562"/>
      <c r="P78" s="562"/>
      <c r="R78" s="1539"/>
      <c r="S78" s="566"/>
    </row>
    <row r="79" spans="1:19" ht="12.75" customHeight="1">
      <c r="A79" s="1539"/>
      <c r="H79" s="1541"/>
      <c r="I79" s="1541"/>
      <c r="M79" s="561"/>
      <c r="N79" s="562"/>
      <c r="P79" s="550"/>
      <c r="R79" s="566"/>
      <c r="S79" s="566"/>
    </row>
    <row r="80" spans="1:19" ht="12.75" customHeight="1">
      <c r="A80" s="1539"/>
      <c r="H80" s="1541"/>
      <c r="I80" s="1541"/>
      <c r="M80" s="561"/>
      <c r="N80" s="562"/>
      <c r="P80" s="550"/>
      <c r="R80" s="566"/>
      <c r="S80" s="1539"/>
    </row>
    <row r="81" spans="1:18" ht="12.75" customHeight="1">
      <c r="A81" s="1617"/>
      <c r="H81" s="3547"/>
      <c r="I81" s="1541"/>
      <c r="M81" s="561"/>
      <c r="N81" s="562"/>
      <c r="P81" s="550"/>
      <c r="R81" s="566"/>
    </row>
    <row r="82" spans="1:18" ht="12.75" customHeight="1">
      <c r="A82" s="1541"/>
      <c r="H82" s="1609"/>
      <c r="I82" s="1541"/>
      <c r="M82" s="561"/>
      <c r="N82" s="562"/>
      <c r="P82" s="550"/>
      <c r="R82" s="566"/>
    </row>
    <row r="83" spans="1:18" ht="12.75" customHeight="1">
      <c r="A83" s="1539"/>
      <c r="H83" s="1609"/>
      <c r="I83" s="1541"/>
      <c r="M83" s="561"/>
      <c r="N83" s="562"/>
      <c r="P83" s="550"/>
      <c r="R83" s="566"/>
    </row>
    <row r="84" spans="1:18" ht="12.75" customHeight="1">
      <c r="A84" s="1539"/>
      <c r="H84" s="1609"/>
      <c r="I84" s="1541"/>
      <c r="M84" s="561"/>
      <c r="N84" s="562"/>
      <c r="P84" s="550"/>
      <c r="R84" s="1539"/>
    </row>
    <row r="85" spans="1:18" ht="12.75" customHeight="1">
      <c r="A85" s="1539"/>
      <c r="H85" s="1609"/>
      <c r="I85" s="1541"/>
      <c r="M85" s="561"/>
      <c r="N85" s="562"/>
      <c r="P85" s="550"/>
      <c r="R85" s="1539"/>
    </row>
    <row r="86" spans="1:18" ht="12.75" customHeight="1">
      <c r="A86" s="1539"/>
      <c r="H86" s="1609"/>
      <c r="I86" s="1541"/>
      <c r="M86" s="561"/>
      <c r="N86" s="562"/>
      <c r="P86" s="550"/>
      <c r="R86" s="1539"/>
    </row>
    <row r="87" spans="1:18" ht="12.75" customHeight="1">
      <c r="A87" s="1539"/>
      <c r="H87" s="1609"/>
      <c r="I87" s="547"/>
      <c r="M87" s="561"/>
      <c r="N87" s="562"/>
      <c r="P87" s="550"/>
    </row>
    <row r="88" spans="1:18" ht="12.75" customHeight="1">
      <c r="A88" s="1539"/>
      <c r="H88" s="1609"/>
      <c r="I88" s="547"/>
      <c r="M88" s="561"/>
      <c r="N88" s="562"/>
      <c r="P88" s="550"/>
    </row>
    <row r="89" spans="1:18" ht="12.75" customHeight="1">
      <c r="A89" s="1539"/>
      <c r="I89" s="547"/>
      <c r="M89" s="561"/>
      <c r="N89" s="562"/>
      <c r="P89" s="550"/>
    </row>
    <row r="90" spans="1:18" ht="12.75" customHeight="1">
      <c r="A90" s="1539"/>
      <c r="B90" s="1477"/>
      <c r="C90" s="547"/>
      <c r="D90" s="1478"/>
      <c r="F90" s="1478"/>
      <c r="G90" s="1478"/>
      <c r="I90" s="547"/>
      <c r="M90" s="559"/>
      <c r="N90" s="562"/>
      <c r="P90" s="550"/>
    </row>
    <row r="91" spans="1:18" ht="12.75" customHeight="1">
      <c r="A91" s="553"/>
      <c r="B91" s="546"/>
      <c r="C91" s="547"/>
      <c r="D91" s="1478"/>
      <c r="F91" s="1478"/>
      <c r="G91" s="1478"/>
      <c r="I91" s="547"/>
      <c r="J91" s="547"/>
      <c r="K91" s="1539"/>
      <c r="L91" s="556"/>
      <c r="M91" s="563"/>
      <c r="N91" s="563"/>
      <c r="P91" s="550"/>
    </row>
    <row r="92" spans="1:18" ht="12.75" customHeight="1">
      <c r="B92" s="546"/>
      <c r="C92" s="547"/>
      <c r="D92" s="1478"/>
      <c r="F92" s="1478"/>
      <c r="G92" s="1478"/>
      <c r="I92" s="547"/>
      <c r="J92" s="547"/>
      <c r="K92" s="1539"/>
      <c r="L92" s="556"/>
      <c r="M92" s="563"/>
      <c r="N92" s="563"/>
      <c r="P92" s="550"/>
    </row>
    <row r="93" spans="1:18" ht="13.5" customHeight="1">
      <c r="B93" s="546"/>
      <c r="C93" s="547"/>
      <c r="D93" s="1478"/>
      <c r="F93" s="1478"/>
      <c r="G93" s="1478"/>
      <c r="I93" s="547"/>
      <c r="J93" s="547"/>
      <c r="K93" s="1539"/>
      <c r="L93" s="556"/>
      <c r="M93" s="563"/>
      <c r="N93" s="563"/>
      <c r="P93" s="550"/>
    </row>
    <row r="94" spans="1:18" ht="11.25" customHeight="1">
      <c r="B94" s="546"/>
      <c r="C94" s="547"/>
      <c r="D94" s="1478"/>
      <c r="F94" s="1478"/>
      <c r="G94" s="1478"/>
      <c r="I94" s="547"/>
      <c r="J94" s="547"/>
      <c r="K94" s="1539"/>
      <c r="L94" s="556"/>
      <c r="M94" s="563"/>
      <c r="N94" s="563"/>
      <c r="P94" s="550"/>
    </row>
    <row r="95" spans="1:18">
      <c r="C95" s="657"/>
      <c r="D95" s="546"/>
      <c r="E95" s="1539"/>
      <c r="F95" s="1539"/>
      <c r="G95" s="1539"/>
      <c r="I95" s="547"/>
      <c r="J95" s="547"/>
      <c r="K95" s="1539"/>
      <c r="L95" s="556"/>
      <c r="M95" s="563"/>
      <c r="N95" s="563"/>
      <c r="P95" s="550"/>
    </row>
    <row r="96" spans="1:18">
      <c r="B96" s="567"/>
      <c r="C96" s="546"/>
      <c r="D96" s="546"/>
      <c r="E96" s="1539"/>
      <c r="F96" s="1539"/>
      <c r="G96" s="1539"/>
      <c r="I96" s="547"/>
      <c r="J96" s="547"/>
      <c r="K96" s="1539"/>
      <c r="L96" s="556"/>
      <c r="M96" s="563"/>
      <c r="N96" s="563"/>
      <c r="P96" s="550"/>
    </row>
    <row r="97" spans="1:17">
      <c r="A97" s="553"/>
      <c r="B97" s="567"/>
      <c r="C97" s="546"/>
      <c r="D97" s="546"/>
      <c r="E97" s="1539"/>
      <c r="F97" s="1539"/>
      <c r="G97" s="1539"/>
      <c r="I97" s="547"/>
      <c r="J97" s="547"/>
      <c r="K97" s="1539"/>
      <c r="L97" s="556"/>
      <c r="M97" s="563"/>
      <c r="N97" s="563"/>
    </row>
    <row r="98" spans="1:17">
      <c r="A98" s="1539"/>
      <c r="B98" s="567"/>
      <c r="C98" s="546"/>
      <c r="D98" s="546"/>
      <c r="E98" s="1539"/>
      <c r="F98" s="1539"/>
      <c r="I98" s="547"/>
      <c r="J98" s="547"/>
      <c r="K98" s="1539"/>
      <c r="L98" s="556"/>
      <c r="M98" s="563"/>
      <c r="N98" s="563"/>
    </row>
    <row r="99" spans="1:17">
      <c r="A99" s="1539"/>
      <c r="I99" s="547"/>
      <c r="J99" s="547"/>
      <c r="K99" s="1539"/>
      <c r="L99" s="556"/>
      <c r="M99" s="563"/>
      <c r="N99" s="563"/>
    </row>
    <row r="100" spans="1:17">
      <c r="I100" s="547"/>
      <c r="J100" s="547"/>
      <c r="K100" s="1539"/>
      <c r="L100" s="556"/>
      <c r="M100" s="563"/>
      <c r="N100" s="563"/>
      <c r="Q100" s="1539"/>
    </row>
    <row r="101" spans="1:17">
      <c r="A101" s="1539"/>
      <c r="I101" s="547"/>
      <c r="J101" s="547"/>
      <c r="K101" s="1539"/>
      <c r="L101" s="556"/>
      <c r="M101" s="563"/>
      <c r="N101" s="563"/>
      <c r="Q101" s="1539"/>
    </row>
    <row r="102" spans="1:17">
      <c r="A102" s="1539"/>
      <c r="G102" s="1541"/>
      <c r="I102" s="547"/>
      <c r="J102" s="547"/>
      <c r="K102" s="1539"/>
      <c r="L102" s="556"/>
      <c r="M102" s="563"/>
      <c r="N102" s="563"/>
      <c r="Q102" s="1539"/>
    </row>
    <row r="103" spans="1:17">
      <c r="B103" s="1541"/>
      <c r="C103" s="1541"/>
      <c r="D103" s="1541"/>
      <c r="E103" s="1541"/>
      <c r="F103" s="1541"/>
      <c r="G103" s="1541"/>
      <c r="I103" s="547"/>
      <c r="J103" s="547"/>
      <c r="K103" s="1539"/>
      <c r="L103" s="556"/>
      <c r="M103" s="563"/>
      <c r="N103" s="563"/>
      <c r="Q103" s="1539"/>
    </row>
    <row r="104" spans="1:17">
      <c r="B104" s="1541"/>
      <c r="C104" s="1541"/>
      <c r="D104" s="1541"/>
      <c r="E104" s="1541"/>
      <c r="F104" s="1541"/>
      <c r="G104" s="1541"/>
      <c r="I104" s="547"/>
      <c r="J104" s="547"/>
      <c r="K104" s="1539"/>
      <c r="L104" s="556"/>
      <c r="M104" s="563"/>
      <c r="N104" s="563"/>
      <c r="Q104" s="1539"/>
    </row>
    <row r="105" spans="1:17">
      <c r="B105" s="1541"/>
      <c r="C105" s="1541"/>
      <c r="D105" s="1541"/>
      <c r="E105" s="1541"/>
      <c r="F105" s="1541"/>
      <c r="G105" s="1541"/>
      <c r="I105" s="547"/>
      <c r="J105" s="547"/>
      <c r="K105" s="1539"/>
      <c r="L105" s="556"/>
      <c r="M105" s="563"/>
      <c r="N105" s="563"/>
      <c r="Q105" s="1539"/>
    </row>
    <row r="106" spans="1:17">
      <c r="B106" s="1541"/>
      <c r="C106" s="1541"/>
      <c r="D106" s="1541"/>
      <c r="E106" s="1541"/>
      <c r="F106" s="1541"/>
      <c r="G106" s="1541"/>
      <c r="I106" s="547"/>
      <c r="J106" s="547"/>
      <c r="K106" s="1539"/>
      <c r="L106" s="556"/>
      <c r="M106" s="563"/>
      <c r="N106" s="563"/>
      <c r="Q106" s="1539"/>
    </row>
    <row r="107" spans="1:17">
      <c r="B107" s="1541"/>
      <c r="C107" s="1541"/>
      <c r="D107" s="1541"/>
      <c r="E107" s="1541"/>
      <c r="F107" s="1541"/>
      <c r="G107" s="1541"/>
      <c r="I107" s="547"/>
      <c r="J107" s="547"/>
      <c r="K107" s="1539"/>
      <c r="L107" s="556"/>
      <c r="M107" s="563"/>
      <c r="N107" s="563"/>
      <c r="P107" s="550"/>
      <c r="Q107" s="1539"/>
    </row>
    <row r="108" spans="1:17">
      <c r="B108" s="1541"/>
      <c r="C108" s="1541"/>
      <c r="D108" s="1541"/>
      <c r="E108" s="1541"/>
      <c r="F108" s="1541"/>
      <c r="G108" s="1541"/>
      <c r="I108" s="547"/>
      <c r="J108" s="547"/>
      <c r="K108" s="1539"/>
      <c r="L108" s="556"/>
      <c r="M108" s="563"/>
      <c r="N108" s="563"/>
      <c r="P108" s="550"/>
      <c r="Q108" s="1539"/>
    </row>
    <row r="109" spans="1:17">
      <c r="A109" s="1541"/>
      <c r="B109" s="1541"/>
      <c r="C109" s="1541"/>
      <c r="D109" s="1541"/>
      <c r="E109" s="1541"/>
      <c r="F109" s="1541"/>
      <c r="G109" s="1541"/>
      <c r="I109" s="547"/>
      <c r="J109" s="547"/>
      <c r="K109" s="1539"/>
      <c r="L109" s="556"/>
      <c r="M109" s="563"/>
      <c r="N109" s="563"/>
      <c r="P109" s="550"/>
      <c r="Q109" s="1539"/>
    </row>
    <row r="110" spans="1:17">
      <c r="A110" s="1541"/>
      <c r="B110" s="1541"/>
      <c r="C110" s="1541"/>
      <c r="D110" s="1541"/>
      <c r="E110" s="1541"/>
      <c r="F110" s="1541"/>
      <c r="G110" s="1541"/>
      <c r="J110" s="1480"/>
      <c r="K110" s="1539"/>
      <c r="L110" s="556"/>
      <c r="M110" s="563"/>
      <c r="N110" s="563"/>
      <c r="P110" s="550"/>
      <c r="Q110" s="1539"/>
    </row>
    <row r="111" spans="1:17">
      <c r="A111" s="1541"/>
      <c r="B111" s="1541"/>
      <c r="C111" s="1541"/>
      <c r="D111" s="1541"/>
      <c r="E111" s="1541"/>
      <c r="F111" s="1541"/>
      <c r="G111" s="1541"/>
      <c r="J111" s="1480"/>
      <c r="K111" s="1539"/>
      <c r="L111" s="556"/>
      <c r="M111" s="563"/>
      <c r="N111" s="563"/>
      <c r="P111" s="1539"/>
      <c r="Q111" s="1539"/>
    </row>
    <row r="112" spans="1:17">
      <c r="A112" s="1541"/>
      <c r="B112" s="1541"/>
      <c r="C112" s="1541"/>
      <c r="D112" s="1541"/>
      <c r="E112" s="1541"/>
      <c r="F112" s="1541"/>
      <c r="G112" s="1541"/>
      <c r="H112" s="565"/>
      <c r="P112" s="1539"/>
      <c r="Q112" s="1539"/>
    </row>
    <row r="113" spans="1:17">
      <c r="A113" s="1541"/>
      <c r="B113" s="1541"/>
      <c r="C113" s="1541"/>
      <c r="D113" s="1541"/>
      <c r="E113" s="1541"/>
      <c r="F113" s="1541"/>
      <c r="G113" s="1541"/>
      <c r="H113" s="565"/>
      <c r="P113" s="1539"/>
      <c r="Q113" s="1539"/>
    </row>
    <row r="114" spans="1:17">
      <c r="A114" s="1541"/>
      <c r="B114" s="1541"/>
      <c r="C114" s="1541"/>
      <c r="D114" s="1541"/>
      <c r="E114" s="1541"/>
      <c r="F114" s="1541"/>
      <c r="G114" s="1541"/>
      <c r="H114" s="565"/>
      <c r="P114" s="1539"/>
      <c r="Q114" s="1539"/>
    </row>
    <row r="115" spans="1:17">
      <c r="A115" s="1541"/>
      <c r="B115" s="1541"/>
      <c r="C115" s="1541"/>
      <c r="D115" s="1541"/>
      <c r="E115" s="1541"/>
      <c r="F115" s="1541"/>
      <c r="G115" s="1541"/>
      <c r="H115" s="565"/>
      <c r="P115" s="1539"/>
      <c r="Q115" s="1539"/>
    </row>
    <row r="116" spans="1:17">
      <c r="A116" s="1541"/>
      <c r="B116" s="1541"/>
      <c r="C116" s="1541"/>
      <c r="D116" s="1541"/>
      <c r="E116" s="1541"/>
      <c r="F116" s="1541"/>
      <c r="G116" s="1541"/>
      <c r="I116" s="550"/>
      <c r="J116" s="547"/>
      <c r="K116" s="1539"/>
      <c r="L116" s="1539"/>
      <c r="M116" s="1539"/>
      <c r="N116" s="1539"/>
      <c r="O116" s="1539"/>
      <c r="P116" s="1539"/>
      <c r="Q116" s="1539"/>
    </row>
    <row r="117" spans="1:17">
      <c r="A117" s="1541"/>
      <c r="B117" s="1541"/>
      <c r="C117" s="1541"/>
      <c r="D117" s="1541"/>
      <c r="E117" s="1541"/>
      <c r="F117" s="1541"/>
      <c r="G117" s="1541"/>
      <c r="I117" s="550"/>
      <c r="J117" s="547"/>
      <c r="K117" s="1539"/>
      <c r="L117" s="1539"/>
      <c r="M117" s="1539"/>
      <c r="N117" s="1539"/>
      <c r="O117" s="1539"/>
      <c r="P117" s="1539"/>
      <c r="Q117" s="1539"/>
    </row>
    <row r="118" spans="1:17">
      <c r="A118" s="1541"/>
      <c r="B118" s="1541"/>
      <c r="C118" s="1541"/>
      <c r="D118" s="1541"/>
      <c r="E118" s="1541"/>
      <c r="F118" s="1541"/>
      <c r="I118" s="550"/>
      <c r="J118" s="547"/>
      <c r="K118" s="1539"/>
      <c r="L118" s="1539"/>
      <c r="M118" s="1539"/>
      <c r="N118" s="1539"/>
      <c r="O118" s="1539"/>
      <c r="P118" s="1539"/>
      <c r="Q118" s="1539"/>
    </row>
    <row r="119" spans="1:17">
      <c r="A119" s="1541"/>
      <c r="I119" s="550"/>
      <c r="J119" s="547"/>
      <c r="K119" s="1539"/>
      <c r="L119" s="1539"/>
      <c r="M119" s="1539"/>
      <c r="N119" s="1539"/>
      <c r="O119" s="1539"/>
      <c r="Q119" s="1539"/>
    </row>
    <row r="120" spans="1:17">
      <c r="A120" s="1541"/>
      <c r="I120" s="550"/>
      <c r="J120" s="547"/>
      <c r="K120" s="1539"/>
      <c r="L120" s="1539"/>
      <c r="M120" s="1539"/>
      <c r="N120" s="1539"/>
      <c r="O120" s="1539"/>
      <c r="P120" s="1539"/>
      <c r="Q120" s="1539"/>
    </row>
    <row r="121" spans="1:17">
      <c r="A121" s="1541"/>
      <c r="G121" s="1541"/>
      <c r="I121" s="550"/>
      <c r="J121" s="547"/>
      <c r="K121" s="1539"/>
      <c r="L121" s="1539"/>
      <c r="M121" s="1539"/>
      <c r="N121" s="1539"/>
      <c r="O121" s="1539"/>
      <c r="P121" s="564"/>
      <c r="Q121" s="1539"/>
    </row>
    <row r="122" spans="1:17">
      <c r="B122" s="1541"/>
      <c r="C122" s="1541"/>
      <c r="D122" s="1541"/>
      <c r="E122" s="1541"/>
      <c r="F122" s="1541"/>
      <c r="G122" s="1541"/>
      <c r="I122" s="1541"/>
      <c r="J122" s="547"/>
      <c r="K122" s="1539"/>
      <c r="L122" s="1539"/>
      <c r="M122" s="1539"/>
      <c r="N122" s="1539"/>
      <c r="O122" s="1539"/>
      <c r="P122" s="1539"/>
      <c r="Q122" s="1539"/>
    </row>
    <row r="123" spans="1:17">
      <c r="B123" s="1541"/>
      <c r="C123" s="1541"/>
      <c r="D123" s="1541"/>
      <c r="E123" s="1541"/>
      <c r="F123" s="1541"/>
      <c r="G123" s="1541"/>
      <c r="I123" s="1539"/>
      <c r="J123" s="547"/>
      <c r="K123" s="1539"/>
      <c r="L123" s="1539"/>
      <c r="M123" s="1539"/>
      <c r="N123" s="1539"/>
      <c r="O123" s="1539"/>
      <c r="P123" s="568"/>
      <c r="Q123" s="1539"/>
    </row>
    <row r="124" spans="1:17">
      <c r="A124" s="1541"/>
      <c r="B124" s="1541"/>
      <c r="C124" s="1541"/>
      <c r="D124" s="1541"/>
      <c r="E124" s="1541"/>
      <c r="F124" s="1541"/>
      <c r="G124" s="1541"/>
      <c r="I124" s="547"/>
      <c r="J124" s="547"/>
      <c r="K124" s="1539"/>
      <c r="L124" s="1539"/>
      <c r="M124" s="1539"/>
      <c r="N124" s="1539"/>
      <c r="O124" s="1539"/>
      <c r="P124" s="1539"/>
      <c r="Q124" s="1539"/>
    </row>
    <row r="125" spans="1:17">
      <c r="A125" s="1541"/>
      <c r="B125" s="1541"/>
      <c r="C125" s="1541"/>
      <c r="D125" s="1541"/>
      <c r="E125" s="1541"/>
      <c r="F125" s="1541"/>
      <c r="G125" s="1541"/>
      <c r="I125" s="547"/>
      <c r="J125" s="547"/>
      <c r="K125" s="1539"/>
      <c r="L125" s="1539"/>
      <c r="M125" s="1539"/>
      <c r="N125" s="1539"/>
      <c r="O125" s="1539"/>
      <c r="P125" s="1539"/>
      <c r="Q125" s="1539"/>
    </row>
    <row r="126" spans="1:17">
      <c r="A126" s="1541"/>
      <c r="B126" s="1541"/>
      <c r="C126" s="1541"/>
      <c r="D126" s="1541"/>
      <c r="E126" s="1541"/>
      <c r="F126" s="1541"/>
      <c r="G126" s="1541"/>
      <c r="I126" s="547"/>
      <c r="J126" s="547"/>
      <c r="K126" s="1539"/>
      <c r="L126" s="1539"/>
      <c r="M126" s="1539"/>
      <c r="N126" s="1539"/>
      <c r="O126" s="1539"/>
      <c r="P126" s="1539"/>
    </row>
    <row r="127" spans="1:17">
      <c r="A127" s="1541"/>
      <c r="B127" s="1541"/>
      <c r="C127" s="1541"/>
      <c r="D127" s="1541"/>
      <c r="E127" s="1541"/>
      <c r="F127" s="1541"/>
      <c r="G127" s="1541"/>
      <c r="I127" s="547"/>
      <c r="J127" s="547"/>
      <c r="K127" s="1539"/>
      <c r="L127" s="1539"/>
      <c r="M127" s="1539"/>
      <c r="N127" s="1539"/>
      <c r="O127" s="1539"/>
      <c r="P127" s="1539"/>
      <c r="Q127" s="1539"/>
    </row>
    <row r="128" spans="1:17">
      <c r="A128" s="1541"/>
      <c r="B128" s="1541"/>
      <c r="C128" s="1541"/>
      <c r="D128" s="1541"/>
      <c r="E128" s="1541"/>
      <c r="F128" s="1541"/>
      <c r="G128" s="1541"/>
      <c r="I128" s="547"/>
      <c r="J128" s="547"/>
      <c r="K128" s="1539"/>
      <c r="L128" s="1539"/>
      <c r="M128" s="1539"/>
      <c r="N128" s="1539"/>
      <c r="P128" s="1539"/>
      <c r="Q128" s="564"/>
    </row>
    <row r="129" spans="1:17">
      <c r="A129" s="1541"/>
      <c r="B129" s="1541"/>
      <c r="C129" s="1541"/>
      <c r="D129" s="1541"/>
      <c r="E129" s="1541"/>
      <c r="F129" s="1541"/>
      <c r="G129" s="1541"/>
      <c r="I129" s="547"/>
      <c r="J129" s="547"/>
      <c r="K129" s="1539"/>
      <c r="L129" s="1539"/>
      <c r="M129" s="1539"/>
      <c r="N129" s="1539"/>
      <c r="O129" s="1539"/>
      <c r="P129" s="1539"/>
      <c r="Q129" s="1539"/>
    </row>
    <row r="130" spans="1:17">
      <c r="A130" s="1541"/>
      <c r="B130" s="1541"/>
      <c r="C130" s="1541"/>
      <c r="D130" s="1541"/>
      <c r="E130" s="1541"/>
      <c r="F130" s="1541"/>
      <c r="G130" s="1541"/>
      <c r="I130" s="547"/>
      <c r="J130" s="547"/>
      <c r="K130" s="1539"/>
      <c r="L130" s="1539"/>
      <c r="M130" s="1539"/>
      <c r="N130" s="1539"/>
      <c r="O130" s="1539"/>
      <c r="P130" s="566"/>
      <c r="Q130" s="1539"/>
    </row>
    <row r="131" spans="1:17">
      <c r="A131" s="1541"/>
      <c r="B131" s="1541"/>
      <c r="C131" s="1541"/>
      <c r="D131" s="1541"/>
      <c r="E131" s="1541"/>
      <c r="F131" s="1541"/>
      <c r="G131" s="1541"/>
      <c r="I131" s="547"/>
      <c r="J131" s="547"/>
      <c r="K131" s="1539"/>
      <c r="L131" s="569"/>
      <c r="O131" s="1539"/>
      <c r="Q131" s="1539"/>
    </row>
    <row r="132" spans="1:17">
      <c r="A132" s="1541"/>
      <c r="B132" s="1541"/>
      <c r="C132" s="1541"/>
      <c r="D132" s="1541"/>
      <c r="E132" s="1541"/>
      <c r="F132" s="1541"/>
      <c r="G132" s="1541"/>
      <c r="I132" s="547"/>
      <c r="J132" s="547"/>
      <c r="K132" s="1539"/>
      <c r="L132" s="569"/>
      <c r="M132" s="1539"/>
      <c r="N132" s="556"/>
      <c r="O132" s="1539"/>
    </row>
    <row r="133" spans="1:17">
      <c r="A133" s="1541"/>
      <c r="B133" s="1541"/>
      <c r="C133" s="1541"/>
      <c r="D133" s="1541"/>
      <c r="E133" s="1541"/>
      <c r="F133" s="1541"/>
      <c r="G133" s="1541"/>
      <c r="I133" s="1539"/>
      <c r="J133" s="1539"/>
      <c r="K133" s="569"/>
      <c r="L133" s="1541"/>
      <c r="M133" s="1541"/>
      <c r="N133" s="1541"/>
    </row>
    <row r="134" spans="1:17">
      <c r="A134" s="1541"/>
      <c r="B134" s="1541"/>
      <c r="C134" s="1541"/>
      <c r="D134" s="1541"/>
      <c r="E134" s="1541"/>
      <c r="F134" s="1541"/>
      <c r="I134" s="1539"/>
      <c r="J134" s="1539"/>
      <c r="K134" s="570"/>
      <c r="L134" s="1541"/>
      <c r="M134" s="1541"/>
      <c r="N134" s="1541"/>
    </row>
    <row r="135" spans="1:17">
      <c r="A135" s="1541"/>
      <c r="I135" s="1539"/>
      <c r="J135" s="1539"/>
      <c r="K135" s="1539"/>
      <c r="L135" s="1541"/>
      <c r="M135" s="1541"/>
      <c r="N135" s="1541"/>
    </row>
    <row r="136" spans="1:17">
      <c r="A136" s="1541"/>
      <c r="I136" s="1539"/>
      <c r="J136" s="1539"/>
      <c r="K136" s="1539"/>
      <c r="L136" s="1541"/>
      <c r="M136" s="1541"/>
      <c r="N136" s="1541"/>
    </row>
    <row r="137" spans="1:17">
      <c r="A137" s="1541"/>
      <c r="G137" s="1541"/>
      <c r="I137" s="1539"/>
      <c r="J137" s="1539"/>
      <c r="L137" s="1541"/>
      <c r="M137" s="1541"/>
      <c r="N137" s="1541"/>
    </row>
    <row r="138" spans="1:17">
      <c r="B138" s="1541"/>
      <c r="C138" s="1541"/>
      <c r="D138" s="1541"/>
      <c r="E138" s="1541"/>
      <c r="F138" s="1541"/>
      <c r="G138" s="1541"/>
    </row>
    <row r="139" spans="1:17">
      <c r="B139" s="1541"/>
      <c r="C139" s="1541"/>
      <c r="D139" s="1541"/>
      <c r="E139" s="1541"/>
      <c r="F139" s="1541"/>
      <c r="G139" s="1541"/>
    </row>
    <row r="140" spans="1:17">
      <c r="B140" s="1541"/>
      <c r="C140" s="1541"/>
      <c r="D140" s="1541"/>
      <c r="E140" s="1541"/>
      <c r="F140" s="1541"/>
      <c r="G140" s="1541"/>
    </row>
    <row r="141" spans="1:17">
      <c r="A141" s="1541"/>
      <c r="B141" s="1541"/>
      <c r="C141" s="1541"/>
      <c r="D141" s="1541"/>
      <c r="E141" s="1541"/>
      <c r="F141" s="1541"/>
      <c r="J141" s="1541"/>
      <c r="K141" s="1541"/>
      <c r="L141" s="1541"/>
      <c r="M141" s="1541"/>
      <c r="N141" s="1541"/>
    </row>
    <row r="142" spans="1:17">
      <c r="A142" s="1541"/>
      <c r="J142" s="1541"/>
      <c r="K142" s="1541"/>
      <c r="L142" s="1541"/>
      <c r="M142" s="1541"/>
      <c r="N142" s="1541"/>
    </row>
    <row r="143" spans="1:17">
      <c r="A143" s="1541"/>
      <c r="I143" s="1541"/>
      <c r="J143" s="1541"/>
      <c r="K143" s="1541"/>
      <c r="L143" s="1541"/>
      <c r="M143" s="1541"/>
      <c r="N143" s="1541"/>
    </row>
    <row r="144" spans="1:17">
      <c r="A144" s="1541"/>
      <c r="I144" s="1541"/>
      <c r="J144" s="1541"/>
      <c r="K144" s="1541"/>
      <c r="L144" s="1541"/>
      <c r="M144" s="1541"/>
      <c r="N144" s="1541"/>
    </row>
  </sheetData>
  <pageMargins left="0.6" right="0.25" top="0.6" bottom="0" header="0.5" footer="0.25"/>
  <pageSetup scale="65" firstPageNumber="4" orientation="landscape" useFirstPageNumber="1" r:id="rId1"/>
  <headerFooter scaleWithDoc="0" alignWithMargins="0">
    <oddFooter>&amp;C&amp;8&amp;P</oddFooter>
  </headerFooter>
  <rowBreaks count="1" manualBreakCount="1">
    <brk id="61" max="15" man="1"/>
  </rowBreaks>
  <ignoredErrors>
    <ignoredError sqref="A6 A20 I48"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pageSetUpPr fitToPage="1"/>
  </sheetPr>
  <dimension ref="A1:AU61"/>
  <sheetViews>
    <sheetView showGridLines="0" zoomScale="90" workbookViewId="0"/>
  </sheetViews>
  <sheetFormatPr defaultColWidth="8.84375" defaultRowHeight="15.5"/>
  <cols>
    <col min="1" max="1" width="1.84375" style="1216" customWidth="1"/>
    <col min="2" max="2" width="48" style="1216" customWidth="1"/>
    <col min="3" max="3" width="4.53515625" style="1217" customWidth="1"/>
    <col min="4" max="4" width="20.53515625" style="1218" customWidth="1"/>
    <col min="5" max="5" width="1.84375" style="1218" customWidth="1"/>
    <col min="6" max="6" width="20.53515625" style="1218" customWidth="1"/>
    <col min="7" max="7" width="1.84375" style="1218" customWidth="1"/>
    <col min="8" max="8" width="20.53515625" style="1218" customWidth="1"/>
    <col min="9" max="9" width="1.84375" style="1218" customWidth="1"/>
    <col min="10" max="10" width="20.53515625" style="1218" customWidth="1"/>
    <col min="11" max="12" width="1.84375" style="1218" customWidth="1"/>
    <col min="13" max="13" width="19" style="1218" customWidth="1"/>
    <col min="14" max="14" width="8.84375" style="1217"/>
    <col min="15" max="15" width="24.07421875" style="1217" customWidth="1"/>
    <col min="16" max="16" width="8.84375" style="1217"/>
    <col min="17" max="17" width="1.84375" style="1217" customWidth="1"/>
    <col min="18" max="16384" width="8.84375" style="1216"/>
  </cols>
  <sheetData>
    <row r="1" spans="1:42">
      <c r="B1" s="635" t="s">
        <v>882</v>
      </c>
    </row>
    <row r="3" spans="1:42" ht="18">
      <c r="M3" s="1347" t="s">
        <v>505</v>
      </c>
    </row>
    <row r="4" spans="1:42" s="1221" customFormat="1" ht="18" customHeight="1">
      <c r="A4" s="1219"/>
      <c r="B4" s="1939" t="s">
        <v>490</v>
      </c>
      <c r="C4" s="1348"/>
      <c r="D4" s="1348"/>
      <c r="E4" s="3860"/>
      <c r="F4" s="1348"/>
      <c r="G4" s="3860"/>
      <c r="H4" s="1348"/>
      <c r="I4" s="3860"/>
      <c r="J4" s="1348"/>
      <c r="K4" s="1348"/>
      <c r="L4" s="1348"/>
      <c r="M4" s="1348"/>
      <c r="N4" s="1220"/>
      <c r="O4" s="1220"/>
      <c r="P4" s="1220"/>
      <c r="Q4" s="1220"/>
    </row>
    <row r="5" spans="1:42" s="1221" customFormat="1" ht="18" customHeight="1">
      <c r="A5" s="1219"/>
      <c r="B5" s="1939" t="s">
        <v>901</v>
      </c>
      <c r="C5" s="1222"/>
      <c r="D5" s="1222"/>
      <c r="E5" s="1222"/>
      <c r="F5" s="1222"/>
      <c r="G5" s="1222"/>
      <c r="H5" s="1222"/>
      <c r="I5" s="1222"/>
      <c r="J5" s="1222"/>
      <c r="K5" s="1222"/>
      <c r="L5" s="1222"/>
      <c r="M5" s="1240"/>
      <c r="N5" s="1220"/>
      <c r="O5" s="1220"/>
      <c r="P5" s="1220"/>
      <c r="Q5" s="1220"/>
    </row>
    <row r="6" spans="1:42" s="1221" customFormat="1" ht="18" customHeight="1">
      <c r="A6" s="1219"/>
      <c r="B6" s="1939" t="str">
        <f>'Public Goods '!A6</f>
        <v xml:space="preserve">FISCAL YEAR 2021-2022   </v>
      </c>
      <c r="C6" s="1940"/>
      <c r="D6" s="1940"/>
      <c r="E6" s="1940"/>
      <c r="F6" s="1940"/>
      <c r="G6" s="1940"/>
      <c r="H6" s="1940"/>
      <c r="I6" s="1940"/>
      <c r="J6" s="1940"/>
      <c r="K6" s="1940"/>
      <c r="L6" s="1940"/>
      <c r="M6" s="1348"/>
      <c r="N6" s="1220"/>
      <c r="O6" s="1220"/>
      <c r="P6" s="1220"/>
      <c r="Q6" s="1220"/>
    </row>
    <row r="7" spans="1:42" s="1221" customFormat="1" ht="18" customHeight="1">
      <c r="A7" s="1219"/>
      <c r="B7" s="1941"/>
      <c r="C7" s="1942"/>
      <c r="D7" s="1942"/>
      <c r="E7" s="1942"/>
      <c r="F7" s="1942"/>
      <c r="G7" s="1942"/>
      <c r="H7" s="1942"/>
      <c r="I7" s="1942"/>
      <c r="J7" s="1942"/>
      <c r="K7" s="1942"/>
      <c r="L7" s="1942"/>
      <c r="M7" s="1349"/>
      <c r="N7" s="1223"/>
      <c r="O7" s="1220"/>
      <c r="P7" s="1220"/>
      <c r="Q7" s="1220"/>
    </row>
    <row r="8" spans="1:42" s="1221" customFormat="1" ht="18" customHeight="1">
      <c r="A8" s="1219"/>
      <c r="B8" s="1941"/>
      <c r="C8" s="1224"/>
      <c r="D8" s="1224"/>
      <c r="E8" s="1224"/>
      <c r="F8" s="1224"/>
      <c r="G8" s="1224"/>
      <c r="H8" s="1224"/>
      <c r="I8" s="1224"/>
      <c r="J8" s="1224"/>
      <c r="K8" s="1224"/>
      <c r="L8" s="1224"/>
      <c r="M8" s="1224"/>
      <c r="N8" s="1223"/>
      <c r="O8" s="1220"/>
      <c r="P8" s="1220"/>
      <c r="Q8" s="1220"/>
    </row>
    <row r="9" spans="1:42" s="1230" customFormat="1">
      <c r="A9" s="1225"/>
      <c r="B9" s="1225"/>
      <c r="C9" s="1226"/>
      <c r="D9" s="1619" t="s">
        <v>1537</v>
      </c>
      <c r="E9" s="3861"/>
      <c r="F9" s="1619">
        <v>2021</v>
      </c>
      <c r="G9" s="3861"/>
      <c r="H9" s="1619">
        <v>2021</v>
      </c>
      <c r="I9" s="3861"/>
      <c r="J9" s="1619">
        <v>2021</v>
      </c>
      <c r="K9" s="1227"/>
      <c r="L9" s="1227"/>
      <c r="M9" s="1228"/>
      <c r="N9" s="1229"/>
      <c r="O9" s="1229"/>
      <c r="P9" s="1229"/>
      <c r="Q9" s="1229"/>
    </row>
    <row r="10" spans="1:42">
      <c r="A10" s="1231"/>
      <c r="B10" s="1231"/>
      <c r="C10" s="1232"/>
      <c r="D10" s="1946" t="s">
        <v>1538</v>
      </c>
      <c r="E10" s="1538"/>
      <c r="F10" s="1946" t="s">
        <v>126</v>
      </c>
      <c r="G10" s="1538"/>
      <c r="H10" s="1946" t="s">
        <v>127</v>
      </c>
      <c r="I10" s="1538"/>
      <c r="J10" s="1946" t="s">
        <v>127</v>
      </c>
      <c r="K10" s="1538"/>
      <c r="L10" s="1538"/>
      <c r="M10" s="1233" t="str">
        <f>'Public Goods '!L10</f>
        <v>2021-2022</v>
      </c>
    </row>
    <row r="11" spans="1:42">
      <c r="A11" s="1231"/>
      <c r="B11" s="1231"/>
      <c r="C11" s="1232"/>
      <c r="D11" s="1232"/>
      <c r="E11" s="1234"/>
      <c r="F11" s="1232"/>
      <c r="G11" s="1234"/>
      <c r="H11" s="1232"/>
      <c r="I11" s="1234"/>
      <c r="J11" s="1232"/>
      <c r="K11" s="1234"/>
      <c r="L11" s="1232"/>
      <c r="M11" s="1871"/>
    </row>
    <row r="12" spans="1:42" s="1230" customFormat="1">
      <c r="A12" s="1235"/>
      <c r="B12" s="1235" t="s">
        <v>467</v>
      </c>
      <c r="C12" s="1226"/>
      <c r="D12" s="1236">
        <v>55655.519999999997</v>
      </c>
      <c r="E12" s="1237"/>
      <c r="F12" s="1236">
        <f>D48</f>
        <v>33659.269999999997</v>
      </c>
      <c r="G12" s="1237"/>
      <c r="H12" s="1236">
        <f>F48</f>
        <v>15807.4</v>
      </c>
      <c r="I12" s="1237"/>
      <c r="J12" s="1236">
        <f>H48</f>
        <v>27092.65</v>
      </c>
      <c r="K12" s="1947"/>
      <c r="L12" s="1236"/>
      <c r="M12" s="1237">
        <f>D12</f>
        <v>55655.519999999997</v>
      </c>
      <c r="N12" s="1229"/>
      <c r="O12" s="1229"/>
      <c r="P12" s="1229"/>
      <c r="Q12" s="1229"/>
      <c r="R12" s="1238"/>
      <c r="S12" s="1238"/>
      <c r="T12" s="1238"/>
      <c r="U12" s="1238"/>
      <c r="V12" s="1238"/>
      <c r="W12" s="1238"/>
      <c r="X12" s="1238"/>
      <c r="Y12" s="1238"/>
      <c r="Z12" s="1238"/>
      <c r="AA12" s="1238"/>
      <c r="AB12" s="1238"/>
      <c r="AC12" s="1239"/>
      <c r="AD12" s="1239"/>
      <c r="AE12" s="1239"/>
      <c r="AF12" s="1239"/>
      <c r="AG12" s="1239"/>
      <c r="AH12" s="1239"/>
      <c r="AI12" s="1239"/>
      <c r="AJ12" s="1239"/>
      <c r="AK12" s="1239"/>
      <c r="AL12" s="1239"/>
      <c r="AM12" s="1239"/>
      <c r="AN12" s="1239"/>
      <c r="AO12" s="1239"/>
      <c r="AP12" s="1239"/>
    </row>
    <row r="13" spans="1:42" s="1230" customFormat="1">
      <c r="A13" s="1235"/>
      <c r="B13" s="1235"/>
      <c r="C13" s="1226"/>
      <c r="D13" s="1236"/>
      <c r="E13" s="1237"/>
      <c r="F13" s="1236"/>
      <c r="G13" s="1237"/>
      <c r="H13" s="1236"/>
      <c r="I13" s="1237"/>
      <c r="J13" s="1236"/>
      <c r="K13" s="1947"/>
      <c r="L13" s="1236"/>
      <c r="M13" s="1237"/>
      <c r="N13" s="1229"/>
      <c r="O13" s="1229"/>
      <c r="P13" s="1229"/>
      <c r="Q13" s="1229"/>
      <c r="R13" s="1238"/>
      <c r="S13" s="1238"/>
      <c r="T13" s="1238"/>
      <c r="U13" s="1238"/>
      <c r="V13" s="1238"/>
      <c r="W13" s="1238"/>
      <c r="X13" s="1238"/>
      <c r="Y13" s="1238"/>
      <c r="Z13" s="1238"/>
      <c r="AA13" s="1238"/>
      <c r="AB13" s="1238"/>
      <c r="AC13" s="1239"/>
      <c r="AD13" s="1239"/>
      <c r="AE13" s="1239"/>
      <c r="AF13" s="1239"/>
      <c r="AG13" s="1239"/>
      <c r="AH13" s="1239"/>
      <c r="AI13" s="1239"/>
      <c r="AJ13" s="1239"/>
      <c r="AK13" s="1239"/>
      <c r="AL13" s="1239"/>
      <c r="AM13" s="1239"/>
      <c r="AN13" s="1239"/>
      <c r="AO13" s="1239"/>
      <c r="AP13" s="1239"/>
    </row>
    <row r="14" spans="1:42">
      <c r="A14" s="1231"/>
      <c r="B14" s="1235" t="s">
        <v>13</v>
      </c>
      <c r="C14" s="1232"/>
      <c r="D14" s="1232"/>
      <c r="E14" s="1234"/>
      <c r="F14" s="1232"/>
      <c r="G14" s="1234"/>
      <c r="H14" s="1232"/>
      <c r="I14" s="1234"/>
      <c r="J14" s="1232"/>
      <c r="K14" s="1948"/>
      <c r="L14" s="1232"/>
      <c r="M14" s="1234"/>
    </row>
    <row r="15" spans="1:42">
      <c r="A15" s="1231"/>
      <c r="B15" s="1240" t="s">
        <v>511</v>
      </c>
      <c r="C15" s="1232"/>
      <c r="D15" s="1241">
        <v>63.25</v>
      </c>
      <c r="E15" s="1242"/>
      <c r="F15" s="1241">
        <v>28.57</v>
      </c>
      <c r="G15" s="1242"/>
      <c r="H15" s="1241">
        <v>37.47</v>
      </c>
      <c r="I15" s="1242"/>
      <c r="J15" s="1241">
        <v>13.52</v>
      </c>
      <c r="K15" s="1949"/>
      <c r="L15" s="1241"/>
      <c r="M15" s="1242">
        <f>ROUND(SUM(D15:L15),2)</f>
        <v>142.81</v>
      </c>
    </row>
    <row r="16" spans="1:42" s="1230" customFormat="1">
      <c r="A16" s="1235"/>
      <c r="B16" s="1235" t="s">
        <v>149</v>
      </c>
      <c r="C16" s="1226"/>
      <c r="D16" s="1872">
        <f>ROUND(SUM(D15:D15),2)</f>
        <v>63.25</v>
      </c>
      <c r="E16" s="1243"/>
      <c r="F16" s="1872">
        <f>ROUND(SUM(F15:F15),2)</f>
        <v>28.57</v>
      </c>
      <c r="G16" s="1243"/>
      <c r="H16" s="1872">
        <f>ROUND(SUM(H15:H15),2)</f>
        <v>37.47</v>
      </c>
      <c r="I16" s="1243"/>
      <c r="J16" s="1872">
        <f>ROUND(SUM(J15:J15),2)</f>
        <v>13.52</v>
      </c>
      <c r="K16" s="1950"/>
      <c r="L16" s="1243"/>
      <c r="M16" s="1872">
        <f>ROUND(SUM(M15:M15),2)</f>
        <v>142.81</v>
      </c>
      <c r="N16" s="1229"/>
      <c r="O16" s="1229"/>
      <c r="P16" s="1229"/>
      <c r="Q16" s="1229"/>
    </row>
    <row r="17" spans="1:22">
      <c r="A17" s="1231"/>
      <c r="B17" s="1231"/>
      <c r="C17" s="1232"/>
      <c r="D17" s="1241"/>
      <c r="E17" s="1242"/>
      <c r="F17" s="1241"/>
      <c r="G17" s="1242"/>
      <c r="H17" s="1241"/>
      <c r="I17" s="1242"/>
      <c r="J17" s="1241"/>
      <c r="K17" s="1949"/>
      <c r="L17" s="1241"/>
      <c r="M17" s="1873"/>
    </row>
    <row r="18" spans="1:22">
      <c r="A18" s="1231"/>
      <c r="B18" s="1235" t="s">
        <v>852</v>
      </c>
      <c r="C18" s="1232"/>
      <c r="D18" s="1241"/>
      <c r="E18" s="1242"/>
      <c r="F18" s="1241"/>
      <c r="G18" s="1242"/>
      <c r="H18" s="1241"/>
      <c r="I18" s="1242"/>
      <c r="J18" s="1241"/>
      <c r="K18" s="1949"/>
      <c r="L18" s="1241"/>
      <c r="M18" s="1242"/>
    </row>
    <row r="19" spans="1:22">
      <c r="A19" s="1231"/>
      <c r="B19" s="1240" t="s">
        <v>529</v>
      </c>
      <c r="C19" s="1232"/>
      <c r="D19" s="1241">
        <v>-159709275.50999999</v>
      </c>
      <c r="E19" s="1242"/>
      <c r="F19" s="1241">
        <v>-53405218.630000003</v>
      </c>
      <c r="G19" s="1242"/>
      <c r="H19" s="1241">
        <v>-53405218.630000003</v>
      </c>
      <c r="I19" s="1242"/>
      <c r="J19" s="1241">
        <v>-53405218.630000003</v>
      </c>
      <c r="K19" s="1949"/>
      <c r="L19" s="1241"/>
      <c r="M19" s="1242">
        <f>ROUND(SUM(D19:L19),2)</f>
        <v>-319924931.39999998</v>
      </c>
    </row>
    <row r="20" spans="1:22">
      <c r="A20" s="1231"/>
      <c r="B20" s="1240" t="s">
        <v>530</v>
      </c>
      <c r="C20" s="1232"/>
      <c r="D20" s="1241">
        <v>0</v>
      </c>
      <c r="E20" s="1242"/>
      <c r="F20" s="1241">
        <v>0</v>
      </c>
      <c r="G20" s="1242"/>
      <c r="H20" s="1241">
        <v>0</v>
      </c>
      <c r="I20" s="1242"/>
      <c r="J20" s="1241">
        <v>0</v>
      </c>
      <c r="K20" s="1949"/>
      <c r="L20" s="1241"/>
      <c r="M20" s="1242">
        <f>ROUND(SUM(D20:L20),2)</f>
        <v>0</v>
      </c>
    </row>
    <row r="21" spans="1:22">
      <c r="A21" s="1231"/>
      <c r="B21" s="1240" t="s">
        <v>531</v>
      </c>
      <c r="C21" s="1232"/>
      <c r="D21" s="1241">
        <v>-162011.93</v>
      </c>
      <c r="E21" s="1242"/>
      <c r="F21" s="1241">
        <v>0</v>
      </c>
      <c r="G21" s="1242"/>
      <c r="H21" s="1241">
        <v>6651912.0099999998</v>
      </c>
      <c r="I21" s="1242"/>
      <c r="J21" s="1241">
        <v>2816019.4</v>
      </c>
      <c r="K21" s="1949"/>
      <c r="L21" s="1241"/>
      <c r="M21" s="1242">
        <f>ROUND(SUM(D21:L21),2)</f>
        <v>9305919.4800000004</v>
      </c>
    </row>
    <row r="22" spans="1:22" s="1230" customFormat="1">
      <c r="A22" s="1235"/>
      <c r="B22" s="1244" t="s">
        <v>869</v>
      </c>
      <c r="C22" s="1226"/>
      <c r="D22" s="1874">
        <f>ROUND(SUM(D18:D21),2)</f>
        <v>-159871287.44</v>
      </c>
      <c r="E22" s="1243"/>
      <c r="F22" s="1874">
        <f>ROUND(SUM(F18:F21),2)</f>
        <v>-53405218.630000003</v>
      </c>
      <c r="G22" s="1243"/>
      <c r="H22" s="1874">
        <f>ROUND(SUM(H18:H21),2)</f>
        <v>-46753306.619999997</v>
      </c>
      <c r="I22" s="1243"/>
      <c r="J22" s="1874">
        <f>ROUND(SUM(J18:J21),2)</f>
        <v>-50589199.229999997</v>
      </c>
      <c r="K22" s="1950"/>
      <c r="L22" s="1243"/>
      <c r="M22" s="1874">
        <f>ROUND(SUM(M18:M21),2)</f>
        <v>-310619011.92000002</v>
      </c>
      <c r="N22" s="1229"/>
      <c r="O22" s="1229"/>
      <c r="P22" s="1229"/>
      <c r="Q22" s="1229"/>
    </row>
    <row r="23" spans="1:22">
      <c r="A23" s="1231"/>
      <c r="B23" s="1245"/>
      <c r="C23" s="1232"/>
      <c r="D23" s="1873"/>
      <c r="E23" s="1242"/>
      <c r="F23" s="1873"/>
      <c r="G23" s="1242"/>
      <c r="H23" s="1873"/>
      <c r="I23" s="1242"/>
      <c r="J23" s="1873"/>
      <c r="K23" s="1949"/>
      <c r="L23" s="1242"/>
      <c r="M23" s="1873"/>
    </row>
    <row r="24" spans="1:22" s="1230" customFormat="1">
      <c r="A24" s="1235"/>
      <c r="B24" s="1235" t="s">
        <v>1118</v>
      </c>
      <c r="C24" s="1226"/>
      <c r="D24" s="1246">
        <f>ROUND(+D16+D22,2)</f>
        <v>-159871224.19</v>
      </c>
      <c r="E24" s="1246"/>
      <c r="F24" s="1246">
        <f>ROUND(+F16+F22,2)</f>
        <v>-53405190.060000002</v>
      </c>
      <c r="G24" s="1246"/>
      <c r="H24" s="1246">
        <f>ROUND(+H16+H22,2)</f>
        <v>-46753269.149999999</v>
      </c>
      <c r="I24" s="1246"/>
      <c r="J24" s="1246">
        <f>ROUND(+J16+J22,2)</f>
        <v>-50589185.710000001</v>
      </c>
      <c r="K24" s="1952"/>
      <c r="L24" s="1246"/>
      <c r="M24" s="1246">
        <f>ROUND(+M16+M22,2)</f>
        <v>-310618869.11000001</v>
      </c>
      <c r="N24" s="1229"/>
      <c r="O24" s="1229"/>
      <c r="P24" s="1229"/>
      <c r="Q24" s="1229"/>
    </row>
    <row r="25" spans="1:22">
      <c r="A25" s="1231"/>
      <c r="B25" s="1231"/>
      <c r="C25" s="1232"/>
      <c r="D25" s="1873"/>
      <c r="E25" s="1242"/>
      <c r="F25" s="1873"/>
      <c r="G25" s="1242"/>
      <c r="H25" s="1873"/>
      <c r="I25" s="1242"/>
      <c r="J25" s="1873"/>
      <c r="K25" s="1949"/>
      <c r="L25" s="1242"/>
      <c r="M25" s="1873"/>
      <c r="N25" s="1218"/>
      <c r="O25" s="1218"/>
      <c r="P25" s="1218"/>
      <c r="Q25" s="1218"/>
      <c r="R25" s="1247"/>
      <c r="S25" s="1247"/>
      <c r="T25" s="1247"/>
      <c r="U25" s="1247"/>
      <c r="V25" s="1247"/>
    </row>
    <row r="26" spans="1:22">
      <c r="A26" s="1231"/>
      <c r="B26" s="1235" t="s">
        <v>45</v>
      </c>
      <c r="C26" s="1232"/>
      <c r="D26" s="1241"/>
      <c r="E26" s="1242"/>
      <c r="F26" s="1241"/>
      <c r="G26" s="1242"/>
      <c r="H26" s="1241"/>
      <c r="I26" s="1242"/>
      <c r="J26" s="1241"/>
      <c r="K26" s="1949"/>
      <c r="L26" s="1241"/>
      <c r="M26" s="1242"/>
      <c r="N26" s="1218"/>
      <c r="O26" s="1218"/>
      <c r="P26" s="1218"/>
      <c r="Q26" s="1218"/>
      <c r="R26" s="1247"/>
      <c r="S26" s="1247"/>
      <c r="T26" s="1247"/>
      <c r="U26" s="1247"/>
      <c r="V26" s="1247"/>
    </row>
    <row r="27" spans="1:22">
      <c r="A27" s="1231"/>
      <c r="B27" s="1235" t="s">
        <v>798</v>
      </c>
      <c r="C27" s="1232"/>
      <c r="D27" s="1241"/>
      <c r="E27" s="1242"/>
      <c r="F27" s="1241"/>
      <c r="G27" s="1242"/>
      <c r="H27" s="1241"/>
      <c r="I27" s="1242"/>
      <c r="J27" s="1241"/>
      <c r="K27" s="1949"/>
      <c r="L27" s="1241"/>
      <c r="M27" s="1242"/>
      <c r="N27" s="1218"/>
      <c r="O27" s="1218"/>
      <c r="P27" s="1218"/>
      <c r="Q27" s="1218"/>
      <c r="R27" s="1247"/>
      <c r="S27" s="1247"/>
      <c r="T27" s="1247"/>
      <c r="U27" s="1247"/>
      <c r="V27" s="1247"/>
    </row>
    <row r="28" spans="1:22">
      <c r="A28" s="1231"/>
      <c r="B28" s="1240" t="s">
        <v>532</v>
      </c>
      <c r="C28" s="1232"/>
      <c r="D28" s="1241">
        <v>0</v>
      </c>
      <c r="E28" s="1242"/>
      <c r="F28" s="1241">
        <v>0</v>
      </c>
      <c r="G28" s="1242"/>
      <c r="H28" s="1241">
        <v>0</v>
      </c>
      <c r="I28" s="1242"/>
      <c r="J28" s="1241">
        <v>0</v>
      </c>
      <c r="K28" s="1949"/>
      <c r="L28" s="1241"/>
      <c r="M28" s="1242">
        <f>ROUND(SUM(D28:L28),2)</f>
        <v>0</v>
      </c>
      <c r="N28" s="1218"/>
      <c r="O28" s="1218"/>
      <c r="P28" s="1218"/>
      <c r="Q28" s="1218"/>
      <c r="R28" s="1247"/>
      <c r="S28" s="1247"/>
      <c r="T28" s="1247"/>
      <c r="U28" s="1247"/>
      <c r="V28" s="1247"/>
    </row>
    <row r="29" spans="1:22">
      <c r="A29" s="1231"/>
      <c r="B29" s="1240" t="s">
        <v>522</v>
      </c>
      <c r="C29" s="1232"/>
      <c r="D29" s="1241">
        <v>0</v>
      </c>
      <c r="E29" s="1242"/>
      <c r="F29" s="1241">
        <v>0</v>
      </c>
      <c r="G29" s="1242"/>
      <c r="H29" s="1241">
        <v>0</v>
      </c>
      <c r="I29" s="1242"/>
      <c r="J29" s="1241">
        <v>0</v>
      </c>
      <c r="K29" s="1949"/>
      <c r="L29" s="1241"/>
      <c r="M29" s="1242">
        <f>ROUND(SUM(D29:L29),2)</f>
        <v>0</v>
      </c>
      <c r="N29" s="1218"/>
      <c r="O29" s="1218"/>
      <c r="P29" s="1218"/>
      <c r="Q29" s="1218"/>
      <c r="R29" s="1247"/>
      <c r="S29" s="1247"/>
      <c r="T29" s="1247"/>
      <c r="U29" s="1247"/>
      <c r="V29" s="1247"/>
    </row>
    <row r="30" spans="1:22">
      <c r="A30" s="1231"/>
      <c r="B30" s="1235" t="s">
        <v>519</v>
      </c>
      <c r="C30" s="1232"/>
      <c r="D30" s="1241"/>
      <c r="E30" s="1242"/>
      <c r="F30" s="1241"/>
      <c r="G30" s="1242"/>
      <c r="H30" s="1241"/>
      <c r="I30" s="1242"/>
      <c r="J30" s="1241"/>
      <c r="K30" s="1949"/>
      <c r="L30" s="1241"/>
      <c r="M30" s="1242"/>
      <c r="N30" s="1218"/>
      <c r="O30" s="1218"/>
      <c r="P30" s="1218"/>
      <c r="Q30" s="1218"/>
      <c r="R30" s="1247"/>
      <c r="S30" s="1247"/>
      <c r="T30" s="1247"/>
      <c r="U30" s="1247"/>
      <c r="V30" s="1247"/>
    </row>
    <row r="31" spans="1:22">
      <c r="A31" s="1231"/>
      <c r="B31" s="1240" t="s">
        <v>533</v>
      </c>
      <c r="C31" s="1232"/>
      <c r="D31" s="1248">
        <v>69945871.370000005</v>
      </c>
      <c r="E31" s="1248"/>
      <c r="F31" s="1248">
        <v>23391485.760000002</v>
      </c>
      <c r="G31" s="1248"/>
      <c r="H31" s="1248">
        <v>23391485.760000002</v>
      </c>
      <c r="I31" s="1248"/>
      <c r="J31" s="1248">
        <v>23391485.760000002</v>
      </c>
      <c r="K31" s="1953"/>
      <c r="L31" s="1241"/>
      <c r="M31" s="1242">
        <f>ROUND(SUM(D31:L31),2)</f>
        <v>140120328.65000001</v>
      </c>
      <c r="N31" s="1218"/>
      <c r="O31" s="1218"/>
      <c r="P31" s="1218"/>
      <c r="Q31" s="1218"/>
      <c r="R31" s="1247"/>
      <c r="S31" s="1247"/>
      <c r="T31" s="1247"/>
      <c r="U31" s="1247"/>
      <c r="V31" s="1247"/>
    </row>
    <row r="32" spans="1:22">
      <c r="A32" s="1231"/>
      <c r="B32" s="1240" t="s">
        <v>534</v>
      </c>
      <c r="C32" s="1232"/>
      <c r="D32" s="1248">
        <v>161543.16</v>
      </c>
      <c r="E32" s="1248"/>
      <c r="F32" s="1248">
        <v>-17851.809999999998</v>
      </c>
      <c r="G32" s="1248"/>
      <c r="H32" s="1248">
        <v>-6640635.6599999983</v>
      </c>
      <c r="I32" s="1248"/>
      <c r="J32" s="1248">
        <v>-2801821.2400000007</v>
      </c>
      <c r="K32" s="1953"/>
      <c r="L32" s="1241"/>
      <c r="M32" s="1242">
        <f>ROUND(SUM(D32:L32),2)</f>
        <v>-9298765.5500000007</v>
      </c>
      <c r="N32" s="1218"/>
      <c r="O32" s="1218"/>
      <c r="P32" s="1218"/>
      <c r="Q32" s="1218"/>
      <c r="R32" s="1247"/>
      <c r="S32" s="1247"/>
      <c r="T32" s="1247"/>
      <c r="U32" s="1247"/>
      <c r="V32" s="1247"/>
    </row>
    <row r="33" spans="1:47">
      <c r="A33" s="1231"/>
      <c r="B33" s="1240" t="s">
        <v>535</v>
      </c>
      <c r="C33" s="1232"/>
      <c r="D33" s="1248">
        <v>89747898.870000005</v>
      </c>
      <c r="E33" s="1248"/>
      <c r="F33" s="1248">
        <v>30013732.869999997</v>
      </c>
      <c r="G33" s="1248"/>
      <c r="H33" s="1248">
        <v>30013732.869999997</v>
      </c>
      <c r="I33" s="1248"/>
      <c r="J33" s="1248">
        <v>30013732.869999997</v>
      </c>
      <c r="K33" s="1953"/>
      <c r="L33" s="1241"/>
      <c r="M33" s="1242">
        <f>ROUND(SUM(D33:L33),2)</f>
        <v>179789097.47999999</v>
      </c>
      <c r="N33" s="1218"/>
      <c r="O33" s="1218"/>
      <c r="P33" s="1218"/>
      <c r="Q33" s="1218"/>
      <c r="R33" s="1247"/>
      <c r="S33" s="1247"/>
      <c r="T33" s="1247"/>
      <c r="U33" s="1247"/>
      <c r="V33" s="1247"/>
    </row>
    <row r="34" spans="1:47">
      <c r="A34" s="1231"/>
      <c r="B34" s="1240" t="s">
        <v>531</v>
      </c>
      <c r="C34" s="1232"/>
      <c r="D34" s="1954">
        <v>0</v>
      </c>
      <c r="E34" s="1248"/>
      <c r="F34" s="1954">
        <v>0</v>
      </c>
      <c r="G34" s="1248"/>
      <c r="H34" s="1954">
        <v>0</v>
      </c>
      <c r="I34" s="1248"/>
      <c r="J34" s="1954">
        <v>0</v>
      </c>
      <c r="K34" s="1953"/>
      <c r="L34" s="1248"/>
      <c r="M34" s="1242">
        <f>ROUND(SUM(D34:L34),2)</f>
        <v>0</v>
      </c>
      <c r="N34" s="1218"/>
      <c r="O34" s="1218"/>
      <c r="P34" s="1218"/>
      <c r="Q34" s="1218"/>
      <c r="R34" s="1247"/>
      <c r="S34" s="1247"/>
      <c r="T34" s="1247"/>
      <c r="U34" s="1247"/>
      <c r="V34" s="1247"/>
    </row>
    <row r="35" spans="1:47" s="1230" customFormat="1">
      <c r="A35" s="1235"/>
      <c r="B35" s="1235" t="s">
        <v>521</v>
      </c>
      <c r="C35" s="1226"/>
      <c r="D35" s="1875">
        <f>ROUND(SUM(D28:D34),2)</f>
        <v>159855313.40000001</v>
      </c>
      <c r="E35" s="1243"/>
      <c r="F35" s="1875">
        <f>ROUND(SUM(F28:F34),2)</f>
        <v>53387366.82</v>
      </c>
      <c r="G35" s="1243"/>
      <c r="H35" s="1875">
        <f>ROUND(SUM(H28:H34),2)</f>
        <v>46764582.969999999</v>
      </c>
      <c r="I35" s="1243"/>
      <c r="J35" s="1875">
        <f>ROUND(SUM(J28:J34),2)</f>
        <v>50603397.390000001</v>
      </c>
      <c r="K35" s="1950"/>
      <c r="L35" s="1243"/>
      <c r="M35" s="1875">
        <f>ROUND(SUM(M28:M34),2)</f>
        <v>310610660.57999998</v>
      </c>
      <c r="N35" s="1249"/>
      <c r="O35" s="1249"/>
      <c r="P35" s="1249"/>
      <c r="Q35" s="1249"/>
      <c r="R35" s="1250"/>
      <c r="S35" s="1250"/>
      <c r="T35" s="1250"/>
      <c r="U35" s="1250"/>
      <c r="V35" s="1250"/>
    </row>
    <row r="36" spans="1:47">
      <c r="A36" s="1231"/>
      <c r="B36" s="1231"/>
      <c r="C36" s="1232"/>
      <c r="D36" s="1241"/>
      <c r="E36" s="1242"/>
      <c r="F36" s="1241"/>
      <c r="G36" s="1242"/>
      <c r="H36" s="1241"/>
      <c r="I36" s="1242"/>
      <c r="J36" s="1241"/>
      <c r="K36" s="1949"/>
      <c r="L36" s="1241"/>
      <c r="M36" s="1242"/>
      <c r="N36" s="1218"/>
      <c r="O36" s="1218"/>
      <c r="P36" s="1218"/>
      <c r="Q36" s="1218"/>
      <c r="R36" s="1247"/>
      <c r="S36" s="1247"/>
      <c r="T36" s="1247"/>
      <c r="U36" s="1247"/>
      <c r="V36" s="1247"/>
    </row>
    <row r="37" spans="1:47">
      <c r="A37" s="1231"/>
      <c r="B37" s="1235" t="s">
        <v>850</v>
      </c>
      <c r="C37" s="1232"/>
      <c r="D37" s="1241"/>
      <c r="E37" s="1242"/>
      <c r="F37" s="1241"/>
      <c r="G37" s="1242"/>
      <c r="H37" s="1241"/>
      <c r="I37" s="1242"/>
      <c r="J37" s="1241"/>
      <c r="K37" s="1949"/>
      <c r="L37" s="1241"/>
      <c r="M37" s="1242"/>
      <c r="N37" s="1218"/>
      <c r="O37" s="1218"/>
      <c r="P37" s="1218"/>
      <c r="Q37" s="1218"/>
      <c r="R37" s="1247"/>
      <c r="S37" s="1247"/>
      <c r="T37" s="1247"/>
      <c r="U37" s="1247"/>
      <c r="V37" s="1247"/>
    </row>
    <row r="38" spans="1:47">
      <c r="A38" s="1231"/>
      <c r="B38" s="1231" t="s">
        <v>532</v>
      </c>
      <c r="C38" s="1232"/>
      <c r="D38" s="1251">
        <v>0</v>
      </c>
      <c r="E38" s="1251"/>
      <c r="F38" s="1251">
        <v>0</v>
      </c>
      <c r="G38" s="1251"/>
      <c r="H38" s="1251">
        <v>0</v>
      </c>
      <c r="I38" s="1251"/>
      <c r="J38" s="1251">
        <v>0</v>
      </c>
      <c r="K38" s="1955"/>
      <c r="L38" s="1251"/>
      <c r="M38" s="1242">
        <f>ROUND(SUM(D38:L38),2)</f>
        <v>0</v>
      </c>
      <c r="N38" s="1218"/>
      <c r="O38" s="1218"/>
      <c r="P38" s="1218"/>
      <c r="Q38" s="1218"/>
      <c r="R38" s="1247"/>
      <c r="S38" s="1247"/>
      <c r="T38" s="1247"/>
      <c r="U38" s="1247"/>
      <c r="V38" s="1247"/>
    </row>
    <row r="39" spans="1:47">
      <c r="A39" s="1231"/>
      <c r="B39" s="1231" t="s">
        <v>522</v>
      </c>
      <c r="C39" s="1232"/>
      <c r="D39" s="1242">
        <v>0</v>
      </c>
      <c r="E39" s="1242"/>
      <c r="F39" s="1242">
        <v>0</v>
      </c>
      <c r="G39" s="1242"/>
      <c r="H39" s="1242">
        <v>0</v>
      </c>
      <c r="I39" s="1242"/>
      <c r="J39" s="1242">
        <v>0</v>
      </c>
      <c r="K39" s="1949"/>
      <c r="L39" s="1242"/>
      <c r="M39" s="1242">
        <f>ROUND(SUM(D39:L39),2)</f>
        <v>0</v>
      </c>
      <c r="N39" s="1218"/>
      <c r="O39" s="1218"/>
      <c r="P39" s="1218"/>
      <c r="Q39" s="1218"/>
      <c r="R39" s="1247"/>
      <c r="S39" s="1247"/>
      <c r="T39" s="1247"/>
      <c r="U39" s="1247"/>
      <c r="V39" s="1247"/>
    </row>
    <row r="40" spans="1:47">
      <c r="A40" s="1231"/>
      <c r="B40" s="1235" t="s">
        <v>851</v>
      </c>
      <c r="C40" s="1232"/>
      <c r="D40" s="1241"/>
      <c r="E40" s="1242"/>
      <c r="F40" s="1241"/>
      <c r="G40" s="1242"/>
      <c r="H40" s="1241"/>
      <c r="I40" s="1242"/>
      <c r="J40" s="1241"/>
      <c r="K40" s="1949"/>
      <c r="L40" s="1241"/>
      <c r="M40" s="1242"/>
      <c r="N40" s="1218"/>
      <c r="O40" s="1218"/>
      <c r="P40" s="1218"/>
      <c r="Q40" s="1218"/>
      <c r="R40" s="1247"/>
      <c r="S40" s="1247"/>
      <c r="T40" s="1247"/>
      <c r="U40" s="1247"/>
      <c r="V40" s="1247"/>
    </row>
    <row r="41" spans="1:47">
      <c r="A41" s="1231"/>
      <c r="B41" s="1240" t="s">
        <v>536</v>
      </c>
      <c r="C41" s="1232"/>
      <c r="D41" s="1242">
        <v>-116.96</v>
      </c>
      <c r="E41" s="1242"/>
      <c r="F41" s="1242">
        <v>-28.63</v>
      </c>
      <c r="G41" s="1242"/>
      <c r="H41" s="1242">
        <v>-28.57</v>
      </c>
      <c r="I41" s="1242"/>
      <c r="J41" s="1242">
        <v>-37.47</v>
      </c>
      <c r="K41" s="1949"/>
      <c r="L41" s="1241"/>
      <c r="M41" s="1242">
        <f>ROUND(SUM(D41:L41),2)</f>
        <v>-211.63</v>
      </c>
      <c r="N41" s="1218"/>
      <c r="O41" s="1218"/>
      <c r="P41" s="1218"/>
      <c r="Q41" s="1218"/>
      <c r="R41" s="1247"/>
      <c r="S41" s="1247"/>
      <c r="T41" s="1247"/>
      <c r="U41" s="1247"/>
      <c r="V41" s="1247"/>
    </row>
    <row r="42" spans="1:47">
      <c r="A42" s="1231"/>
      <c r="B42" s="3811" t="s">
        <v>1399</v>
      </c>
      <c r="C42" s="1232"/>
      <c r="D42" s="1956">
        <v>-5968.5</v>
      </c>
      <c r="E42" s="1242"/>
      <c r="F42" s="1956">
        <v>0</v>
      </c>
      <c r="G42" s="1242"/>
      <c r="H42" s="1956">
        <v>0</v>
      </c>
      <c r="I42" s="1242"/>
      <c r="J42" s="1956">
        <v>0</v>
      </c>
      <c r="K42" s="1949"/>
      <c r="L42" s="1241"/>
      <c r="M42" s="1242">
        <f t="shared" ref="M42" si="0">ROUND(SUM(D42:L42),2)</f>
        <v>-5968.5</v>
      </c>
      <c r="N42" s="1218"/>
      <c r="O42" s="1218"/>
      <c r="P42" s="1218"/>
      <c r="Q42" s="1218"/>
      <c r="R42" s="1247"/>
      <c r="S42" s="1247"/>
      <c r="T42" s="1247"/>
      <c r="U42" s="1247"/>
      <c r="V42" s="1247"/>
    </row>
    <row r="43" spans="1:47" s="1230" customFormat="1">
      <c r="A43" s="1235"/>
      <c r="B43" s="1235" t="s">
        <v>523</v>
      </c>
      <c r="C43" s="1226"/>
      <c r="D43" s="1875">
        <f>SUM(D38:D42)</f>
        <v>-6085.46</v>
      </c>
      <c r="E43" s="1243"/>
      <c r="F43" s="1875">
        <f>SUM(F38:F42)</f>
        <v>-28.63</v>
      </c>
      <c r="G43" s="1243"/>
      <c r="H43" s="1875">
        <f>SUM(H38:H42)</f>
        <v>-28.57</v>
      </c>
      <c r="I43" s="1243"/>
      <c r="J43" s="1875">
        <f>SUM(J38:J42)</f>
        <v>-37.47</v>
      </c>
      <c r="K43" s="1950"/>
      <c r="L43" s="1243"/>
      <c r="M43" s="1875">
        <f>SUM(M38:M42)</f>
        <v>-6180.13</v>
      </c>
      <c r="N43" s="1249"/>
      <c r="O43" s="1249"/>
      <c r="P43" s="1249"/>
      <c r="Q43" s="1249"/>
      <c r="R43" s="1250"/>
      <c r="S43" s="1250"/>
      <c r="T43" s="1250"/>
      <c r="U43" s="1250"/>
      <c r="V43" s="1250"/>
    </row>
    <row r="44" spans="1:47">
      <c r="A44" s="1231"/>
      <c r="B44" s="1231"/>
      <c r="C44" s="1232"/>
      <c r="D44" s="1241"/>
      <c r="E44" s="1242"/>
      <c r="F44" s="1241"/>
      <c r="G44" s="1242"/>
      <c r="H44" s="1241"/>
      <c r="I44" s="1242"/>
      <c r="J44" s="1241"/>
      <c r="K44" s="1949"/>
      <c r="L44" s="1241"/>
      <c r="M44" s="1242"/>
      <c r="N44" s="1218"/>
      <c r="O44" s="1218"/>
      <c r="P44" s="1218"/>
      <c r="Q44" s="1218"/>
      <c r="R44" s="1247"/>
      <c r="S44" s="1247"/>
      <c r="T44" s="1247"/>
      <c r="U44" s="1247"/>
      <c r="V44" s="1247"/>
    </row>
    <row r="45" spans="1:47">
      <c r="A45" s="1231"/>
      <c r="B45" s="1235" t="s">
        <v>537</v>
      </c>
      <c r="C45" s="1232"/>
      <c r="D45" s="1241"/>
      <c r="E45" s="1242"/>
      <c r="F45" s="1241"/>
      <c r="G45" s="1242"/>
      <c r="H45" s="1241"/>
      <c r="I45" s="1242"/>
      <c r="J45" s="1241"/>
      <c r="K45" s="1949"/>
      <c r="L45" s="1241"/>
      <c r="M45" s="1242"/>
      <c r="N45" s="1218"/>
      <c r="O45" s="1218"/>
      <c r="P45" s="1218"/>
      <c r="Q45" s="1218"/>
      <c r="R45" s="1247"/>
      <c r="S45" s="1247"/>
      <c r="T45" s="1247"/>
      <c r="U45" s="1247"/>
      <c r="V45" s="1247"/>
    </row>
    <row r="46" spans="1:47">
      <c r="A46" s="1231"/>
      <c r="B46" s="1235" t="s">
        <v>538</v>
      </c>
      <c r="C46" s="1232"/>
      <c r="D46" s="1951">
        <f>ROUND(+D24+D35+D43,2)</f>
        <v>-21996.25</v>
      </c>
      <c r="E46" s="1246"/>
      <c r="F46" s="1951">
        <f>ROUND(+F24+F35+F43,2)</f>
        <v>-17851.87</v>
      </c>
      <c r="G46" s="1246"/>
      <c r="H46" s="1951">
        <f>ROUND(+H24+H35+H43,2)</f>
        <v>11285.25</v>
      </c>
      <c r="I46" s="1246"/>
      <c r="J46" s="1951">
        <f>ROUND(+J24+J35+J43,2)</f>
        <v>14174.21</v>
      </c>
      <c r="K46" s="1952"/>
      <c r="L46" s="1246"/>
      <c r="M46" s="1951">
        <f>ROUND(+M24+M35+M43,2)</f>
        <v>-14388.66</v>
      </c>
      <c r="N46" s="1218"/>
      <c r="O46" s="1218"/>
      <c r="P46" s="1218"/>
      <c r="Q46" s="1218"/>
      <c r="R46" s="1247"/>
      <c r="S46" s="1247"/>
      <c r="T46" s="1247"/>
      <c r="U46" s="1247"/>
      <c r="V46" s="1247"/>
    </row>
    <row r="47" spans="1:47">
      <c r="A47" s="1231"/>
      <c r="B47" s="1231"/>
      <c r="C47" s="1232"/>
      <c r="D47" s="1232"/>
      <c r="E47" s="1234"/>
      <c r="F47" s="1232"/>
      <c r="G47" s="1234"/>
      <c r="H47" s="1232"/>
      <c r="I47" s="1234"/>
      <c r="J47" s="1232"/>
      <c r="K47" s="1948"/>
      <c r="L47" s="1232"/>
      <c r="M47" s="1252"/>
      <c r="N47" s="1218"/>
      <c r="O47" s="1218"/>
      <c r="P47" s="1218"/>
      <c r="Q47" s="1218"/>
      <c r="R47" s="1247"/>
      <c r="S47" s="1247"/>
      <c r="T47" s="1247"/>
      <c r="U47" s="1247"/>
      <c r="V47" s="1247"/>
    </row>
    <row r="48" spans="1:47" s="1230" customFormat="1" ht="16" thickBot="1">
      <c r="A48" s="1235"/>
      <c r="B48" s="1235" t="s">
        <v>526</v>
      </c>
      <c r="C48" s="1253"/>
      <c r="D48" s="1876">
        <f>ROUND(D12+D46,2)</f>
        <v>33659.269999999997</v>
      </c>
      <c r="E48" s="1254"/>
      <c r="F48" s="1876">
        <f>ROUND(F12+F46,2)</f>
        <v>15807.4</v>
      </c>
      <c r="G48" s="1254"/>
      <c r="H48" s="1876">
        <f>ROUND(H12+H46,2)</f>
        <v>27092.65</v>
      </c>
      <c r="I48" s="1254"/>
      <c r="J48" s="1876">
        <f>ROUND(J12+J46,2)</f>
        <v>41266.86</v>
      </c>
      <c r="K48" s="1957"/>
      <c r="L48" s="1254"/>
      <c r="M48" s="1876">
        <f>ROUND(M12+M46,2)</f>
        <v>41266.86</v>
      </c>
      <c r="N48" s="1229"/>
      <c r="O48" s="1229"/>
      <c r="P48" s="1229"/>
      <c r="Q48" s="1229"/>
      <c r="R48" s="1255"/>
      <c r="S48" s="1255"/>
      <c r="T48" s="1255"/>
      <c r="U48" s="1255"/>
      <c r="V48" s="1255"/>
      <c r="W48" s="1255"/>
      <c r="X48" s="1255"/>
      <c r="Y48" s="1255"/>
      <c r="Z48" s="1255"/>
      <c r="AA48" s="1255"/>
      <c r="AB48" s="1255"/>
      <c r="AC48" s="1255"/>
      <c r="AD48" s="1255"/>
      <c r="AE48" s="1255"/>
      <c r="AF48" s="1255"/>
      <c r="AG48" s="1255"/>
      <c r="AH48" s="1255"/>
      <c r="AI48" s="1255"/>
      <c r="AJ48" s="1255"/>
      <c r="AK48" s="1255"/>
      <c r="AL48" s="1255"/>
      <c r="AM48" s="1255"/>
      <c r="AN48" s="1255"/>
      <c r="AO48" s="1255"/>
      <c r="AP48" s="1255"/>
      <c r="AQ48" s="1255"/>
      <c r="AR48" s="1255"/>
      <c r="AS48" s="1255"/>
      <c r="AT48" s="1255"/>
      <c r="AU48" s="1255"/>
    </row>
    <row r="49" spans="1:13" ht="16" thickTop="1">
      <c r="A49" s="1231"/>
      <c r="B49" s="1231" t="s">
        <v>14</v>
      </c>
      <c r="C49" s="1232"/>
      <c r="D49" s="1232"/>
      <c r="E49" s="1234"/>
      <c r="F49" s="1232"/>
      <c r="G49" s="1234"/>
      <c r="H49" s="1232"/>
      <c r="I49" s="1234"/>
      <c r="J49" s="1232"/>
      <c r="K49" s="1232"/>
      <c r="L49" s="1232"/>
      <c r="M49" s="1232"/>
    </row>
    <row r="50" spans="1:13">
      <c r="B50" s="1256" t="s">
        <v>527</v>
      </c>
    </row>
    <row r="51" spans="1:13">
      <c r="B51" s="1257"/>
    </row>
    <row r="59" spans="1:13">
      <c r="B59" s="1258"/>
      <c r="C59" s="1259"/>
      <c r="D59" s="1259"/>
      <c r="E59" s="1286"/>
      <c r="F59" s="1259"/>
      <c r="G59" s="1286"/>
      <c r="H59" s="1259"/>
      <c r="I59" s="1286"/>
      <c r="J59" s="1259"/>
      <c r="K59" s="1259"/>
      <c r="L59" s="1259"/>
    </row>
    <row r="61" spans="1:13">
      <c r="B61" s="1260"/>
      <c r="C61" s="1229"/>
    </row>
  </sheetData>
  <printOptions horizontalCentered="1"/>
  <pageMargins left="0.24" right="0.24" top="0.5" bottom="0.5" header="0.18" footer="0.25"/>
  <pageSetup scale="69"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pageSetUpPr fitToPage="1"/>
  </sheetPr>
  <dimension ref="A1:AC49"/>
  <sheetViews>
    <sheetView showGridLines="0" zoomScale="80" zoomScaleNormal="50" workbookViewId="0"/>
  </sheetViews>
  <sheetFormatPr defaultColWidth="8.84375" defaultRowHeight="12.5"/>
  <cols>
    <col min="1" max="1" width="54.84375" style="410" customWidth="1"/>
    <col min="2" max="2" width="1.84375" style="410" customWidth="1"/>
    <col min="3" max="3" width="10.84375" style="410" customWidth="1"/>
    <col min="4" max="4" width="1.84375" style="410" customWidth="1"/>
    <col min="5" max="5" width="10.84375" style="410" customWidth="1"/>
    <col min="6" max="6" width="1.84375" style="410" customWidth="1"/>
    <col min="7" max="7" width="10.84375" style="410" customWidth="1"/>
    <col min="8" max="8" width="1.84375" style="410" customWidth="1"/>
    <col min="9" max="9" width="10.84375" style="410" customWidth="1"/>
    <col min="10" max="10" width="1.84375" style="410" customWidth="1"/>
    <col min="11" max="11" width="10.84375" style="410" customWidth="1"/>
    <col min="12" max="12" width="1.84375" style="410" customWidth="1"/>
    <col min="13" max="13" width="14.84375" style="410" bestFit="1" customWidth="1"/>
    <col min="14" max="14" width="1.84375" style="410" customWidth="1"/>
    <col min="15" max="15" width="10.84375" style="410" customWidth="1"/>
    <col min="16" max="16" width="1.84375" style="410" customWidth="1"/>
    <col min="17" max="17" width="13.53515625" style="410" bestFit="1" customWidth="1"/>
    <col min="18" max="18" width="1.84375" style="410" customWidth="1"/>
    <col min="19" max="19" width="13.53515625" style="410" bestFit="1" customWidth="1"/>
    <col min="20" max="20" width="1.84375" style="410" customWidth="1"/>
    <col min="21" max="21" width="11" style="410" customWidth="1"/>
    <col min="22" max="22" width="1.84375" style="410" customWidth="1"/>
    <col min="23" max="23" width="10.84375" style="410" customWidth="1"/>
    <col min="24" max="24" width="1.84375" style="410" customWidth="1"/>
    <col min="25" max="25" width="10.84375" style="410" customWidth="1"/>
    <col min="26" max="26" width="1.84375" style="410" customWidth="1"/>
    <col min="27" max="27" width="14.07421875" style="414" customWidth="1"/>
    <col min="28" max="28" width="3.84375" style="410" customWidth="1"/>
    <col min="29" max="29" width="5.84375" style="410" customWidth="1"/>
    <col min="30" max="30" width="10.07421875" style="410" customWidth="1"/>
    <col min="31" max="31" width="2.84375" style="410" customWidth="1"/>
    <col min="32" max="16384" width="8.84375" style="410"/>
  </cols>
  <sheetData>
    <row r="1" spans="1:29" ht="15.5">
      <c r="A1" s="635" t="s">
        <v>882</v>
      </c>
    </row>
    <row r="2" spans="1:29" ht="20">
      <c r="A2" s="407"/>
      <c r="B2" s="1209"/>
      <c r="C2" s="1209"/>
      <c r="D2" s="1209"/>
      <c r="E2" s="1209"/>
      <c r="F2" s="1209"/>
      <c r="G2" s="1209"/>
      <c r="H2" s="1209"/>
      <c r="I2" s="1209"/>
      <c r="J2" s="1209"/>
      <c r="K2" s="1209"/>
      <c r="L2" s="408"/>
      <c r="M2" s="408"/>
      <c r="N2" s="1209"/>
      <c r="O2" s="1209"/>
      <c r="P2" s="1209"/>
      <c r="Q2" s="1209"/>
      <c r="R2" s="1209"/>
      <c r="S2" s="1209"/>
      <c r="T2" s="1209"/>
      <c r="U2" s="1209"/>
      <c r="V2" s="1209"/>
      <c r="W2" s="1209"/>
      <c r="X2" s="1209"/>
      <c r="Y2" s="1209"/>
      <c r="Z2" s="1209"/>
      <c r="AA2" s="1210"/>
      <c r="AB2" s="1209"/>
      <c r="AC2" s="409"/>
    </row>
    <row r="3" spans="1:29" ht="15.5">
      <c r="A3"/>
      <c r="B3" s="636"/>
      <c r="C3" s="636"/>
      <c r="D3" s="636"/>
      <c r="E3" s="636"/>
      <c r="F3" s="636"/>
      <c r="G3" s="636"/>
      <c r="H3" s="636"/>
      <c r="I3" s="636"/>
      <c r="J3" s="636"/>
      <c r="K3" s="636"/>
      <c r="L3"/>
      <c r="M3" s="636"/>
      <c r="N3" s="636"/>
      <c r="O3" s="636"/>
      <c r="P3" s="636"/>
      <c r="Q3" s="636"/>
      <c r="R3" s="636"/>
      <c r="S3" s="636"/>
      <c r="T3" s="636"/>
      <c r="U3" s="636"/>
      <c r="V3" s="636"/>
      <c r="W3" s="636"/>
      <c r="X3" s="636"/>
      <c r="Y3" s="636"/>
      <c r="Z3" s="636"/>
      <c r="AA3" s="410"/>
      <c r="AB3" s="1209"/>
      <c r="AC3" s="409"/>
    </row>
    <row r="4" spans="1:29" ht="20">
      <c r="A4" s="642" t="s">
        <v>0</v>
      </c>
      <c r="B4" s="636"/>
      <c r="C4" s="636"/>
      <c r="D4" s="636"/>
      <c r="E4" s="636"/>
      <c r="F4" s="636"/>
      <c r="G4" s="636"/>
      <c r="H4" s="636"/>
      <c r="I4" s="636"/>
      <c r="J4" s="636"/>
      <c r="K4" s="636"/>
      <c r="L4"/>
      <c r="M4" s="636"/>
      <c r="N4" s="636"/>
      <c r="O4" s="636"/>
      <c r="P4" s="636"/>
      <c r="Q4" s="636"/>
      <c r="R4" s="636"/>
      <c r="S4" s="636"/>
      <c r="T4" s="636"/>
      <c r="U4" s="636"/>
      <c r="V4" s="636"/>
      <c r="W4" s="636"/>
      <c r="X4" s="636"/>
      <c r="Y4" s="636"/>
      <c r="Z4" s="636"/>
      <c r="AA4" s="1211" t="s">
        <v>528</v>
      </c>
      <c r="AB4" s="1209"/>
      <c r="AC4" s="409"/>
    </row>
    <row r="5" spans="1:29" s="409" customFormat="1" ht="18">
      <c r="A5" s="642" t="s">
        <v>540</v>
      </c>
      <c r="B5" s="637"/>
      <c r="C5" s="637"/>
      <c r="D5" s="637"/>
      <c r="E5" s="637"/>
      <c r="F5" s="637"/>
      <c r="G5" s="637"/>
      <c r="H5" s="637"/>
      <c r="I5" s="637"/>
      <c r="J5" s="636"/>
      <c r="K5" s="636"/>
      <c r="L5" s="636"/>
      <c r="M5" s="636"/>
      <c r="N5" s="636"/>
      <c r="O5" s="636"/>
      <c r="P5" s="636"/>
      <c r="Q5" s="636"/>
      <c r="R5" s="636"/>
      <c r="S5" s="636"/>
      <c r="T5" s="636"/>
      <c r="U5" s="636"/>
      <c r="V5" s="636"/>
      <c r="W5" s="636"/>
      <c r="X5" s="636"/>
      <c r="Y5" s="636"/>
      <c r="Z5" s="636"/>
      <c r="AA5" s="636"/>
      <c r="AB5" s="1209"/>
    </row>
    <row r="6" spans="1:29" s="409" customFormat="1" ht="18">
      <c r="A6" s="224" t="str">
        <f>'Exh D-Governmental  '!A5:E5</f>
        <v>FISCAL YEAR 2021-2022</v>
      </c>
      <c r="B6" s="637"/>
      <c r="C6" s="637"/>
      <c r="D6" s="637"/>
      <c r="E6" s="637"/>
      <c r="F6" s="637"/>
      <c r="G6" s="637"/>
      <c r="H6" s="637"/>
      <c r="I6" s="637"/>
      <c r="J6" s="636"/>
      <c r="K6" s="636"/>
      <c r="L6" s="636"/>
      <c r="M6" s="636"/>
      <c r="N6" s="636"/>
      <c r="O6" s="636"/>
      <c r="P6" s="636"/>
      <c r="Q6" s="636"/>
      <c r="R6" s="636"/>
      <c r="S6" s="636"/>
      <c r="T6" s="636"/>
      <c r="U6" s="636"/>
      <c r="V6" s="636"/>
      <c r="W6" s="636"/>
      <c r="X6" s="636"/>
      <c r="Y6" s="636"/>
      <c r="Z6" s="636"/>
      <c r="AA6" s="636"/>
      <c r="AB6" s="1209"/>
    </row>
    <row r="7" spans="1:29" s="409" customFormat="1" ht="18">
      <c r="A7" s="642" t="s">
        <v>1282</v>
      </c>
      <c r="B7" s="638"/>
      <c r="C7" s="638"/>
      <c r="D7" s="638"/>
      <c r="E7" s="638"/>
      <c r="F7" s="638"/>
      <c r="G7" s="638"/>
      <c r="H7" s="638"/>
      <c r="I7" s="638"/>
      <c r="J7"/>
      <c r="K7"/>
      <c r="L7"/>
      <c r="M7"/>
      <c r="N7"/>
      <c r="O7"/>
      <c r="P7"/>
      <c r="Q7"/>
      <c r="R7" s="636"/>
      <c r="S7" s="636"/>
      <c r="T7" s="636"/>
      <c r="U7" s="636"/>
      <c r="V7" s="636"/>
      <c r="W7" s="636"/>
      <c r="X7" s="636"/>
      <c r="Y7" s="636"/>
      <c r="Z7" s="636"/>
      <c r="AA7"/>
      <c r="AB7" s="1209"/>
    </row>
    <row r="8" spans="1:29" s="409" customFormat="1" ht="15.5">
      <c r="A8" s="639"/>
      <c r="B8" s="638"/>
      <c r="C8" s="755"/>
      <c r="D8" s="755"/>
      <c r="E8" s="755"/>
      <c r="F8" s="755"/>
      <c r="G8" s="755"/>
      <c r="H8" s="755"/>
      <c r="I8" s="755"/>
      <c r="J8" s="656"/>
      <c r="K8" s="656"/>
      <c r="L8" s="656"/>
      <c r="M8" s="656"/>
      <c r="N8" s="656"/>
      <c r="O8" s="656"/>
      <c r="P8" s="656"/>
      <c r="Q8" s="656"/>
      <c r="R8" s="656"/>
      <c r="S8" s="656"/>
      <c r="T8" s="656"/>
      <c r="U8" s="656"/>
      <c r="V8" s="656"/>
      <c r="W8" s="656"/>
      <c r="X8" s="656"/>
      <c r="Y8" s="656"/>
      <c r="Z8" s="656"/>
      <c r="AA8" s="656"/>
      <c r="AB8" s="1209"/>
    </row>
    <row r="9" spans="1:29" s="409" customFormat="1" ht="15.5">
      <c r="A9" s="636"/>
      <c r="B9" s="636"/>
      <c r="C9" s="656"/>
      <c r="D9" s="656"/>
      <c r="E9" s="656"/>
      <c r="F9" s="656"/>
      <c r="G9" s="656"/>
      <c r="H9" s="656"/>
      <c r="I9" s="656"/>
      <c r="J9" s="656"/>
      <c r="K9" s="656"/>
      <c r="L9" s="656"/>
      <c r="M9" s="656"/>
      <c r="N9" s="656"/>
      <c r="O9" s="656"/>
      <c r="P9" s="656"/>
      <c r="Q9" s="656"/>
      <c r="R9" s="656"/>
      <c r="S9" s="656"/>
      <c r="T9" s="656"/>
      <c r="U9" s="656"/>
      <c r="V9" s="656"/>
      <c r="W9" s="656"/>
      <c r="X9" s="656"/>
      <c r="Y9" s="656"/>
      <c r="Z9" s="656"/>
      <c r="AA9" s="656"/>
      <c r="AB9" s="1209"/>
    </row>
    <row r="10" spans="1:29" s="409" customFormat="1" ht="18">
      <c r="A10" s="636"/>
      <c r="B10" s="655"/>
      <c r="C10" s="756">
        <v>2021</v>
      </c>
      <c r="D10" s="756" t="s">
        <v>14</v>
      </c>
      <c r="E10" s="756">
        <f>C10</f>
        <v>2021</v>
      </c>
      <c r="F10" s="756" t="s">
        <v>14</v>
      </c>
      <c r="G10" s="756">
        <f>C10</f>
        <v>2021</v>
      </c>
      <c r="H10" s="756" t="s">
        <v>14</v>
      </c>
      <c r="I10" s="756">
        <f>C10</f>
        <v>2021</v>
      </c>
      <c r="J10" s="756" t="s">
        <v>14</v>
      </c>
      <c r="K10" s="756">
        <f>E10</f>
        <v>2021</v>
      </c>
      <c r="L10" s="756" t="s">
        <v>14</v>
      </c>
      <c r="M10" s="756">
        <f>G10</f>
        <v>2021</v>
      </c>
      <c r="N10" s="756" t="s">
        <v>14</v>
      </c>
      <c r="O10" s="756">
        <f>I10</f>
        <v>2021</v>
      </c>
      <c r="P10" s="756" t="s">
        <v>14</v>
      </c>
      <c r="Q10" s="756">
        <f>K10</f>
        <v>2021</v>
      </c>
      <c r="R10" s="756" t="s">
        <v>14</v>
      </c>
      <c r="S10" s="756">
        <f>M10</f>
        <v>2021</v>
      </c>
      <c r="T10" s="756"/>
      <c r="U10" s="756">
        <v>2022</v>
      </c>
      <c r="V10" s="756"/>
      <c r="W10" s="756">
        <f>U10</f>
        <v>2022</v>
      </c>
      <c r="X10" s="756"/>
      <c r="Y10" s="756">
        <f>W10</f>
        <v>2022</v>
      </c>
      <c r="Z10" s="642"/>
      <c r="AA10" s="757" t="str">
        <f>'Medicaid Disp Share'!M10</f>
        <v>2021-2022</v>
      </c>
      <c r="AB10" s="1212"/>
    </row>
    <row r="11" spans="1:29" s="409" customFormat="1" ht="18">
      <c r="A11" s="636"/>
      <c r="B11" s="655"/>
      <c r="C11" s="2137" t="s">
        <v>123</v>
      </c>
      <c r="D11" s="757"/>
      <c r="E11" s="2137" t="s">
        <v>124</v>
      </c>
      <c r="F11" s="757"/>
      <c r="G11" s="2137" t="s">
        <v>125</v>
      </c>
      <c r="H11" s="757"/>
      <c r="I11" s="2137" t="s">
        <v>126</v>
      </c>
      <c r="J11" s="757"/>
      <c r="K11" s="2137" t="s">
        <v>127</v>
      </c>
      <c r="L11" s="757"/>
      <c r="M11" s="2137" t="s">
        <v>142</v>
      </c>
      <c r="N11" s="757"/>
      <c r="O11" s="2137" t="s">
        <v>143</v>
      </c>
      <c r="P11" s="757"/>
      <c r="Q11" s="2137" t="s">
        <v>130</v>
      </c>
      <c r="R11" s="757"/>
      <c r="S11" s="2137" t="s">
        <v>131</v>
      </c>
      <c r="T11" s="757"/>
      <c r="U11" s="2137" t="s">
        <v>132</v>
      </c>
      <c r="V11" s="757"/>
      <c r="W11" s="2137" t="s">
        <v>133</v>
      </c>
      <c r="X11" s="757"/>
      <c r="Y11" s="2137" t="s">
        <v>184</v>
      </c>
      <c r="Z11" s="642"/>
      <c r="AA11" s="2137" t="s">
        <v>541</v>
      </c>
      <c r="AB11" s="1209"/>
    </row>
    <row r="12" spans="1:29" s="409" customFormat="1" ht="17.5">
      <c r="A12"/>
      <c r="B12" s="655"/>
      <c r="C12" s="655"/>
      <c r="D12" s="655"/>
      <c r="E12" s="655"/>
      <c r="F12" s="655"/>
      <c r="G12" s="655"/>
      <c r="H12" s="655"/>
      <c r="I12" s="655"/>
      <c r="J12" s="655"/>
      <c r="K12" s="655"/>
      <c r="L12" s="655"/>
      <c r="M12" s="655"/>
      <c r="N12" s="655"/>
      <c r="O12" s="655"/>
      <c r="P12" s="655"/>
      <c r="Q12" s="655"/>
      <c r="R12" s="655"/>
      <c r="S12" s="655"/>
      <c r="T12" s="655"/>
      <c r="U12" s="655"/>
      <c r="V12" s="655"/>
      <c r="W12" s="655"/>
      <c r="X12" s="655"/>
      <c r="Y12" s="655"/>
      <c r="Z12" s="655"/>
      <c r="AA12" s="655"/>
      <c r="AB12" s="1865"/>
      <c r="AC12" s="1866"/>
    </row>
    <row r="13" spans="1:29" s="411" customFormat="1" ht="17.5">
      <c r="A13" s="656" t="s">
        <v>542</v>
      </c>
      <c r="B13" s="655"/>
      <c r="C13" s="655"/>
      <c r="D13" s="655"/>
      <c r="E13" s="655"/>
      <c r="F13" s="655"/>
      <c r="G13" s="655"/>
      <c r="H13" s="655"/>
      <c r="I13" s="655"/>
      <c r="J13" s="655"/>
      <c r="K13" s="655"/>
      <c r="L13" s="655"/>
      <c r="M13" s="655"/>
      <c r="N13" s="655"/>
      <c r="O13" s="655"/>
      <c r="P13" s="655"/>
      <c r="Q13" s="655"/>
      <c r="R13" s="655"/>
      <c r="S13" s="655"/>
      <c r="T13" s="655"/>
      <c r="U13" s="655"/>
      <c r="V13" s="655"/>
      <c r="W13" s="655"/>
      <c r="X13" s="655"/>
      <c r="Y13" s="655"/>
      <c r="Z13" s="655"/>
      <c r="AA13" s="655"/>
      <c r="AB13" s="1865"/>
      <c r="AC13" s="1867"/>
    </row>
    <row r="14" spans="1:29" s="411" customFormat="1" ht="17.5">
      <c r="A14" s="636" t="s">
        <v>543</v>
      </c>
      <c r="B14" s="655"/>
      <c r="C14" s="780">
        <v>0</v>
      </c>
      <c r="D14" s="780"/>
      <c r="E14" s="780">
        <v>0</v>
      </c>
      <c r="F14" s="780"/>
      <c r="G14" s="2148">
        <v>0</v>
      </c>
      <c r="H14" s="780"/>
      <c r="I14" s="3729">
        <v>0</v>
      </c>
      <c r="J14" s="781"/>
      <c r="K14" s="2148">
        <v>0</v>
      </c>
      <c r="L14" s="780"/>
      <c r="M14" s="2148">
        <v>7</v>
      </c>
      <c r="N14" s="781"/>
      <c r="O14" s="2148"/>
      <c r="P14" s="781"/>
      <c r="Q14" s="2148"/>
      <c r="R14" s="781"/>
      <c r="S14" s="2148"/>
      <c r="T14" s="781"/>
      <c r="U14" s="2148"/>
      <c r="V14" s="781"/>
      <c r="W14" s="2148"/>
      <c r="X14" s="781"/>
      <c r="Y14" s="2148"/>
      <c r="Z14" s="655"/>
      <c r="AA14" s="2978">
        <f>ROUND(SUM(C14:Z14),0)</f>
        <v>7</v>
      </c>
      <c r="AB14" s="1865"/>
      <c r="AC14" s="1867"/>
    </row>
    <row r="15" spans="1:29" s="411" customFormat="1" ht="17.5">
      <c r="A15" s="636" t="s">
        <v>544</v>
      </c>
      <c r="B15" s="655"/>
      <c r="C15" s="782">
        <v>34</v>
      </c>
      <c r="D15" s="783"/>
      <c r="E15" s="783">
        <v>2058</v>
      </c>
      <c r="F15" s="783"/>
      <c r="G15" s="786">
        <v>1281</v>
      </c>
      <c r="H15" s="783"/>
      <c r="I15" s="3730">
        <v>0</v>
      </c>
      <c r="J15" s="784"/>
      <c r="K15" s="786">
        <v>192</v>
      </c>
      <c r="L15" s="783"/>
      <c r="M15" s="786">
        <v>0</v>
      </c>
      <c r="N15" s="784"/>
      <c r="O15" s="786"/>
      <c r="P15" s="784"/>
      <c r="Q15" s="786"/>
      <c r="R15" s="784"/>
      <c r="S15" s="786"/>
      <c r="T15" s="784"/>
      <c r="U15" s="786"/>
      <c r="V15" s="784"/>
      <c r="W15" s="786"/>
      <c r="X15" s="784"/>
      <c r="Y15" s="786"/>
      <c r="Z15" s="655"/>
      <c r="AA15" s="1461">
        <f t="shared" ref="AA15:AA24" si="0">ROUND(SUM(C15:Z15),0)</f>
        <v>3565</v>
      </c>
      <c r="AB15" s="1865"/>
      <c r="AC15" s="1867"/>
    </row>
    <row r="16" spans="1:29" s="411" customFormat="1" ht="17.5">
      <c r="A16" s="636" t="s">
        <v>545</v>
      </c>
      <c r="B16" s="655"/>
      <c r="C16" s="782">
        <v>0</v>
      </c>
      <c r="D16" s="783"/>
      <c r="E16" s="783">
        <v>0</v>
      </c>
      <c r="F16" s="783"/>
      <c r="G16" s="786">
        <v>0</v>
      </c>
      <c r="H16" s="783"/>
      <c r="I16" s="3730">
        <v>0</v>
      </c>
      <c r="J16" s="784"/>
      <c r="K16" s="786">
        <v>0</v>
      </c>
      <c r="L16" s="783"/>
      <c r="M16" s="786">
        <v>0</v>
      </c>
      <c r="N16" s="784"/>
      <c r="O16" s="786"/>
      <c r="P16" s="784"/>
      <c r="Q16" s="786"/>
      <c r="R16" s="784"/>
      <c r="S16" s="786"/>
      <c r="T16" s="784"/>
      <c r="U16" s="786"/>
      <c r="V16" s="784"/>
      <c r="W16" s="786"/>
      <c r="X16" s="784"/>
      <c r="Y16" s="786"/>
      <c r="Z16" s="655"/>
      <c r="AA16" s="1461">
        <f t="shared" si="0"/>
        <v>0</v>
      </c>
      <c r="AB16" s="1213"/>
      <c r="AC16" s="1867"/>
    </row>
    <row r="17" spans="1:29" s="411" customFormat="1" ht="17.5">
      <c r="A17" s="636" t="s">
        <v>906</v>
      </c>
      <c r="B17" s="655"/>
      <c r="C17" s="786">
        <v>0</v>
      </c>
      <c r="D17" s="783"/>
      <c r="E17" s="785">
        <v>0</v>
      </c>
      <c r="F17" s="783"/>
      <c r="G17" s="785">
        <v>0</v>
      </c>
      <c r="H17" s="783"/>
      <c r="I17" s="3731">
        <v>70</v>
      </c>
      <c r="J17" s="784"/>
      <c r="K17" s="785">
        <v>0</v>
      </c>
      <c r="L17" s="783"/>
      <c r="M17" s="785">
        <v>0</v>
      </c>
      <c r="N17" s="784"/>
      <c r="O17" s="785"/>
      <c r="P17" s="784"/>
      <c r="Q17" s="785"/>
      <c r="R17" s="784"/>
      <c r="S17" s="785"/>
      <c r="T17" s="784"/>
      <c r="U17" s="785"/>
      <c r="V17" s="784"/>
      <c r="W17" s="785"/>
      <c r="X17" s="784"/>
      <c r="Y17" s="785"/>
      <c r="Z17" s="655"/>
      <c r="AA17" s="1461">
        <f t="shared" si="0"/>
        <v>70</v>
      </c>
      <c r="AB17" s="1213"/>
      <c r="AC17" s="1867"/>
    </row>
    <row r="18" spans="1:29" s="411" customFormat="1" ht="17.5">
      <c r="A18" s="636" t="s">
        <v>546</v>
      </c>
      <c r="B18" s="655"/>
      <c r="C18" s="783"/>
      <c r="D18" s="783"/>
      <c r="E18" s="787"/>
      <c r="F18" s="783"/>
      <c r="G18" s="787"/>
      <c r="H18" s="783"/>
      <c r="I18" s="3732"/>
      <c r="J18" s="784"/>
      <c r="K18" s="787"/>
      <c r="L18" s="783"/>
      <c r="M18" s="787"/>
      <c r="N18" s="784"/>
      <c r="O18" s="787"/>
      <c r="P18" s="784"/>
      <c r="Q18" s="787"/>
      <c r="R18" s="784"/>
      <c r="S18" s="787"/>
      <c r="T18" s="784"/>
      <c r="U18" s="787"/>
      <c r="V18" s="784"/>
      <c r="W18" s="787"/>
      <c r="X18" s="784"/>
      <c r="Y18" s="787"/>
      <c r="Z18" s="655"/>
      <c r="AA18" s="1461"/>
      <c r="AB18" s="1213"/>
      <c r="AC18" s="1867"/>
    </row>
    <row r="19" spans="1:29" s="411" customFormat="1" ht="17.5">
      <c r="A19" s="636" t="s">
        <v>912</v>
      </c>
      <c r="B19" s="655"/>
      <c r="C19" s="782">
        <v>70</v>
      </c>
      <c r="D19" s="783"/>
      <c r="E19" s="783">
        <v>181</v>
      </c>
      <c r="F19" s="783"/>
      <c r="G19" s="786">
        <v>554</v>
      </c>
      <c r="H19" s="783"/>
      <c r="I19" s="3730">
        <v>125</v>
      </c>
      <c r="J19" s="784"/>
      <c r="K19" s="786">
        <v>411</v>
      </c>
      <c r="L19" s="783"/>
      <c r="M19" s="786">
        <v>543</v>
      </c>
      <c r="N19" s="784"/>
      <c r="O19" s="786"/>
      <c r="P19" s="784"/>
      <c r="Q19" s="786"/>
      <c r="R19" s="784"/>
      <c r="S19" s="786"/>
      <c r="T19" s="784"/>
      <c r="U19" s="786"/>
      <c r="V19" s="784"/>
      <c r="W19" s="786"/>
      <c r="X19" s="784"/>
      <c r="Y19" s="786"/>
      <c r="Z19" s="655"/>
      <c r="AA19" s="1461">
        <f t="shared" si="0"/>
        <v>1884</v>
      </c>
      <c r="AB19" s="1213"/>
      <c r="AC19" s="1867"/>
    </row>
    <row r="20" spans="1:29" s="411" customFormat="1" ht="17.5">
      <c r="A20" s="636" t="s">
        <v>547</v>
      </c>
      <c r="B20" s="655"/>
      <c r="C20" s="782">
        <v>0</v>
      </c>
      <c r="D20" s="783"/>
      <c r="E20" s="783">
        <v>0</v>
      </c>
      <c r="F20" s="783"/>
      <c r="G20" s="786">
        <v>0</v>
      </c>
      <c r="H20" s="783"/>
      <c r="I20" s="3730">
        <v>0</v>
      </c>
      <c r="J20" s="784"/>
      <c r="K20" s="786">
        <v>0</v>
      </c>
      <c r="L20" s="783"/>
      <c r="M20" s="786">
        <v>0</v>
      </c>
      <c r="N20" s="784"/>
      <c r="O20" s="786"/>
      <c r="P20" s="784"/>
      <c r="Q20" s="786"/>
      <c r="R20" s="784"/>
      <c r="S20" s="786"/>
      <c r="T20" s="784"/>
      <c r="U20" s="786"/>
      <c r="V20" s="784"/>
      <c r="W20" s="786"/>
      <c r="X20" s="784"/>
      <c r="Y20" s="786"/>
      <c r="Z20" s="655"/>
      <c r="AA20" s="1461">
        <f t="shared" si="0"/>
        <v>0</v>
      </c>
      <c r="AB20" s="1213"/>
      <c r="AC20" s="1867"/>
    </row>
    <row r="21" spans="1:29" s="411" customFormat="1" ht="17.5">
      <c r="A21" s="636" t="s">
        <v>548</v>
      </c>
      <c r="B21" s="655"/>
      <c r="C21" s="782">
        <v>0</v>
      </c>
      <c r="D21" s="783"/>
      <c r="E21" s="783">
        <v>0</v>
      </c>
      <c r="F21" s="783"/>
      <c r="G21" s="786">
        <v>0</v>
      </c>
      <c r="H21" s="783"/>
      <c r="I21" s="3730">
        <v>0</v>
      </c>
      <c r="J21" s="784"/>
      <c r="K21" s="786">
        <v>0</v>
      </c>
      <c r="L21" s="783"/>
      <c r="M21" s="786">
        <v>0</v>
      </c>
      <c r="N21" s="784"/>
      <c r="O21" s="786"/>
      <c r="P21" s="784"/>
      <c r="Q21" s="786"/>
      <c r="R21" s="784"/>
      <c r="S21" s="786"/>
      <c r="T21" s="784"/>
      <c r="U21" s="786"/>
      <c r="V21" s="784"/>
      <c r="W21" s="786"/>
      <c r="X21" s="784"/>
      <c r="Y21" s="786"/>
      <c r="Z21" s="655"/>
      <c r="AA21" s="1461">
        <f t="shared" si="0"/>
        <v>0</v>
      </c>
      <c r="AB21" s="1213"/>
      <c r="AC21" s="1867"/>
    </row>
    <row r="22" spans="1:29" s="411" customFormat="1" ht="17.5">
      <c r="A22" s="636" t="s">
        <v>549</v>
      </c>
      <c r="B22" s="655"/>
      <c r="C22" s="782">
        <v>0</v>
      </c>
      <c r="D22" s="783"/>
      <c r="E22" s="783">
        <v>0</v>
      </c>
      <c r="F22" s="783"/>
      <c r="G22" s="786">
        <v>0</v>
      </c>
      <c r="H22" s="783"/>
      <c r="I22" s="3730">
        <v>0</v>
      </c>
      <c r="J22" s="784"/>
      <c r="K22" s="786">
        <v>0</v>
      </c>
      <c r="L22" s="783"/>
      <c r="M22" s="786">
        <v>0</v>
      </c>
      <c r="N22" s="784"/>
      <c r="O22" s="786"/>
      <c r="P22" s="784"/>
      <c r="Q22" s="786"/>
      <c r="R22" s="784"/>
      <c r="S22" s="786"/>
      <c r="T22" s="784"/>
      <c r="U22" s="786"/>
      <c r="V22" s="784"/>
      <c r="W22" s="786"/>
      <c r="X22" s="784"/>
      <c r="Y22" s="786"/>
      <c r="Z22" s="655"/>
      <c r="AA22" s="1461">
        <f t="shared" si="0"/>
        <v>0</v>
      </c>
      <c r="AB22" s="1213"/>
      <c r="AC22" s="1867"/>
    </row>
    <row r="23" spans="1:29" s="411" customFormat="1" ht="17.5">
      <c r="A23" s="636" t="s">
        <v>550</v>
      </c>
      <c r="B23" s="655"/>
      <c r="C23" s="782">
        <v>0</v>
      </c>
      <c r="D23" s="783"/>
      <c r="E23" s="783">
        <v>0</v>
      </c>
      <c r="F23" s="783"/>
      <c r="G23" s="786">
        <v>0</v>
      </c>
      <c r="H23" s="783"/>
      <c r="I23" s="3730">
        <v>0</v>
      </c>
      <c r="J23" s="784"/>
      <c r="K23" s="786">
        <v>0</v>
      </c>
      <c r="L23" s="783"/>
      <c r="M23" s="786">
        <v>0</v>
      </c>
      <c r="N23" s="784"/>
      <c r="O23" s="786"/>
      <c r="P23" s="784"/>
      <c r="Q23" s="786"/>
      <c r="R23" s="784"/>
      <c r="S23" s="786"/>
      <c r="T23" s="784"/>
      <c r="U23" s="786"/>
      <c r="V23" s="784"/>
      <c r="W23" s="786"/>
      <c r="X23" s="784"/>
      <c r="Y23" s="786"/>
      <c r="Z23" s="655"/>
      <c r="AA23" s="1461">
        <f>ROUND(SUM(C23:Z23),0)</f>
        <v>0</v>
      </c>
      <c r="AB23" s="1213"/>
      <c r="AC23" s="1867"/>
    </row>
    <row r="24" spans="1:29" s="411" customFormat="1" ht="17.5">
      <c r="A24" s="636" t="s">
        <v>551</v>
      </c>
      <c r="B24" s="655"/>
      <c r="C24" s="783">
        <v>21</v>
      </c>
      <c r="D24" s="783"/>
      <c r="E24" s="783">
        <v>0</v>
      </c>
      <c r="F24" s="783"/>
      <c r="G24" s="782">
        <v>42</v>
      </c>
      <c r="H24" s="783"/>
      <c r="I24" s="3730">
        <v>0</v>
      </c>
      <c r="J24" s="784"/>
      <c r="K24" s="786">
        <v>0</v>
      </c>
      <c r="L24" s="783"/>
      <c r="M24" s="786">
        <v>0</v>
      </c>
      <c r="N24" s="784"/>
      <c r="O24" s="786"/>
      <c r="P24" s="784"/>
      <c r="Q24" s="786"/>
      <c r="R24" s="784"/>
      <c r="S24" s="786"/>
      <c r="T24" s="784"/>
      <c r="U24" s="786"/>
      <c r="V24" s="784"/>
      <c r="W24" s="786"/>
      <c r="X24" s="784"/>
      <c r="Y24" s="786"/>
      <c r="Z24" s="655"/>
      <c r="AA24" s="1461">
        <f t="shared" si="0"/>
        <v>63</v>
      </c>
      <c r="AB24" s="1213"/>
      <c r="AC24" s="1867"/>
    </row>
    <row r="25" spans="1:29" s="411" customFormat="1" ht="17.5">
      <c r="A25" s="656" t="s">
        <v>801</v>
      </c>
      <c r="B25" s="655"/>
      <c r="C25" s="2139">
        <f>ROUND(SUM(C14:C24),0)</f>
        <v>125</v>
      </c>
      <c r="D25" s="636"/>
      <c r="E25" s="2139">
        <f>ROUND(SUM(E14:E24),0)</f>
        <v>2239</v>
      </c>
      <c r="F25" s="636"/>
      <c r="G25" s="2139">
        <f>ROUND(SUM(G14:G24),0)</f>
        <v>1877</v>
      </c>
      <c r="H25" s="636"/>
      <c r="I25" s="3733">
        <f>ROUND(SUM(I14:I24),0)</f>
        <v>195</v>
      </c>
      <c r="J25" s="636"/>
      <c r="K25" s="2139">
        <f>ROUND(SUM(K14:K24),0)</f>
        <v>603</v>
      </c>
      <c r="L25" s="636"/>
      <c r="M25" s="2139">
        <f>ROUND(SUM(M14:M24),0)</f>
        <v>550</v>
      </c>
      <c r="N25" s="636"/>
      <c r="O25" s="2139">
        <f>ROUND(SUM(O14:O24),0)</f>
        <v>0</v>
      </c>
      <c r="P25" s="636"/>
      <c r="Q25" s="2139">
        <f>ROUND(SUM(Q14:Q24),0)</f>
        <v>0</v>
      </c>
      <c r="R25" s="636"/>
      <c r="S25" s="2139">
        <f>ROUND(SUM(S14:S24),0)</f>
        <v>0</v>
      </c>
      <c r="T25" s="636"/>
      <c r="U25" s="2139">
        <f>ROUND(SUM(U14:U24),0)</f>
        <v>0</v>
      </c>
      <c r="V25" s="636"/>
      <c r="W25" s="2139">
        <f>ROUND(SUM(W14:W24),0)</f>
        <v>0</v>
      </c>
      <c r="X25" s="636"/>
      <c r="Y25" s="2139">
        <f>ROUND(SUM(Y14:Y24),0)</f>
        <v>0</v>
      </c>
      <c r="Z25" s="636"/>
      <c r="AA25" s="2979">
        <f>ROUND(SUM(AA14:AA24),0)</f>
        <v>5589</v>
      </c>
      <c r="AB25" s="1213"/>
      <c r="AC25" s="1867"/>
    </row>
    <row r="26" spans="1:29" s="411" customFormat="1" ht="17.5">
      <c r="A26"/>
      <c r="B26" s="655"/>
      <c r="C26" s="655"/>
      <c r="D26" s="655"/>
      <c r="E26" s="655"/>
      <c r="F26" s="655"/>
      <c r="G26" s="655"/>
      <c r="H26" s="655"/>
      <c r="I26" s="3734"/>
      <c r="J26" s="655"/>
      <c r="K26" s="655"/>
      <c r="L26" s="655"/>
      <c r="M26" s="655"/>
      <c r="N26" s="655"/>
      <c r="O26" s="655"/>
      <c r="P26" s="655"/>
      <c r="Q26" s="655"/>
      <c r="R26" s="655"/>
      <c r="S26" s="655"/>
      <c r="T26" s="655"/>
      <c r="U26" s="655"/>
      <c r="V26" s="655"/>
      <c r="W26" s="655"/>
      <c r="X26" s="655"/>
      <c r="Y26" s="655"/>
      <c r="Z26" s="655"/>
      <c r="AA26" s="798"/>
      <c r="AB26" s="1213"/>
      <c r="AC26" s="1867"/>
    </row>
    <row r="27" spans="1:29" s="411" customFormat="1" ht="17.5">
      <c r="A27" s="636"/>
      <c r="B27" s="655"/>
      <c r="C27" s="655"/>
      <c r="D27" s="655"/>
      <c r="E27" s="655"/>
      <c r="F27" s="655"/>
      <c r="G27" s="655"/>
      <c r="H27" s="655"/>
      <c r="I27" s="3734"/>
      <c r="J27" s="655"/>
      <c r="K27" s="655"/>
      <c r="L27" s="655"/>
      <c r="M27" s="655"/>
      <c r="N27" s="655"/>
      <c r="O27" s="655"/>
      <c r="P27" s="655"/>
      <c r="Q27" s="655"/>
      <c r="R27" s="655"/>
      <c r="S27" s="655"/>
      <c r="T27" s="655"/>
      <c r="U27" s="655"/>
      <c r="V27" s="655"/>
      <c r="W27" s="655"/>
      <c r="X27" s="655"/>
      <c r="Y27" s="655"/>
      <c r="Z27" s="655"/>
      <c r="AA27" s="798"/>
      <c r="AB27" s="1213"/>
      <c r="AC27" s="1867"/>
    </row>
    <row r="28" spans="1:29" s="411" customFormat="1" ht="17.5">
      <c r="A28" s="656" t="s">
        <v>552</v>
      </c>
      <c r="B28" s="655"/>
      <c r="C28" s="655"/>
      <c r="D28" s="655"/>
      <c r="E28" s="655"/>
      <c r="F28" s="655"/>
      <c r="G28" s="655"/>
      <c r="H28" s="655"/>
      <c r="I28" s="3734"/>
      <c r="J28" s="655"/>
      <c r="K28" s="655"/>
      <c r="L28" s="655"/>
      <c r="M28" s="655"/>
      <c r="N28" s="655"/>
      <c r="O28" s="655"/>
      <c r="P28" s="655"/>
      <c r="Q28" s="655"/>
      <c r="R28" s="655"/>
      <c r="S28" s="655"/>
      <c r="T28" s="655"/>
      <c r="U28" s="655"/>
      <c r="V28" s="655"/>
      <c r="W28" s="655"/>
      <c r="X28" s="655"/>
      <c r="Y28" s="655"/>
      <c r="Z28" s="655"/>
      <c r="AA28" s="798"/>
      <c r="AB28" s="1213"/>
      <c r="AC28" s="1867"/>
    </row>
    <row r="29" spans="1:29" s="411" customFormat="1" ht="17.5">
      <c r="A29" s="636" t="s">
        <v>546</v>
      </c>
      <c r="B29" s="655"/>
      <c r="C29" s="655"/>
      <c r="D29" s="655"/>
      <c r="E29" s="655"/>
      <c r="F29" s="655"/>
      <c r="G29" s="655"/>
      <c r="H29" s="655"/>
      <c r="I29" s="3734"/>
      <c r="J29" s="655"/>
      <c r="K29" s="655"/>
      <c r="L29" s="655"/>
      <c r="M29" s="655"/>
      <c r="N29" s="655"/>
      <c r="O29" s="655"/>
      <c r="P29" s="655"/>
      <c r="Q29" s="655"/>
      <c r="R29" s="655"/>
      <c r="S29" s="655"/>
      <c r="T29" s="655"/>
      <c r="U29" s="655"/>
      <c r="V29" s="655"/>
      <c r="W29" s="655"/>
      <c r="X29" s="655"/>
      <c r="Y29" s="655"/>
      <c r="Z29" s="655"/>
      <c r="AA29" s="798"/>
      <c r="AB29" s="1213"/>
      <c r="AC29" s="1867"/>
    </row>
    <row r="30" spans="1:29" s="411" customFormat="1" ht="17.5">
      <c r="A30" s="636" t="s">
        <v>553</v>
      </c>
      <c r="B30" s="655"/>
      <c r="C30" s="785">
        <v>0</v>
      </c>
      <c r="D30" s="783"/>
      <c r="E30" s="785">
        <v>0</v>
      </c>
      <c r="F30" s="783"/>
      <c r="G30" s="785">
        <v>0</v>
      </c>
      <c r="H30" s="783"/>
      <c r="I30" s="3731">
        <v>0</v>
      </c>
      <c r="J30" s="784"/>
      <c r="K30" s="785">
        <v>0</v>
      </c>
      <c r="L30" s="783">
        <v>0</v>
      </c>
      <c r="M30" s="785">
        <v>0</v>
      </c>
      <c r="N30" s="784"/>
      <c r="O30" s="785"/>
      <c r="P30" s="784"/>
      <c r="Q30" s="785"/>
      <c r="R30" s="784"/>
      <c r="S30" s="785"/>
      <c r="T30" s="784"/>
      <c r="U30" s="785"/>
      <c r="V30" s="784"/>
      <c r="W30" s="785"/>
      <c r="X30" s="784"/>
      <c r="Y30" s="785"/>
      <c r="Z30" s="655"/>
      <c r="AA30" s="1461">
        <f>ROUND(SUM(C30:Z30),0)</f>
        <v>0</v>
      </c>
      <c r="AB30" s="1213"/>
      <c r="AC30" s="1867"/>
    </row>
    <row r="31" spans="1:29" s="411" customFormat="1" ht="17.5">
      <c r="A31" s="636" t="s">
        <v>1108</v>
      </c>
      <c r="B31" s="655"/>
      <c r="C31" s="783">
        <v>0</v>
      </c>
      <c r="D31" s="783"/>
      <c r="E31" s="785">
        <v>0</v>
      </c>
      <c r="F31" s="783"/>
      <c r="G31" s="785">
        <v>0</v>
      </c>
      <c r="H31" s="783"/>
      <c r="I31" s="3731">
        <v>0</v>
      </c>
      <c r="J31" s="784"/>
      <c r="K31" s="785">
        <v>0</v>
      </c>
      <c r="L31" s="783"/>
      <c r="M31" s="785">
        <v>0</v>
      </c>
      <c r="N31" s="784"/>
      <c r="O31" s="785"/>
      <c r="P31" s="784"/>
      <c r="Q31" s="785"/>
      <c r="R31" s="784"/>
      <c r="S31" s="785"/>
      <c r="T31" s="784"/>
      <c r="U31" s="785"/>
      <c r="V31" s="784"/>
      <c r="W31" s="785"/>
      <c r="X31" s="784"/>
      <c r="Y31" s="785"/>
      <c r="Z31" s="655"/>
      <c r="AA31" s="1461">
        <f>ROUND(SUM(C31:Z31),0)</f>
        <v>0</v>
      </c>
      <c r="AB31" s="1213"/>
      <c r="AC31" s="1867"/>
    </row>
    <row r="32" spans="1:29" s="411" customFormat="1" ht="17.5">
      <c r="A32" s="636" t="s">
        <v>554</v>
      </c>
      <c r="B32" s="655"/>
      <c r="C32" s="785">
        <v>0</v>
      </c>
      <c r="D32" s="783"/>
      <c r="E32" s="785">
        <v>0</v>
      </c>
      <c r="F32" s="783"/>
      <c r="G32" s="785">
        <v>0</v>
      </c>
      <c r="H32" s="783"/>
      <c r="I32" s="3731">
        <v>0</v>
      </c>
      <c r="J32" s="784"/>
      <c r="K32" s="785">
        <v>0</v>
      </c>
      <c r="L32" s="783"/>
      <c r="M32" s="785">
        <v>0</v>
      </c>
      <c r="N32" s="784"/>
      <c r="O32" s="785"/>
      <c r="P32" s="784"/>
      <c r="Q32" s="785"/>
      <c r="R32" s="784"/>
      <c r="S32" s="785"/>
      <c r="T32" s="784"/>
      <c r="U32" s="785"/>
      <c r="V32" s="784"/>
      <c r="W32" s="785"/>
      <c r="X32" s="784"/>
      <c r="Y32" s="785"/>
      <c r="Z32" s="655"/>
      <c r="AA32" s="1461">
        <f>ROUND(SUM(C32:Z32),0)</f>
        <v>0</v>
      </c>
      <c r="AB32" s="1213"/>
      <c r="AC32" s="1867"/>
    </row>
    <row r="33" spans="1:29" s="411" customFormat="1" ht="17.5">
      <c r="A33" s="636" t="s">
        <v>906</v>
      </c>
      <c r="B33" s="655"/>
      <c r="C33" s="785">
        <v>0</v>
      </c>
      <c r="D33" s="783"/>
      <c r="E33" s="785">
        <v>0</v>
      </c>
      <c r="F33" s="788"/>
      <c r="G33" s="785">
        <v>0</v>
      </c>
      <c r="H33" s="788"/>
      <c r="I33" s="3731">
        <v>0</v>
      </c>
      <c r="J33" s="789"/>
      <c r="K33" s="785">
        <v>0</v>
      </c>
      <c r="L33" s="788"/>
      <c r="M33" s="785">
        <v>0</v>
      </c>
      <c r="N33" s="789"/>
      <c r="O33" s="785"/>
      <c r="P33" s="789"/>
      <c r="Q33" s="785"/>
      <c r="R33" s="789"/>
      <c r="S33" s="785"/>
      <c r="T33" s="789"/>
      <c r="U33" s="785"/>
      <c r="V33" s="789"/>
      <c r="W33" s="785"/>
      <c r="X33" s="789"/>
      <c r="Y33" s="785"/>
      <c r="Z33" s="655"/>
      <c r="AA33" s="1461">
        <f>ROUND(SUM(C33:Z33),0)</f>
        <v>0</v>
      </c>
      <c r="AB33" s="1213"/>
      <c r="AC33" s="1867"/>
    </row>
    <row r="34" spans="1:29" s="409" customFormat="1" ht="17.5">
      <c r="A34" s="636" t="s">
        <v>555</v>
      </c>
      <c r="B34" s="655"/>
      <c r="C34" s="2138">
        <v>0</v>
      </c>
      <c r="D34" s="783"/>
      <c r="E34" s="2138">
        <v>0</v>
      </c>
      <c r="F34" s="783"/>
      <c r="G34" s="2138">
        <v>0</v>
      </c>
      <c r="H34" s="783"/>
      <c r="I34" s="3735">
        <v>0</v>
      </c>
      <c r="J34" s="784"/>
      <c r="K34" s="2138">
        <v>0</v>
      </c>
      <c r="L34" s="783"/>
      <c r="M34" s="2138">
        <v>0</v>
      </c>
      <c r="N34" s="784"/>
      <c r="O34" s="2138"/>
      <c r="P34" s="784"/>
      <c r="Q34" s="2138"/>
      <c r="R34" s="784"/>
      <c r="S34" s="2138"/>
      <c r="T34" s="784"/>
      <c r="U34" s="2138"/>
      <c r="V34" s="784"/>
      <c r="W34" s="2138"/>
      <c r="X34" s="784"/>
      <c r="Y34" s="2138"/>
      <c r="Z34" s="655"/>
      <c r="AA34" s="1461">
        <f>ROUND(SUM(C34:Z34),0)</f>
        <v>0</v>
      </c>
      <c r="AB34" s="1214"/>
      <c r="AC34" s="1868"/>
    </row>
    <row r="35" spans="1:29" s="409" customFormat="1" ht="17.5">
      <c r="A35" s="656" t="s">
        <v>800</v>
      </c>
      <c r="B35" s="655"/>
      <c r="C35" s="2139">
        <f>ROUND(SUM(C30:C34),0)</f>
        <v>0</v>
      </c>
      <c r="D35" s="636"/>
      <c r="E35" s="2139">
        <f>ROUND(SUM(E30:E34),0)</f>
        <v>0</v>
      </c>
      <c r="F35" s="636"/>
      <c r="G35" s="2139">
        <f>ROUND(SUM(G30:G34),0)</f>
        <v>0</v>
      </c>
      <c r="H35" s="636"/>
      <c r="I35" s="2139">
        <f>ROUND(SUM(I30:I34),0)</f>
        <v>0</v>
      </c>
      <c r="J35" s="636"/>
      <c r="K35" s="2139">
        <f>ROUND(SUM(K30:K34),0)</f>
        <v>0</v>
      </c>
      <c r="L35" s="636"/>
      <c r="M35" s="2139">
        <f>ROUND(SUM(M30:M34),0)</f>
        <v>0</v>
      </c>
      <c r="N35" s="636"/>
      <c r="O35" s="2139">
        <f>ROUND(SUM(O30:O34),0)</f>
        <v>0</v>
      </c>
      <c r="P35" s="636"/>
      <c r="Q35" s="2139">
        <f>ROUND(SUM(Q30:Q34),0)</f>
        <v>0</v>
      </c>
      <c r="R35" s="636"/>
      <c r="S35" s="2139">
        <f>ROUND(SUM(S30:S34),0)</f>
        <v>0</v>
      </c>
      <c r="T35" s="636"/>
      <c r="U35" s="2139">
        <f>ROUND(SUM(U30:U34),0)</f>
        <v>0</v>
      </c>
      <c r="V35" s="636"/>
      <c r="W35" s="2139">
        <f>ROUND(SUM(W30:W34),0)</f>
        <v>0</v>
      </c>
      <c r="X35" s="636"/>
      <c r="Y35" s="2139">
        <f>ROUND(SUM(Y30:Y34),0)</f>
        <v>0</v>
      </c>
      <c r="Z35" s="636"/>
      <c r="AA35" s="2139">
        <f>ROUND(SUM(AA30:AA34),0)</f>
        <v>0</v>
      </c>
      <c r="AB35" s="1214"/>
      <c r="AC35" s="1868"/>
    </row>
    <row r="36" spans="1:29" ht="17.5">
      <c r="A36" s="636"/>
      <c r="B36" s="655"/>
      <c r="C36" s="655"/>
      <c r="D36" s="655"/>
      <c r="E36" s="655"/>
      <c r="F36" s="655"/>
      <c r="G36" s="655"/>
      <c r="H36" s="655"/>
      <c r="I36" s="655"/>
      <c r="J36" s="655"/>
      <c r="K36" s="655"/>
      <c r="L36" s="655"/>
      <c r="M36" s="655"/>
      <c r="N36" s="655"/>
      <c r="O36" s="655"/>
      <c r="P36" s="655"/>
      <c r="Q36" s="655"/>
      <c r="R36" s="655"/>
      <c r="S36" s="655"/>
      <c r="T36" s="655"/>
      <c r="U36" s="655"/>
      <c r="V36" s="655"/>
      <c r="W36" s="655"/>
      <c r="X36" s="655"/>
      <c r="Y36" s="655"/>
      <c r="Z36" s="655"/>
      <c r="AA36" s="636"/>
      <c r="AB36" s="1214"/>
      <c r="AC36" s="1869"/>
    </row>
    <row r="37" spans="1:29" ht="17.5">
      <c r="A37" s="636"/>
      <c r="B37" s="655"/>
      <c r="C37" s="655"/>
      <c r="D37" s="655"/>
      <c r="E37" s="655"/>
      <c r="F37" s="655"/>
      <c r="G37" s="655"/>
      <c r="H37" s="655"/>
      <c r="I37" s="655"/>
      <c r="J37" s="655"/>
      <c r="K37" s="655"/>
      <c r="L37" s="655"/>
      <c r="M37" s="655"/>
      <c r="N37" s="655"/>
      <c r="O37" s="655"/>
      <c r="P37" s="655"/>
      <c r="Q37" s="655"/>
      <c r="R37" s="655"/>
      <c r="S37" s="2149"/>
      <c r="T37" s="655"/>
      <c r="U37" s="655"/>
      <c r="V37" s="655"/>
      <c r="W37" s="655"/>
      <c r="X37" s="655"/>
      <c r="Y37" s="655"/>
      <c r="Z37" s="655"/>
      <c r="AA37" s="636"/>
    </row>
    <row r="38" spans="1:29" s="413" customFormat="1" ht="18" thickBot="1">
      <c r="A38" s="656" t="s">
        <v>799</v>
      </c>
      <c r="B38" s="655"/>
      <c r="C38" s="1870">
        <f>ROUND(C25+C35,0)</f>
        <v>125</v>
      </c>
      <c r="D38" s="636"/>
      <c r="E38" s="1870">
        <f>ROUND(E25+E35,0)</f>
        <v>2239</v>
      </c>
      <c r="F38" s="636"/>
      <c r="G38" s="1870">
        <f>ROUND(G25+G35,0)</f>
        <v>1877</v>
      </c>
      <c r="H38" s="636"/>
      <c r="I38" s="1870">
        <f>ROUND(I25+I35,0)</f>
        <v>195</v>
      </c>
      <c r="J38" s="636"/>
      <c r="K38" s="1870">
        <f>ROUND(K25+K35,0)</f>
        <v>603</v>
      </c>
      <c r="L38" s="636"/>
      <c r="M38" s="1870">
        <f>ROUND(M25+M35,0)</f>
        <v>550</v>
      </c>
      <c r="N38" s="636"/>
      <c r="O38" s="1870">
        <f>ROUND(O25+O35,0)</f>
        <v>0</v>
      </c>
      <c r="P38" s="636"/>
      <c r="Q38" s="1870">
        <f>ROUND(Q25+Q35,0)</f>
        <v>0</v>
      </c>
      <c r="R38" s="636"/>
      <c r="S38" s="1870">
        <f>ROUND(S25+S35,0)</f>
        <v>0</v>
      </c>
      <c r="T38" s="636"/>
      <c r="U38" s="1870">
        <f>ROUND(U25+U35,0)</f>
        <v>0</v>
      </c>
      <c r="V38" s="636"/>
      <c r="W38" s="1870">
        <f>ROUND(W25+W35,0)</f>
        <v>0</v>
      </c>
      <c r="X38" s="636"/>
      <c r="Y38" s="1870">
        <f>ROUND(Y25+Y35,0)</f>
        <v>0</v>
      </c>
      <c r="Z38" s="636"/>
      <c r="AA38" s="1870">
        <f>ROUND(AA25+AA35,0)</f>
        <v>5589</v>
      </c>
    </row>
    <row r="39" spans="1:29" ht="16" thickTop="1">
      <c r="A39" s="1215"/>
      <c r="C39" s="414"/>
      <c r="D39" s="414"/>
      <c r="E39" s="414"/>
      <c r="F39" s="414"/>
      <c r="G39" s="414"/>
      <c r="H39" s="414"/>
      <c r="I39" s="414"/>
      <c r="J39" s="414"/>
      <c r="K39" s="414"/>
      <c r="L39" s="414"/>
      <c r="M39" s="414"/>
      <c r="N39" s="414"/>
      <c r="O39" s="414"/>
      <c r="P39" s="414"/>
      <c r="Q39" s="414"/>
      <c r="R39" s="414"/>
      <c r="S39" s="414"/>
      <c r="T39" s="414"/>
      <c r="U39" s="414"/>
      <c r="V39" s="414"/>
      <c r="W39" s="414"/>
      <c r="X39" s="414"/>
      <c r="Y39" s="415"/>
      <c r="AA39" s="412"/>
    </row>
    <row r="40" spans="1:29" ht="13" thickBot="1"/>
    <row r="41" spans="1:29" ht="20.149999999999999" customHeight="1">
      <c r="A41" s="3992" t="s">
        <v>556</v>
      </c>
      <c r="B41" s="3993"/>
      <c r="C41" s="3993"/>
      <c r="D41" s="3993"/>
      <c r="E41" s="3993"/>
      <c r="F41" s="3993"/>
      <c r="G41" s="3993"/>
      <c r="H41" s="3993"/>
      <c r="I41" s="3993"/>
      <c r="J41" s="3993"/>
      <c r="K41" s="3993"/>
      <c r="L41" s="3993"/>
      <c r="M41" s="3993"/>
      <c r="N41" s="3993"/>
      <c r="O41" s="3993"/>
      <c r="P41" s="3993"/>
      <c r="Q41" s="3993"/>
      <c r="R41" s="3993"/>
      <c r="S41" s="3993"/>
      <c r="T41" s="3993"/>
      <c r="U41" s="3993"/>
      <c r="V41" s="3993"/>
      <c r="W41" s="3993"/>
      <c r="X41" s="3993"/>
      <c r="Y41" s="3993"/>
      <c r="Z41" s="3993"/>
      <c r="AA41" s="3994"/>
    </row>
    <row r="42" spans="1:29" ht="20.149999999999999" customHeight="1">
      <c r="A42" s="3995"/>
      <c r="B42" s="3996"/>
      <c r="C42" s="3996"/>
      <c r="D42" s="3996"/>
      <c r="E42" s="3996"/>
      <c r="F42" s="3996"/>
      <c r="G42" s="3996"/>
      <c r="H42" s="3996"/>
      <c r="I42" s="3996"/>
      <c r="J42" s="3996"/>
      <c r="K42" s="3996"/>
      <c r="L42" s="3996"/>
      <c r="M42" s="3996"/>
      <c r="N42" s="3996"/>
      <c r="O42" s="3996"/>
      <c r="P42" s="3996"/>
      <c r="Q42" s="3996"/>
      <c r="R42" s="3996"/>
      <c r="S42" s="3996"/>
      <c r="T42" s="3996"/>
      <c r="U42" s="3996"/>
      <c r="V42" s="3996"/>
      <c r="W42" s="3996"/>
      <c r="X42" s="3996"/>
      <c r="Y42" s="3996"/>
      <c r="Z42" s="3996"/>
      <c r="AA42" s="3997"/>
    </row>
    <row r="43" spans="1:29" ht="20.149999999999999" customHeight="1">
      <c r="A43" s="3995"/>
      <c r="B43" s="3996"/>
      <c r="C43" s="3996"/>
      <c r="D43" s="3996"/>
      <c r="E43" s="3996"/>
      <c r="F43" s="3996"/>
      <c r="G43" s="3996"/>
      <c r="H43" s="3996"/>
      <c r="I43" s="3996"/>
      <c r="J43" s="3996"/>
      <c r="K43" s="3996"/>
      <c r="L43" s="3996"/>
      <c r="M43" s="3996"/>
      <c r="N43" s="3996"/>
      <c r="O43" s="3996"/>
      <c r="P43" s="3996"/>
      <c r="Q43" s="3996"/>
      <c r="R43" s="3996"/>
      <c r="S43" s="3996"/>
      <c r="T43" s="3996"/>
      <c r="U43" s="3996"/>
      <c r="V43" s="3996"/>
      <c r="W43" s="3996"/>
      <c r="X43" s="3996"/>
      <c r="Y43" s="3996"/>
      <c r="Z43" s="3996"/>
      <c r="AA43" s="3997"/>
    </row>
    <row r="44" spans="1:29" ht="22.5" customHeight="1" thickBot="1">
      <c r="A44" s="3998"/>
      <c r="B44" s="3999"/>
      <c r="C44" s="3999"/>
      <c r="D44" s="3999"/>
      <c r="E44" s="3999"/>
      <c r="F44" s="3999"/>
      <c r="G44" s="3999"/>
      <c r="H44" s="3999"/>
      <c r="I44" s="3999"/>
      <c r="J44" s="3999"/>
      <c r="K44" s="3999"/>
      <c r="L44" s="3999"/>
      <c r="M44" s="3999"/>
      <c r="N44" s="3999"/>
      <c r="O44" s="3999"/>
      <c r="P44" s="3999"/>
      <c r="Q44" s="3999"/>
      <c r="R44" s="3999"/>
      <c r="S44" s="3999"/>
      <c r="T44" s="3999"/>
      <c r="U44" s="3999"/>
      <c r="V44" s="3999"/>
      <c r="W44" s="3999"/>
      <c r="X44" s="3999"/>
      <c r="Y44" s="3999"/>
      <c r="Z44" s="3999"/>
      <c r="AA44" s="4000"/>
    </row>
    <row r="46" spans="1:29" ht="14.9" customHeight="1"/>
    <row r="49" ht="14.15" customHeight="1"/>
  </sheetData>
  <mergeCells count="1">
    <mergeCell ref="A41:AA44"/>
  </mergeCells>
  <pageMargins left="0.25" right="0.25" top="0.5" bottom="0.25" header="0" footer="0.25"/>
  <pageSetup scale="47"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R293"/>
  <sheetViews>
    <sheetView showGridLines="0" zoomScale="80" zoomScaleNormal="60" workbookViewId="0"/>
  </sheetViews>
  <sheetFormatPr defaultRowHeight="14.5"/>
  <cols>
    <col min="1" max="1" width="2.07421875" style="2842" customWidth="1"/>
    <col min="2" max="2" width="10.07421875" style="2842" customWidth="1"/>
    <col min="3" max="3" width="2.07421875" style="2973" customWidth="1"/>
    <col min="4" max="4" width="50.4609375" style="2842" customWidth="1"/>
    <col min="5" max="5" width="8.84375" style="2973" customWidth="1"/>
    <col min="6" max="6" width="2.07421875" style="2974" customWidth="1"/>
    <col min="7" max="7" width="21.84375" style="2975" bestFit="1" customWidth="1"/>
    <col min="8" max="8" width="2.07421875" style="2973" customWidth="1"/>
    <col min="9" max="9" width="21.53515625" style="2842" bestFit="1" customWidth="1"/>
    <col min="10" max="10" width="2.07421875" style="2973" customWidth="1"/>
    <col min="11" max="11" width="21.84375" style="2842" bestFit="1" customWidth="1"/>
    <col min="12" max="12" width="2.07421875" style="2973" customWidth="1"/>
    <col min="13" max="13" width="20.84375" style="2842" customWidth="1"/>
    <col min="14" max="14" width="2.07421875" style="2973" customWidth="1"/>
    <col min="15" max="15" width="22.07421875" style="3576" bestFit="1" customWidth="1"/>
    <col min="16" max="16" width="6.07421875" style="2842" bestFit="1" customWidth="1"/>
    <col min="17" max="17" width="13.07421875" style="2842" bestFit="1" customWidth="1"/>
    <col min="18" max="255" width="8.84375" style="2842"/>
    <col min="256" max="257" width="8.84375" style="2842" customWidth="1"/>
    <col min="258" max="258" width="10.07421875" style="2842" customWidth="1"/>
    <col min="259" max="259" width="2.07421875" style="2842" customWidth="1"/>
    <col min="260" max="260" width="50.4609375" style="2842" customWidth="1"/>
    <col min="261" max="261" width="8.84375" style="2842"/>
    <col min="262" max="262" width="2.07421875" style="2842" customWidth="1"/>
    <col min="263" max="263" width="23.84375" style="2842" customWidth="1"/>
    <col min="264" max="264" width="2.07421875" style="2842" customWidth="1"/>
    <col min="265" max="265" width="23.84375" style="2842" customWidth="1"/>
    <col min="266" max="266" width="2.07421875" style="2842" customWidth="1"/>
    <col min="267" max="267" width="23.84375" style="2842" customWidth="1"/>
    <col min="268" max="268" width="2.07421875" style="2842" customWidth="1"/>
    <col min="269" max="269" width="23.84375" style="2842" customWidth="1"/>
    <col min="270" max="270" width="2.07421875" style="2842" customWidth="1"/>
    <col min="271" max="271" width="23.84375" style="2842" customWidth="1"/>
    <col min="272" max="272" width="2.84375" style="2842" bestFit="1" customWidth="1"/>
    <col min="273" max="511" width="8.84375" style="2842"/>
    <col min="512" max="513" width="8.84375" style="2842" customWidth="1"/>
    <col min="514" max="514" width="10.07421875" style="2842" customWidth="1"/>
    <col min="515" max="515" width="2.07421875" style="2842" customWidth="1"/>
    <col min="516" max="516" width="50.4609375" style="2842" customWidth="1"/>
    <col min="517" max="517" width="8.84375" style="2842"/>
    <col min="518" max="518" width="2.07421875" style="2842" customWidth="1"/>
    <col min="519" max="519" width="23.84375" style="2842" customWidth="1"/>
    <col min="520" max="520" width="2.07421875" style="2842" customWidth="1"/>
    <col min="521" max="521" width="23.84375" style="2842" customWidth="1"/>
    <col min="522" max="522" width="2.07421875" style="2842" customWidth="1"/>
    <col min="523" max="523" width="23.84375" style="2842" customWidth="1"/>
    <col min="524" max="524" width="2.07421875" style="2842" customWidth="1"/>
    <col min="525" max="525" width="23.84375" style="2842" customWidth="1"/>
    <col min="526" max="526" width="2.07421875" style="2842" customWidth="1"/>
    <col min="527" max="527" width="23.84375" style="2842" customWidth="1"/>
    <col min="528" max="528" width="2.84375" style="2842" bestFit="1" customWidth="1"/>
    <col min="529" max="767" width="8.84375" style="2842"/>
    <col min="768" max="769" width="8.84375" style="2842" customWidth="1"/>
    <col min="770" max="770" width="10.07421875" style="2842" customWidth="1"/>
    <col min="771" max="771" width="2.07421875" style="2842" customWidth="1"/>
    <col min="772" max="772" width="50.4609375" style="2842" customWidth="1"/>
    <col min="773" max="773" width="8.84375" style="2842"/>
    <col min="774" max="774" width="2.07421875" style="2842" customWidth="1"/>
    <col min="775" max="775" width="23.84375" style="2842" customWidth="1"/>
    <col min="776" max="776" width="2.07421875" style="2842" customWidth="1"/>
    <col min="777" max="777" width="23.84375" style="2842" customWidth="1"/>
    <col min="778" max="778" width="2.07421875" style="2842" customWidth="1"/>
    <col min="779" max="779" width="23.84375" style="2842" customWidth="1"/>
    <col min="780" max="780" width="2.07421875" style="2842" customWidth="1"/>
    <col min="781" max="781" width="23.84375" style="2842" customWidth="1"/>
    <col min="782" max="782" width="2.07421875" style="2842" customWidth="1"/>
    <col min="783" max="783" width="23.84375" style="2842" customWidth="1"/>
    <col min="784" max="784" width="2.84375" style="2842" bestFit="1" customWidth="1"/>
    <col min="785" max="1023" width="8.84375" style="2842"/>
    <col min="1024" max="1025" width="8.84375" style="2842" customWidth="1"/>
    <col min="1026" max="1026" width="10.07421875" style="2842" customWidth="1"/>
    <col min="1027" max="1027" width="2.07421875" style="2842" customWidth="1"/>
    <col min="1028" max="1028" width="50.4609375" style="2842" customWidth="1"/>
    <col min="1029" max="1029" width="8.84375" style="2842"/>
    <col min="1030" max="1030" width="2.07421875" style="2842" customWidth="1"/>
    <col min="1031" max="1031" width="23.84375" style="2842" customWidth="1"/>
    <col min="1032" max="1032" width="2.07421875" style="2842" customWidth="1"/>
    <col min="1033" max="1033" width="23.84375" style="2842" customWidth="1"/>
    <col min="1034" max="1034" width="2.07421875" style="2842" customWidth="1"/>
    <col min="1035" max="1035" width="23.84375" style="2842" customWidth="1"/>
    <col min="1036" max="1036" width="2.07421875" style="2842" customWidth="1"/>
    <col min="1037" max="1037" width="23.84375" style="2842" customWidth="1"/>
    <col min="1038" max="1038" width="2.07421875" style="2842" customWidth="1"/>
    <col min="1039" max="1039" width="23.84375" style="2842" customWidth="1"/>
    <col min="1040" max="1040" width="2.84375" style="2842" bestFit="1" customWidth="1"/>
    <col min="1041" max="1279" width="8.84375" style="2842"/>
    <col min="1280" max="1281" width="8.84375" style="2842" customWidth="1"/>
    <col min="1282" max="1282" width="10.07421875" style="2842" customWidth="1"/>
    <col min="1283" max="1283" width="2.07421875" style="2842" customWidth="1"/>
    <col min="1284" max="1284" width="50.4609375" style="2842" customWidth="1"/>
    <col min="1285" max="1285" width="8.84375" style="2842"/>
    <col min="1286" max="1286" width="2.07421875" style="2842" customWidth="1"/>
    <col min="1287" max="1287" width="23.84375" style="2842" customWidth="1"/>
    <col min="1288" max="1288" width="2.07421875" style="2842" customWidth="1"/>
    <col min="1289" max="1289" width="23.84375" style="2842" customWidth="1"/>
    <col min="1290" max="1290" width="2.07421875" style="2842" customWidth="1"/>
    <col min="1291" max="1291" width="23.84375" style="2842" customWidth="1"/>
    <col min="1292" max="1292" width="2.07421875" style="2842" customWidth="1"/>
    <col min="1293" max="1293" width="23.84375" style="2842" customWidth="1"/>
    <col min="1294" max="1294" width="2.07421875" style="2842" customWidth="1"/>
    <col min="1295" max="1295" width="23.84375" style="2842" customWidth="1"/>
    <col min="1296" max="1296" width="2.84375" style="2842" bestFit="1" customWidth="1"/>
    <col min="1297" max="1535" width="8.84375" style="2842"/>
    <col min="1536" max="1537" width="8.84375" style="2842" customWidth="1"/>
    <col min="1538" max="1538" width="10.07421875" style="2842" customWidth="1"/>
    <col min="1539" max="1539" width="2.07421875" style="2842" customWidth="1"/>
    <col min="1540" max="1540" width="50.4609375" style="2842" customWidth="1"/>
    <col min="1541" max="1541" width="8.84375" style="2842"/>
    <col min="1542" max="1542" width="2.07421875" style="2842" customWidth="1"/>
    <col min="1543" max="1543" width="23.84375" style="2842" customWidth="1"/>
    <col min="1544" max="1544" width="2.07421875" style="2842" customWidth="1"/>
    <col min="1545" max="1545" width="23.84375" style="2842" customWidth="1"/>
    <col min="1546" max="1546" width="2.07421875" style="2842" customWidth="1"/>
    <col min="1547" max="1547" width="23.84375" style="2842" customWidth="1"/>
    <col min="1548" max="1548" width="2.07421875" style="2842" customWidth="1"/>
    <col min="1549" max="1549" width="23.84375" style="2842" customWidth="1"/>
    <col min="1550" max="1550" width="2.07421875" style="2842" customWidth="1"/>
    <col min="1551" max="1551" width="23.84375" style="2842" customWidth="1"/>
    <col min="1552" max="1552" width="2.84375" style="2842" bestFit="1" customWidth="1"/>
    <col min="1553" max="1791" width="8.84375" style="2842"/>
    <col min="1792" max="1793" width="8.84375" style="2842" customWidth="1"/>
    <col min="1794" max="1794" width="10.07421875" style="2842" customWidth="1"/>
    <col min="1795" max="1795" width="2.07421875" style="2842" customWidth="1"/>
    <col min="1796" max="1796" width="50.4609375" style="2842" customWidth="1"/>
    <col min="1797" max="1797" width="8.84375" style="2842"/>
    <col min="1798" max="1798" width="2.07421875" style="2842" customWidth="1"/>
    <col min="1799" max="1799" width="23.84375" style="2842" customWidth="1"/>
    <col min="1800" max="1800" width="2.07421875" style="2842" customWidth="1"/>
    <col min="1801" max="1801" width="23.84375" style="2842" customWidth="1"/>
    <col min="1802" max="1802" width="2.07421875" style="2842" customWidth="1"/>
    <col min="1803" max="1803" width="23.84375" style="2842" customWidth="1"/>
    <col min="1804" max="1804" width="2.07421875" style="2842" customWidth="1"/>
    <col min="1805" max="1805" width="23.84375" style="2842" customWidth="1"/>
    <col min="1806" max="1806" width="2.07421875" style="2842" customWidth="1"/>
    <col min="1807" max="1807" width="23.84375" style="2842" customWidth="1"/>
    <col min="1808" max="1808" width="2.84375" style="2842" bestFit="1" customWidth="1"/>
    <col min="1809" max="2047" width="8.84375" style="2842"/>
    <col min="2048" max="2049" width="8.84375" style="2842" customWidth="1"/>
    <col min="2050" max="2050" width="10.07421875" style="2842" customWidth="1"/>
    <col min="2051" max="2051" width="2.07421875" style="2842" customWidth="1"/>
    <col min="2052" max="2052" width="50.4609375" style="2842" customWidth="1"/>
    <col min="2053" max="2053" width="8.84375" style="2842"/>
    <col min="2054" max="2054" width="2.07421875" style="2842" customWidth="1"/>
    <col min="2055" max="2055" width="23.84375" style="2842" customWidth="1"/>
    <col min="2056" max="2056" width="2.07421875" style="2842" customWidth="1"/>
    <col min="2057" max="2057" width="23.84375" style="2842" customWidth="1"/>
    <col min="2058" max="2058" width="2.07421875" style="2842" customWidth="1"/>
    <col min="2059" max="2059" width="23.84375" style="2842" customWidth="1"/>
    <col min="2060" max="2060" width="2.07421875" style="2842" customWidth="1"/>
    <col min="2061" max="2061" width="23.84375" style="2842" customWidth="1"/>
    <col min="2062" max="2062" width="2.07421875" style="2842" customWidth="1"/>
    <col min="2063" max="2063" width="23.84375" style="2842" customWidth="1"/>
    <col min="2064" max="2064" width="2.84375" style="2842" bestFit="1" customWidth="1"/>
    <col min="2065" max="2303" width="8.84375" style="2842"/>
    <col min="2304" max="2305" width="8.84375" style="2842" customWidth="1"/>
    <col min="2306" max="2306" width="10.07421875" style="2842" customWidth="1"/>
    <col min="2307" max="2307" width="2.07421875" style="2842" customWidth="1"/>
    <col min="2308" max="2308" width="50.4609375" style="2842" customWidth="1"/>
    <col min="2309" max="2309" width="8.84375" style="2842"/>
    <col min="2310" max="2310" width="2.07421875" style="2842" customWidth="1"/>
    <col min="2311" max="2311" width="23.84375" style="2842" customWidth="1"/>
    <col min="2312" max="2312" width="2.07421875" style="2842" customWidth="1"/>
    <col min="2313" max="2313" width="23.84375" style="2842" customWidth="1"/>
    <col min="2314" max="2314" width="2.07421875" style="2842" customWidth="1"/>
    <col min="2315" max="2315" width="23.84375" style="2842" customWidth="1"/>
    <col min="2316" max="2316" width="2.07421875" style="2842" customWidth="1"/>
    <col min="2317" max="2317" width="23.84375" style="2842" customWidth="1"/>
    <col min="2318" max="2318" width="2.07421875" style="2842" customWidth="1"/>
    <col min="2319" max="2319" width="23.84375" style="2842" customWidth="1"/>
    <col min="2320" max="2320" width="2.84375" style="2842" bestFit="1" customWidth="1"/>
    <col min="2321" max="2559" width="8.84375" style="2842"/>
    <col min="2560" max="2561" width="8.84375" style="2842" customWidth="1"/>
    <col min="2562" max="2562" width="10.07421875" style="2842" customWidth="1"/>
    <col min="2563" max="2563" width="2.07421875" style="2842" customWidth="1"/>
    <col min="2564" max="2564" width="50.4609375" style="2842" customWidth="1"/>
    <col min="2565" max="2565" width="8.84375" style="2842"/>
    <col min="2566" max="2566" width="2.07421875" style="2842" customWidth="1"/>
    <col min="2567" max="2567" width="23.84375" style="2842" customWidth="1"/>
    <col min="2568" max="2568" width="2.07421875" style="2842" customWidth="1"/>
    <col min="2569" max="2569" width="23.84375" style="2842" customWidth="1"/>
    <col min="2570" max="2570" width="2.07421875" style="2842" customWidth="1"/>
    <col min="2571" max="2571" width="23.84375" style="2842" customWidth="1"/>
    <col min="2572" max="2572" width="2.07421875" style="2842" customWidth="1"/>
    <col min="2573" max="2573" width="23.84375" style="2842" customWidth="1"/>
    <col min="2574" max="2574" width="2.07421875" style="2842" customWidth="1"/>
    <col min="2575" max="2575" width="23.84375" style="2842" customWidth="1"/>
    <col min="2576" max="2576" width="2.84375" style="2842" bestFit="1" customWidth="1"/>
    <col min="2577" max="2815" width="8.84375" style="2842"/>
    <col min="2816" max="2817" width="8.84375" style="2842" customWidth="1"/>
    <col min="2818" max="2818" width="10.07421875" style="2842" customWidth="1"/>
    <col min="2819" max="2819" width="2.07421875" style="2842" customWidth="1"/>
    <col min="2820" max="2820" width="50.4609375" style="2842" customWidth="1"/>
    <col min="2821" max="2821" width="8.84375" style="2842"/>
    <col min="2822" max="2822" width="2.07421875" style="2842" customWidth="1"/>
    <col min="2823" max="2823" width="23.84375" style="2842" customWidth="1"/>
    <col min="2824" max="2824" width="2.07421875" style="2842" customWidth="1"/>
    <col min="2825" max="2825" width="23.84375" style="2842" customWidth="1"/>
    <col min="2826" max="2826" width="2.07421875" style="2842" customWidth="1"/>
    <col min="2827" max="2827" width="23.84375" style="2842" customWidth="1"/>
    <col min="2828" max="2828" width="2.07421875" style="2842" customWidth="1"/>
    <col min="2829" max="2829" width="23.84375" style="2842" customWidth="1"/>
    <col min="2830" max="2830" width="2.07421875" style="2842" customWidth="1"/>
    <col min="2831" max="2831" width="23.84375" style="2842" customWidth="1"/>
    <col min="2832" max="2832" width="2.84375" style="2842" bestFit="1" customWidth="1"/>
    <col min="2833" max="3071" width="8.84375" style="2842"/>
    <col min="3072" max="3073" width="8.84375" style="2842" customWidth="1"/>
    <col min="3074" max="3074" width="10.07421875" style="2842" customWidth="1"/>
    <col min="3075" max="3075" width="2.07421875" style="2842" customWidth="1"/>
    <col min="3076" max="3076" width="50.4609375" style="2842" customWidth="1"/>
    <col min="3077" max="3077" width="8.84375" style="2842"/>
    <col min="3078" max="3078" width="2.07421875" style="2842" customWidth="1"/>
    <col min="3079" max="3079" width="23.84375" style="2842" customWidth="1"/>
    <col min="3080" max="3080" width="2.07421875" style="2842" customWidth="1"/>
    <col min="3081" max="3081" width="23.84375" style="2842" customWidth="1"/>
    <col min="3082" max="3082" width="2.07421875" style="2842" customWidth="1"/>
    <col min="3083" max="3083" width="23.84375" style="2842" customWidth="1"/>
    <col min="3084" max="3084" width="2.07421875" style="2842" customWidth="1"/>
    <col min="3085" max="3085" width="23.84375" style="2842" customWidth="1"/>
    <col min="3086" max="3086" width="2.07421875" style="2842" customWidth="1"/>
    <col min="3087" max="3087" width="23.84375" style="2842" customWidth="1"/>
    <col min="3088" max="3088" width="2.84375" style="2842" bestFit="1" customWidth="1"/>
    <col min="3089" max="3327" width="8.84375" style="2842"/>
    <col min="3328" max="3329" width="8.84375" style="2842" customWidth="1"/>
    <col min="3330" max="3330" width="10.07421875" style="2842" customWidth="1"/>
    <col min="3331" max="3331" width="2.07421875" style="2842" customWidth="1"/>
    <col min="3332" max="3332" width="50.4609375" style="2842" customWidth="1"/>
    <col min="3333" max="3333" width="8.84375" style="2842"/>
    <col min="3334" max="3334" width="2.07421875" style="2842" customWidth="1"/>
    <col min="3335" max="3335" width="23.84375" style="2842" customWidth="1"/>
    <col min="3336" max="3336" width="2.07421875" style="2842" customWidth="1"/>
    <col min="3337" max="3337" width="23.84375" style="2842" customWidth="1"/>
    <col min="3338" max="3338" width="2.07421875" style="2842" customWidth="1"/>
    <col min="3339" max="3339" width="23.84375" style="2842" customWidth="1"/>
    <col min="3340" max="3340" width="2.07421875" style="2842" customWidth="1"/>
    <col min="3341" max="3341" width="23.84375" style="2842" customWidth="1"/>
    <col min="3342" max="3342" width="2.07421875" style="2842" customWidth="1"/>
    <col min="3343" max="3343" width="23.84375" style="2842" customWidth="1"/>
    <col min="3344" max="3344" width="2.84375" style="2842" bestFit="1" customWidth="1"/>
    <col min="3345" max="3583" width="8.84375" style="2842"/>
    <col min="3584" max="3585" width="8.84375" style="2842" customWidth="1"/>
    <col min="3586" max="3586" width="10.07421875" style="2842" customWidth="1"/>
    <col min="3587" max="3587" width="2.07421875" style="2842" customWidth="1"/>
    <col min="3588" max="3588" width="50.4609375" style="2842" customWidth="1"/>
    <col min="3589" max="3589" width="8.84375" style="2842"/>
    <col min="3590" max="3590" width="2.07421875" style="2842" customWidth="1"/>
    <col min="3591" max="3591" width="23.84375" style="2842" customWidth="1"/>
    <col min="3592" max="3592" width="2.07421875" style="2842" customWidth="1"/>
    <col min="3593" max="3593" width="23.84375" style="2842" customWidth="1"/>
    <col min="3594" max="3594" width="2.07421875" style="2842" customWidth="1"/>
    <col min="3595" max="3595" width="23.84375" style="2842" customWidth="1"/>
    <col min="3596" max="3596" width="2.07421875" style="2842" customWidth="1"/>
    <col min="3597" max="3597" width="23.84375" style="2842" customWidth="1"/>
    <col min="3598" max="3598" width="2.07421875" style="2842" customWidth="1"/>
    <col min="3599" max="3599" width="23.84375" style="2842" customWidth="1"/>
    <col min="3600" max="3600" width="2.84375" style="2842" bestFit="1" customWidth="1"/>
    <col min="3601" max="3839" width="8.84375" style="2842"/>
    <col min="3840" max="3841" width="8.84375" style="2842" customWidth="1"/>
    <col min="3842" max="3842" width="10.07421875" style="2842" customWidth="1"/>
    <col min="3843" max="3843" width="2.07421875" style="2842" customWidth="1"/>
    <col min="3844" max="3844" width="50.4609375" style="2842" customWidth="1"/>
    <col min="3845" max="3845" width="8.84375" style="2842"/>
    <col min="3846" max="3846" width="2.07421875" style="2842" customWidth="1"/>
    <col min="3847" max="3847" width="23.84375" style="2842" customWidth="1"/>
    <col min="3848" max="3848" width="2.07421875" style="2842" customWidth="1"/>
    <col min="3849" max="3849" width="23.84375" style="2842" customWidth="1"/>
    <col min="3850" max="3850" width="2.07421875" style="2842" customWidth="1"/>
    <col min="3851" max="3851" width="23.84375" style="2842" customWidth="1"/>
    <col min="3852" max="3852" width="2.07421875" style="2842" customWidth="1"/>
    <col min="3853" max="3853" width="23.84375" style="2842" customWidth="1"/>
    <col min="3854" max="3854" width="2.07421875" style="2842" customWidth="1"/>
    <col min="3855" max="3855" width="23.84375" style="2842" customWidth="1"/>
    <col min="3856" max="3856" width="2.84375" style="2842" bestFit="1" customWidth="1"/>
    <col min="3857" max="4095" width="8.84375" style="2842"/>
    <col min="4096" max="4097" width="8.84375" style="2842" customWidth="1"/>
    <col min="4098" max="4098" width="10.07421875" style="2842" customWidth="1"/>
    <col min="4099" max="4099" width="2.07421875" style="2842" customWidth="1"/>
    <col min="4100" max="4100" width="50.4609375" style="2842" customWidth="1"/>
    <col min="4101" max="4101" width="8.84375" style="2842"/>
    <col min="4102" max="4102" width="2.07421875" style="2842" customWidth="1"/>
    <col min="4103" max="4103" width="23.84375" style="2842" customWidth="1"/>
    <col min="4104" max="4104" width="2.07421875" style="2842" customWidth="1"/>
    <col min="4105" max="4105" width="23.84375" style="2842" customWidth="1"/>
    <col min="4106" max="4106" width="2.07421875" style="2842" customWidth="1"/>
    <col min="4107" max="4107" width="23.84375" style="2842" customWidth="1"/>
    <col min="4108" max="4108" width="2.07421875" style="2842" customWidth="1"/>
    <col min="4109" max="4109" width="23.84375" style="2842" customWidth="1"/>
    <col min="4110" max="4110" width="2.07421875" style="2842" customWidth="1"/>
    <col min="4111" max="4111" width="23.84375" style="2842" customWidth="1"/>
    <col min="4112" max="4112" width="2.84375" style="2842" bestFit="1" customWidth="1"/>
    <col min="4113" max="4351" width="8.84375" style="2842"/>
    <col min="4352" max="4353" width="8.84375" style="2842" customWidth="1"/>
    <col min="4354" max="4354" width="10.07421875" style="2842" customWidth="1"/>
    <col min="4355" max="4355" width="2.07421875" style="2842" customWidth="1"/>
    <col min="4356" max="4356" width="50.4609375" style="2842" customWidth="1"/>
    <col min="4357" max="4357" width="8.84375" style="2842"/>
    <col min="4358" max="4358" width="2.07421875" style="2842" customWidth="1"/>
    <col min="4359" max="4359" width="23.84375" style="2842" customWidth="1"/>
    <col min="4360" max="4360" width="2.07421875" style="2842" customWidth="1"/>
    <col min="4361" max="4361" width="23.84375" style="2842" customWidth="1"/>
    <col min="4362" max="4362" width="2.07421875" style="2842" customWidth="1"/>
    <col min="4363" max="4363" width="23.84375" style="2842" customWidth="1"/>
    <col min="4364" max="4364" width="2.07421875" style="2842" customWidth="1"/>
    <col min="4365" max="4365" width="23.84375" style="2842" customWidth="1"/>
    <col min="4366" max="4366" width="2.07421875" style="2842" customWidth="1"/>
    <col min="4367" max="4367" width="23.84375" style="2842" customWidth="1"/>
    <col min="4368" max="4368" width="2.84375" style="2842" bestFit="1" customWidth="1"/>
    <col min="4369" max="4607" width="8.84375" style="2842"/>
    <col min="4608" max="4609" width="8.84375" style="2842" customWidth="1"/>
    <col min="4610" max="4610" width="10.07421875" style="2842" customWidth="1"/>
    <col min="4611" max="4611" width="2.07421875" style="2842" customWidth="1"/>
    <col min="4612" max="4612" width="50.4609375" style="2842" customWidth="1"/>
    <col min="4613" max="4613" width="8.84375" style="2842"/>
    <col min="4614" max="4614" width="2.07421875" style="2842" customWidth="1"/>
    <col min="4615" max="4615" width="23.84375" style="2842" customWidth="1"/>
    <col min="4616" max="4616" width="2.07421875" style="2842" customWidth="1"/>
    <col min="4617" max="4617" width="23.84375" style="2842" customWidth="1"/>
    <col min="4618" max="4618" width="2.07421875" style="2842" customWidth="1"/>
    <col min="4619" max="4619" width="23.84375" style="2842" customWidth="1"/>
    <col min="4620" max="4620" width="2.07421875" style="2842" customWidth="1"/>
    <col min="4621" max="4621" width="23.84375" style="2842" customWidth="1"/>
    <col min="4622" max="4622" width="2.07421875" style="2842" customWidth="1"/>
    <col min="4623" max="4623" width="23.84375" style="2842" customWidth="1"/>
    <col min="4624" max="4624" width="2.84375" style="2842" bestFit="1" customWidth="1"/>
    <col min="4625" max="4863" width="8.84375" style="2842"/>
    <col min="4864" max="4865" width="8.84375" style="2842" customWidth="1"/>
    <col min="4866" max="4866" width="10.07421875" style="2842" customWidth="1"/>
    <col min="4867" max="4867" width="2.07421875" style="2842" customWidth="1"/>
    <col min="4868" max="4868" width="50.4609375" style="2842" customWidth="1"/>
    <col min="4869" max="4869" width="8.84375" style="2842"/>
    <col min="4870" max="4870" width="2.07421875" style="2842" customWidth="1"/>
    <col min="4871" max="4871" width="23.84375" style="2842" customWidth="1"/>
    <col min="4872" max="4872" width="2.07421875" style="2842" customWidth="1"/>
    <col min="4873" max="4873" width="23.84375" style="2842" customWidth="1"/>
    <col min="4874" max="4874" width="2.07421875" style="2842" customWidth="1"/>
    <col min="4875" max="4875" width="23.84375" style="2842" customWidth="1"/>
    <col min="4876" max="4876" width="2.07421875" style="2842" customWidth="1"/>
    <col min="4877" max="4877" width="23.84375" style="2842" customWidth="1"/>
    <col min="4878" max="4878" width="2.07421875" style="2842" customWidth="1"/>
    <col min="4879" max="4879" width="23.84375" style="2842" customWidth="1"/>
    <col min="4880" max="4880" width="2.84375" style="2842" bestFit="1" customWidth="1"/>
    <col min="4881" max="5119" width="8.84375" style="2842"/>
    <col min="5120" max="5121" width="8.84375" style="2842" customWidth="1"/>
    <col min="5122" max="5122" width="10.07421875" style="2842" customWidth="1"/>
    <col min="5123" max="5123" width="2.07421875" style="2842" customWidth="1"/>
    <col min="5124" max="5124" width="50.4609375" style="2842" customWidth="1"/>
    <col min="5125" max="5125" width="8.84375" style="2842"/>
    <col min="5126" max="5126" width="2.07421875" style="2842" customWidth="1"/>
    <col min="5127" max="5127" width="23.84375" style="2842" customWidth="1"/>
    <col min="5128" max="5128" width="2.07421875" style="2842" customWidth="1"/>
    <col min="5129" max="5129" width="23.84375" style="2842" customWidth="1"/>
    <col min="5130" max="5130" width="2.07421875" style="2842" customWidth="1"/>
    <col min="5131" max="5131" width="23.84375" style="2842" customWidth="1"/>
    <col min="5132" max="5132" width="2.07421875" style="2842" customWidth="1"/>
    <col min="5133" max="5133" width="23.84375" style="2842" customWidth="1"/>
    <col min="5134" max="5134" width="2.07421875" style="2842" customWidth="1"/>
    <col min="5135" max="5135" width="23.84375" style="2842" customWidth="1"/>
    <col min="5136" max="5136" width="2.84375" style="2842" bestFit="1" customWidth="1"/>
    <col min="5137" max="5375" width="8.84375" style="2842"/>
    <col min="5376" max="5377" width="8.84375" style="2842" customWidth="1"/>
    <col min="5378" max="5378" width="10.07421875" style="2842" customWidth="1"/>
    <col min="5379" max="5379" width="2.07421875" style="2842" customWidth="1"/>
    <col min="5380" max="5380" width="50.4609375" style="2842" customWidth="1"/>
    <col min="5381" max="5381" width="8.84375" style="2842"/>
    <col min="5382" max="5382" width="2.07421875" style="2842" customWidth="1"/>
    <col min="5383" max="5383" width="23.84375" style="2842" customWidth="1"/>
    <col min="5384" max="5384" width="2.07421875" style="2842" customWidth="1"/>
    <col min="5385" max="5385" width="23.84375" style="2842" customWidth="1"/>
    <col min="5386" max="5386" width="2.07421875" style="2842" customWidth="1"/>
    <col min="5387" max="5387" width="23.84375" style="2842" customWidth="1"/>
    <col min="5388" max="5388" width="2.07421875" style="2842" customWidth="1"/>
    <col min="5389" max="5389" width="23.84375" style="2842" customWidth="1"/>
    <col min="5390" max="5390" width="2.07421875" style="2842" customWidth="1"/>
    <col min="5391" max="5391" width="23.84375" style="2842" customWidth="1"/>
    <col min="5392" max="5392" width="2.84375" style="2842" bestFit="1" customWidth="1"/>
    <col min="5393" max="5631" width="8.84375" style="2842"/>
    <col min="5632" max="5633" width="8.84375" style="2842" customWidth="1"/>
    <col min="5634" max="5634" width="10.07421875" style="2842" customWidth="1"/>
    <col min="5635" max="5635" width="2.07421875" style="2842" customWidth="1"/>
    <col min="5636" max="5636" width="50.4609375" style="2842" customWidth="1"/>
    <col min="5637" max="5637" width="8.84375" style="2842"/>
    <col min="5638" max="5638" width="2.07421875" style="2842" customWidth="1"/>
    <col min="5639" max="5639" width="23.84375" style="2842" customWidth="1"/>
    <col min="5640" max="5640" width="2.07421875" style="2842" customWidth="1"/>
    <col min="5641" max="5641" width="23.84375" style="2842" customWidth="1"/>
    <col min="5642" max="5642" width="2.07421875" style="2842" customWidth="1"/>
    <col min="5643" max="5643" width="23.84375" style="2842" customWidth="1"/>
    <col min="5644" max="5644" width="2.07421875" style="2842" customWidth="1"/>
    <col min="5645" max="5645" width="23.84375" style="2842" customWidth="1"/>
    <col min="5646" max="5646" width="2.07421875" style="2842" customWidth="1"/>
    <col min="5647" max="5647" width="23.84375" style="2842" customWidth="1"/>
    <col min="5648" max="5648" width="2.84375" style="2842" bestFit="1" customWidth="1"/>
    <col min="5649" max="5887" width="8.84375" style="2842"/>
    <col min="5888" max="5889" width="8.84375" style="2842" customWidth="1"/>
    <col min="5890" max="5890" width="10.07421875" style="2842" customWidth="1"/>
    <col min="5891" max="5891" width="2.07421875" style="2842" customWidth="1"/>
    <col min="5892" max="5892" width="50.4609375" style="2842" customWidth="1"/>
    <col min="5893" max="5893" width="8.84375" style="2842"/>
    <col min="5894" max="5894" width="2.07421875" style="2842" customWidth="1"/>
    <col min="5895" max="5895" width="23.84375" style="2842" customWidth="1"/>
    <col min="5896" max="5896" width="2.07421875" style="2842" customWidth="1"/>
    <col min="5897" max="5897" width="23.84375" style="2842" customWidth="1"/>
    <col min="5898" max="5898" width="2.07421875" style="2842" customWidth="1"/>
    <col min="5899" max="5899" width="23.84375" style="2842" customWidth="1"/>
    <col min="5900" max="5900" width="2.07421875" style="2842" customWidth="1"/>
    <col min="5901" max="5901" width="23.84375" style="2842" customWidth="1"/>
    <col min="5902" max="5902" width="2.07421875" style="2842" customWidth="1"/>
    <col min="5903" max="5903" width="23.84375" style="2842" customWidth="1"/>
    <col min="5904" max="5904" width="2.84375" style="2842" bestFit="1" customWidth="1"/>
    <col min="5905" max="6143" width="8.84375" style="2842"/>
    <col min="6144" max="6145" width="8.84375" style="2842" customWidth="1"/>
    <col min="6146" max="6146" width="10.07421875" style="2842" customWidth="1"/>
    <col min="6147" max="6147" width="2.07421875" style="2842" customWidth="1"/>
    <col min="6148" max="6148" width="50.4609375" style="2842" customWidth="1"/>
    <col min="6149" max="6149" width="8.84375" style="2842"/>
    <col min="6150" max="6150" width="2.07421875" style="2842" customWidth="1"/>
    <col min="6151" max="6151" width="23.84375" style="2842" customWidth="1"/>
    <col min="6152" max="6152" width="2.07421875" style="2842" customWidth="1"/>
    <col min="6153" max="6153" width="23.84375" style="2842" customWidth="1"/>
    <col min="6154" max="6154" width="2.07421875" style="2842" customWidth="1"/>
    <col min="6155" max="6155" width="23.84375" style="2842" customWidth="1"/>
    <col min="6156" max="6156" width="2.07421875" style="2842" customWidth="1"/>
    <col min="6157" max="6157" width="23.84375" style="2842" customWidth="1"/>
    <col min="6158" max="6158" width="2.07421875" style="2842" customWidth="1"/>
    <col min="6159" max="6159" width="23.84375" style="2842" customWidth="1"/>
    <col min="6160" max="6160" width="2.84375" style="2842" bestFit="1" customWidth="1"/>
    <col min="6161" max="6399" width="8.84375" style="2842"/>
    <col min="6400" max="6401" width="8.84375" style="2842" customWidth="1"/>
    <col min="6402" max="6402" width="10.07421875" style="2842" customWidth="1"/>
    <col min="6403" max="6403" width="2.07421875" style="2842" customWidth="1"/>
    <col min="6404" max="6404" width="50.4609375" style="2842" customWidth="1"/>
    <col min="6405" max="6405" width="8.84375" style="2842"/>
    <col min="6406" max="6406" width="2.07421875" style="2842" customWidth="1"/>
    <col min="6407" max="6407" width="23.84375" style="2842" customWidth="1"/>
    <col min="6408" max="6408" width="2.07421875" style="2842" customWidth="1"/>
    <col min="6409" max="6409" width="23.84375" style="2842" customWidth="1"/>
    <col min="6410" max="6410" width="2.07421875" style="2842" customWidth="1"/>
    <col min="6411" max="6411" width="23.84375" style="2842" customWidth="1"/>
    <col min="6412" max="6412" width="2.07421875" style="2842" customWidth="1"/>
    <col min="6413" max="6413" width="23.84375" style="2842" customWidth="1"/>
    <col min="6414" max="6414" width="2.07421875" style="2842" customWidth="1"/>
    <col min="6415" max="6415" width="23.84375" style="2842" customWidth="1"/>
    <col min="6416" max="6416" width="2.84375" style="2842" bestFit="1" customWidth="1"/>
    <col min="6417" max="6655" width="8.84375" style="2842"/>
    <col min="6656" max="6657" width="8.84375" style="2842" customWidth="1"/>
    <col min="6658" max="6658" width="10.07421875" style="2842" customWidth="1"/>
    <col min="6659" max="6659" width="2.07421875" style="2842" customWidth="1"/>
    <col min="6660" max="6660" width="50.4609375" style="2842" customWidth="1"/>
    <col min="6661" max="6661" width="8.84375" style="2842"/>
    <col min="6662" max="6662" width="2.07421875" style="2842" customWidth="1"/>
    <col min="6663" max="6663" width="23.84375" style="2842" customWidth="1"/>
    <col min="6664" max="6664" width="2.07421875" style="2842" customWidth="1"/>
    <col min="6665" max="6665" width="23.84375" style="2842" customWidth="1"/>
    <col min="6666" max="6666" width="2.07421875" style="2842" customWidth="1"/>
    <col min="6667" max="6667" width="23.84375" style="2842" customWidth="1"/>
    <col min="6668" max="6668" width="2.07421875" style="2842" customWidth="1"/>
    <col min="6669" max="6669" width="23.84375" style="2842" customWidth="1"/>
    <col min="6670" max="6670" width="2.07421875" style="2842" customWidth="1"/>
    <col min="6671" max="6671" width="23.84375" style="2842" customWidth="1"/>
    <col min="6672" max="6672" width="2.84375" style="2842" bestFit="1" customWidth="1"/>
    <col min="6673" max="6911" width="8.84375" style="2842"/>
    <col min="6912" max="6913" width="8.84375" style="2842" customWidth="1"/>
    <col min="6914" max="6914" width="10.07421875" style="2842" customWidth="1"/>
    <col min="6915" max="6915" width="2.07421875" style="2842" customWidth="1"/>
    <col min="6916" max="6916" width="50.4609375" style="2842" customWidth="1"/>
    <col min="6917" max="6917" width="8.84375" style="2842"/>
    <col min="6918" max="6918" width="2.07421875" style="2842" customWidth="1"/>
    <col min="6919" max="6919" width="23.84375" style="2842" customWidth="1"/>
    <col min="6920" max="6920" width="2.07421875" style="2842" customWidth="1"/>
    <col min="6921" max="6921" width="23.84375" style="2842" customWidth="1"/>
    <col min="6922" max="6922" width="2.07421875" style="2842" customWidth="1"/>
    <col min="6923" max="6923" width="23.84375" style="2842" customWidth="1"/>
    <col min="6924" max="6924" width="2.07421875" style="2842" customWidth="1"/>
    <col min="6925" max="6925" width="23.84375" style="2842" customWidth="1"/>
    <col min="6926" max="6926" width="2.07421875" style="2842" customWidth="1"/>
    <col min="6927" max="6927" width="23.84375" style="2842" customWidth="1"/>
    <col min="6928" max="6928" width="2.84375" style="2842" bestFit="1" customWidth="1"/>
    <col min="6929" max="7167" width="8.84375" style="2842"/>
    <col min="7168" max="7169" width="8.84375" style="2842" customWidth="1"/>
    <col min="7170" max="7170" width="10.07421875" style="2842" customWidth="1"/>
    <col min="7171" max="7171" width="2.07421875" style="2842" customWidth="1"/>
    <col min="7172" max="7172" width="50.4609375" style="2842" customWidth="1"/>
    <col min="7173" max="7173" width="8.84375" style="2842"/>
    <col min="7174" max="7174" width="2.07421875" style="2842" customWidth="1"/>
    <col min="7175" max="7175" width="23.84375" style="2842" customWidth="1"/>
    <col min="7176" max="7176" width="2.07421875" style="2842" customWidth="1"/>
    <col min="7177" max="7177" width="23.84375" style="2842" customWidth="1"/>
    <col min="7178" max="7178" width="2.07421875" style="2842" customWidth="1"/>
    <col min="7179" max="7179" width="23.84375" style="2842" customWidth="1"/>
    <col min="7180" max="7180" width="2.07421875" style="2842" customWidth="1"/>
    <col min="7181" max="7181" width="23.84375" style="2842" customWidth="1"/>
    <col min="7182" max="7182" width="2.07421875" style="2842" customWidth="1"/>
    <col min="7183" max="7183" width="23.84375" style="2842" customWidth="1"/>
    <col min="7184" max="7184" width="2.84375" style="2842" bestFit="1" customWidth="1"/>
    <col min="7185" max="7423" width="8.84375" style="2842"/>
    <col min="7424" max="7425" width="8.84375" style="2842" customWidth="1"/>
    <col min="7426" max="7426" width="10.07421875" style="2842" customWidth="1"/>
    <col min="7427" max="7427" width="2.07421875" style="2842" customWidth="1"/>
    <col min="7428" max="7428" width="50.4609375" style="2842" customWidth="1"/>
    <col min="7429" max="7429" width="8.84375" style="2842"/>
    <col min="7430" max="7430" width="2.07421875" style="2842" customWidth="1"/>
    <col min="7431" max="7431" width="23.84375" style="2842" customWidth="1"/>
    <col min="7432" max="7432" width="2.07421875" style="2842" customWidth="1"/>
    <col min="7433" max="7433" width="23.84375" style="2842" customWidth="1"/>
    <col min="7434" max="7434" width="2.07421875" style="2842" customWidth="1"/>
    <col min="7435" max="7435" width="23.84375" style="2842" customWidth="1"/>
    <col min="7436" max="7436" width="2.07421875" style="2842" customWidth="1"/>
    <col min="7437" max="7437" width="23.84375" style="2842" customWidth="1"/>
    <col min="7438" max="7438" width="2.07421875" style="2842" customWidth="1"/>
    <col min="7439" max="7439" width="23.84375" style="2842" customWidth="1"/>
    <col min="7440" max="7440" width="2.84375" style="2842" bestFit="1" customWidth="1"/>
    <col min="7441" max="7679" width="8.84375" style="2842"/>
    <col min="7680" max="7681" width="8.84375" style="2842" customWidth="1"/>
    <col min="7682" max="7682" width="10.07421875" style="2842" customWidth="1"/>
    <col min="7683" max="7683" width="2.07421875" style="2842" customWidth="1"/>
    <col min="7684" max="7684" width="50.4609375" style="2842" customWidth="1"/>
    <col min="7685" max="7685" width="8.84375" style="2842"/>
    <col min="7686" max="7686" width="2.07421875" style="2842" customWidth="1"/>
    <col min="7687" max="7687" width="23.84375" style="2842" customWidth="1"/>
    <col min="7688" max="7688" width="2.07421875" style="2842" customWidth="1"/>
    <col min="7689" max="7689" width="23.84375" style="2842" customWidth="1"/>
    <col min="7690" max="7690" width="2.07421875" style="2842" customWidth="1"/>
    <col min="7691" max="7691" width="23.84375" style="2842" customWidth="1"/>
    <col min="7692" max="7692" width="2.07421875" style="2842" customWidth="1"/>
    <col min="7693" max="7693" width="23.84375" style="2842" customWidth="1"/>
    <col min="7694" max="7694" width="2.07421875" style="2842" customWidth="1"/>
    <col min="7695" max="7695" width="23.84375" style="2842" customWidth="1"/>
    <col min="7696" max="7696" width="2.84375" style="2842" bestFit="1" customWidth="1"/>
    <col min="7697" max="7935" width="8.84375" style="2842"/>
    <col min="7936" max="7937" width="8.84375" style="2842" customWidth="1"/>
    <col min="7938" max="7938" width="10.07421875" style="2842" customWidth="1"/>
    <col min="7939" max="7939" width="2.07421875" style="2842" customWidth="1"/>
    <col min="7940" max="7940" width="50.4609375" style="2842" customWidth="1"/>
    <col min="7941" max="7941" width="8.84375" style="2842"/>
    <col min="7942" max="7942" width="2.07421875" style="2842" customWidth="1"/>
    <col min="7943" max="7943" width="23.84375" style="2842" customWidth="1"/>
    <col min="7944" max="7944" width="2.07421875" style="2842" customWidth="1"/>
    <col min="7945" max="7945" width="23.84375" style="2842" customWidth="1"/>
    <col min="7946" max="7946" width="2.07421875" style="2842" customWidth="1"/>
    <col min="7947" max="7947" width="23.84375" style="2842" customWidth="1"/>
    <col min="7948" max="7948" width="2.07421875" style="2842" customWidth="1"/>
    <col min="7949" max="7949" width="23.84375" style="2842" customWidth="1"/>
    <col min="7950" max="7950" width="2.07421875" style="2842" customWidth="1"/>
    <col min="7951" max="7951" width="23.84375" style="2842" customWidth="1"/>
    <col min="7952" max="7952" width="2.84375" style="2842" bestFit="1" customWidth="1"/>
    <col min="7953" max="8191" width="8.84375" style="2842"/>
    <col min="8192" max="8193" width="8.84375" style="2842" customWidth="1"/>
    <col min="8194" max="8194" width="10.07421875" style="2842" customWidth="1"/>
    <col min="8195" max="8195" width="2.07421875" style="2842" customWidth="1"/>
    <col min="8196" max="8196" width="50.4609375" style="2842" customWidth="1"/>
    <col min="8197" max="8197" width="8.84375" style="2842"/>
    <col min="8198" max="8198" width="2.07421875" style="2842" customWidth="1"/>
    <col min="8199" max="8199" width="23.84375" style="2842" customWidth="1"/>
    <col min="8200" max="8200" width="2.07421875" style="2842" customWidth="1"/>
    <col min="8201" max="8201" width="23.84375" style="2842" customWidth="1"/>
    <col min="8202" max="8202" width="2.07421875" style="2842" customWidth="1"/>
    <col min="8203" max="8203" width="23.84375" style="2842" customWidth="1"/>
    <col min="8204" max="8204" width="2.07421875" style="2842" customWidth="1"/>
    <col min="8205" max="8205" width="23.84375" style="2842" customWidth="1"/>
    <col min="8206" max="8206" width="2.07421875" style="2842" customWidth="1"/>
    <col min="8207" max="8207" width="23.84375" style="2842" customWidth="1"/>
    <col min="8208" max="8208" width="2.84375" style="2842" bestFit="1" customWidth="1"/>
    <col min="8209" max="8447" width="8.84375" style="2842"/>
    <col min="8448" max="8449" width="8.84375" style="2842" customWidth="1"/>
    <col min="8450" max="8450" width="10.07421875" style="2842" customWidth="1"/>
    <col min="8451" max="8451" width="2.07421875" style="2842" customWidth="1"/>
    <col min="8452" max="8452" width="50.4609375" style="2842" customWidth="1"/>
    <col min="8453" max="8453" width="8.84375" style="2842"/>
    <col min="8454" max="8454" width="2.07421875" style="2842" customWidth="1"/>
    <col min="8455" max="8455" width="23.84375" style="2842" customWidth="1"/>
    <col min="8456" max="8456" width="2.07421875" style="2842" customWidth="1"/>
    <col min="8457" max="8457" width="23.84375" style="2842" customWidth="1"/>
    <col min="8458" max="8458" width="2.07421875" style="2842" customWidth="1"/>
    <col min="8459" max="8459" width="23.84375" style="2842" customWidth="1"/>
    <col min="8460" max="8460" width="2.07421875" style="2842" customWidth="1"/>
    <col min="8461" max="8461" width="23.84375" style="2842" customWidth="1"/>
    <col min="8462" max="8462" width="2.07421875" style="2842" customWidth="1"/>
    <col min="8463" max="8463" width="23.84375" style="2842" customWidth="1"/>
    <col min="8464" max="8464" width="2.84375" style="2842" bestFit="1" customWidth="1"/>
    <col min="8465" max="8703" width="8.84375" style="2842"/>
    <col min="8704" max="8705" width="8.84375" style="2842" customWidth="1"/>
    <col min="8706" max="8706" width="10.07421875" style="2842" customWidth="1"/>
    <col min="8707" max="8707" width="2.07421875" style="2842" customWidth="1"/>
    <col min="8708" max="8708" width="50.4609375" style="2842" customWidth="1"/>
    <col min="8709" max="8709" width="8.84375" style="2842"/>
    <col min="8710" max="8710" width="2.07421875" style="2842" customWidth="1"/>
    <col min="8711" max="8711" width="23.84375" style="2842" customWidth="1"/>
    <col min="8712" max="8712" width="2.07421875" style="2842" customWidth="1"/>
    <col min="8713" max="8713" width="23.84375" style="2842" customWidth="1"/>
    <col min="8714" max="8714" width="2.07421875" style="2842" customWidth="1"/>
    <col min="8715" max="8715" width="23.84375" style="2842" customWidth="1"/>
    <col min="8716" max="8716" width="2.07421875" style="2842" customWidth="1"/>
    <col min="8717" max="8717" width="23.84375" style="2842" customWidth="1"/>
    <col min="8718" max="8718" width="2.07421875" style="2842" customWidth="1"/>
    <col min="8719" max="8719" width="23.84375" style="2842" customWidth="1"/>
    <col min="8720" max="8720" width="2.84375" style="2842" bestFit="1" customWidth="1"/>
    <col min="8721" max="8959" width="8.84375" style="2842"/>
    <col min="8960" max="8961" width="8.84375" style="2842" customWidth="1"/>
    <col min="8962" max="8962" width="10.07421875" style="2842" customWidth="1"/>
    <col min="8963" max="8963" width="2.07421875" style="2842" customWidth="1"/>
    <col min="8964" max="8964" width="50.4609375" style="2842" customWidth="1"/>
    <col min="8965" max="8965" width="8.84375" style="2842"/>
    <col min="8966" max="8966" width="2.07421875" style="2842" customWidth="1"/>
    <col min="8967" max="8967" width="23.84375" style="2842" customWidth="1"/>
    <col min="8968" max="8968" width="2.07421875" style="2842" customWidth="1"/>
    <col min="8969" max="8969" width="23.84375" style="2842" customWidth="1"/>
    <col min="8970" max="8970" width="2.07421875" style="2842" customWidth="1"/>
    <col min="8971" max="8971" width="23.84375" style="2842" customWidth="1"/>
    <col min="8972" max="8972" width="2.07421875" style="2842" customWidth="1"/>
    <col min="8973" max="8973" width="23.84375" style="2842" customWidth="1"/>
    <col min="8974" max="8974" width="2.07421875" style="2842" customWidth="1"/>
    <col min="8975" max="8975" width="23.84375" style="2842" customWidth="1"/>
    <col min="8976" max="8976" width="2.84375" style="2842" bestFit="1" customWidth="1"/>
    <col min="8977" max="9215" width="8.84375" style="2842"/>
    <col min="9216" max="9217" width="8.84375" style="2842" customWidth="1"/>
    <col min="9218" max="9218" width="10.07421875" style="2842" customWidth="1"/>
    <col min="9219" max="9219" width="2.07421875" style="2842" customWidth="1"/>
    <col min="9220" max="9220" width="50.4609375" style="2842" customWidth="1"/>
    <col min="9221" max="9221" width="8.84375" style="2842"/>
    <col min="9222" max="9222" width="2.07421875" style="2842" customWidth="1"/>
    <col min="9223" max="9223" width="23.84375" style="2842" customWidth="1"/>
    <col min="9224" max="9224" width="2.07421875" style="2842" customWidth="1"/>
    <col min="9225" max="9225" width="23.84375" style="2842" customWidth="1"/>
    <col min="9226" max="9226" width="2.07421875" style="2842" customWidth="1"/>
    <col min="9227" max="9227" width="23.84375" style="2842" customWidth="1"/>
    <col min="9228" max="9228" width="2.07421875" style="2842" customWidth="1"/>
    <col min="9229" max="9229" width="23.84375" style="2842" customWidth="1"/>
    <col min="9230" max="9230" width="2.07421875" style="2842" customWidth="1"/>
    <col min="9231" max="9231" width="23.84375" style="2842" customWidth="1"/>
    <col min="9232" max="9232" width="2.84375" style="2842" bestFit="1" customWidth="1"/>
    <col min="9233" max="9471" width="8.84375" style="2842"/>
    <col min="9472" max="9473" width="8.84375" style="2842" customWidth="1"/>
    <col min="9474" max="9474" width="10.07421875" style="2842" customWidth="1"/>
    <col min="9475" max="9475" width="2.07421875" style="2842" customWidth="1"/>
    <col min="9476" max="9476" width="50.4609375" style="2842" customWidth="1"/>
    <col min="9477" max="9477" width="8.84375" style="2842"/>
    <col min="9478" max="9478" width="2.07421875" style="2842" customWidth="1"/>
    <col min="9479" max="9479" width="23.84375" style="2842" customWidth="1"/>
    <col min="9480" max="9480" width="2.07421875" style="2842" customWidth="1"/>
    <col min="9481" max="9481" width="23.84375" style="2842" customWidth="1"/>
    <col min="9482" max="9482" width="2.07421875" style="2842" customWidth="1"/>
    <col min="9483" max="9483" width="23.84375" style="2842" customWidth="1"/>
    <col min="9484" max="9484" width="2.07421875" style="2842" customWidth="1"/>
    <col min="9485" max="9485" width="23.84375" style="2842" customWidth="1"/>
    <col min="9486" max="9486" width="2.07421875" style="2842" customWidth="1"/>
    <col min="9487" max="9487" width="23.84375" style="2842" customWidth="1"/>
    <col min="9488" max="9488" width="2.84375" style="2842" bestFit="1" customWidth="1"/>
    <col min="9489" max="9727" width="8.84375" style="2842"/>
    <col min="9728" max="9729" width="8.84375" style="2842" customWidth="1"/>
    <col min="9730" max="9730" width="10.07421875" style="2842" customWidth="1"/>
    <col min="9731" max="9731" width="2.07421875" style="2842" customWidth="1"/>
    <col min="9732" max="9732" width="50.4609375" style="2842" customWidth="1"/>
    <col min="9733" max="9733" width="8.84375" style="2842"/>
    <col min="9734" max="9734" width="2.07421875" style="2842" customWidth="1"/>
    <col min="9735" max="9735" width="23.84375" style="2842" customWidth="1"/>
    <col min="9736" max="9736" width="2.07421875" style="2842" customWidth="1"/>
    <col min="9737" max="9737" width="23.84375" style="2842" customWidth="1"/>
    <col min="9738" max="9738" width="2.07421875" style="2842" customWidth="1"/>
    <col min="9739" max="9739" width="23.84375" style="2842" customWidth="1"/>
    <col min="9740" max="9740" width="2.07421875" style="2842" customWidth="1"/>
    <col min="9741" max="9741" width="23.84375" style="2842" customWidth="1"/>
    <col min="9742" max="9742" width="2.07421875" style="2842" customWidth="1"/>
    <col min="9743" max="9743" width="23.84375" style="2842" customWidth="1"/>
    <col min="9744" max="9744" width="2.84375" style="2842" bestFit="1" customWidth="1"/>
    <col min="9745" max="9983" width="8.84375" style="2842"/>
    <col min="9984" max="9985" width="8.84375" style="2842" customWidth="1"/>
    <col min="9986" max="9986" width="10.07421875" style="2842" customWidth="1"/>
    <col min="9987" max="9987" width="2.07421875" style="2842" customWidth="1"/>
    <col min="9988" max="9988" width="50.4609375" style="2842" customWidth="1"/>
    <col min="9989" max="9989" width="8.84375" style="2842"/>
    <col min="9990" max="9990" width="2.07421875" style="2842" customWidth="1"/>
    <col min="9991" max="9991" width="23.84375" style="2842" customWidth="1"/>
    <col min="9992" max="9992" width="2.07421875" style="2842" customWidth="1"/>
    <col min="9993" max="9993" width="23.84375" style="2842" customWidth="1"/>
    <col min="9994" max="9994" width="2.07421875" style="2842" customWidth="1"/>
    <col min="9995" max="9995" width="23.84375" style="2842" customWidth="1"/>
    <col min="9996" max="9996" width="2.07421875" style="2842" customWidth="1"/>
    <col min="9997" max="9997" width="23.84375" style="2842" customWidth="1"/>
    <col min="9998" max="9998" width="2.07421875" style="2842" customWidth="1"/>
    <col min="9999" max="9999" width="23.84375" style="2842" customWidth="1"/>
    <col min="10000" max="10000" width="2.84375" style="2842" bestFit="1" customWidth="1"/>
    <col min="10001" max="10239" width="8.84375" style="2842"/>
    <col min="10240" max="10241" width="8.84375" style="2842" customWidth="1"/>
    <col min="10242" max="10242" width="10.07421875" style="2842" customWidth="1"/>
    <col min="10243" max="10243" width="2.07421875" style="2842" customWidth="1"/>
    <col min="10244" max="10244" width="50.4609375" style="2842" customWidth="1"/>
    <col min="10245" max="10245" width="8.84375" style="2842"/>
    <col min="10246" max="10246" width="2.07421875" style="2842" customWidth="1"/>
    <col min="10247" max="10247" width="23.84375" style="2842" customWidth="1"/>
    <col min="10248" max="10248" width="2.07421875" style="2842" customWidth="1"/>
    <col min="10249" max="10249" width="23.84375" style="2842" customWidth="1"/>
    <col min="10250" max="10250" width="2.07421875" style="2842" customWidth="1"/>
    <col min="10251" max="10251" width="23.84375" style="2842" customWidth="1"/>
    <col min="10252" max="10252" width="2.07421875" style="2842" customWidth="1"/>
    <col min="10253" max="10253" width="23.84375" style="2842" customWidth="1"/>
    <col min="10254" max="10254" width="2.07421875" style="2842" customWidth="1"/>
    <col min="10255" max="10255" width="23.84375" style="2842" customWidth="1"/>
    <col min="10256" max="10256" width="2.84375" style="2842" bestFit="1" customWidth="1"/>
    <col min="10257" max="10495" width="8.84375" style="2842"/>
    <col min="10496" max="10497" width="8.84375" style="2842" customWidth="1"/>
    <col min="10498" max="10498" width="10.07421875" style="2842" customWidth="1"/>
    <col min="10499" max="10499" width="2.07421875" style="2842" customWidth="1"/>
    <col min="10500" max="10500" width="50.4609375" style="2842" customWidth="1"/>
    <col min="10501" max="10501" width="8.84375" style="2842"/>
    <col min="10502" max="10502" width="2.07421875" style="2842" customWidth="1"/>
    <col min="10503" max="10503" width="23.84375" style="2842" customWidth="1"/>
    <col min="10504" max="10504" width="2.07421875" style="2842" customWidth="1"/>
    <col min="10505" max="10505" width="23.84375" style="2842" customWidth="1"/>
    <col min="10506" max="10506" width="2.07421875" style="2842" customWidth="1"/>
    <col min="10507" max="10507" width="23.84375" style="2842" customWidth="1"/>
    <col min="10508" max="10508" width="2.07421875" style="2842" customWidth="1"/>
    <col min="10509" max="10509" width="23.84375" style="2842" customWidth="1"/>
    <col min="10510" max="10510" width="2.07421875" style="2842" customWidth="1"/>
    <col min="10511" max="10511" width="23.84375" style="2842" customWidth="1"/>
    <col min="10512" max="10512" width="2.84375" style="2842" bestFit="1" customWidth="1"/>
    <col min="10513" max="10751" width="8.84375" style="2842"/>
    <col min="10752" max="10753" width="8.84375" style="2842" customWidth="1"/>
    <col min="10754" max="10754" width="10.07421875" style="2842" customWidth="1"/>
    <col min="10755" max="10755" width="2.07421875" style="2842" customWidth="1"/>
    <col min="10756" max="10756" width="50.4609375" style="2842" customWidth="1"/>
    <col min="10757" max="10757" width="8.84375" style="2842"/>
    <col min="10758" max="10758" width="2.07421875" style="2842" customWidth="1"/>
    <col min="10759" max="10759" width="23.84375" style="2842" customWidth="1"/>
    <col min="10760" max="10760" width="2.07421875" style="2842" customWidth="1"/>
    <col min="10761" max="10761" width="23.84375" style="2842" customWidth="1"/>
    <col min="10762" max="10762" width="2.07421875" style="2842" customWidth="1"/>
    <col min="10763" max="10763" width="23.84375" style="2842" customWidth="1"/>
    <col min="10764" max="10764" width="2.07421875" style="2842" customWidth="1"/>
    <col min="10765" max="10765" width="23.84375" style="2842" customWidth="1"/>
    <col min="10766" max="10766" width="2.07421875" style="2842" customWidth="1"/>
    <col min="10767" max="10767" width="23.84375" style="2842" customWidth="1"/>
    <col min="10768" max="10768" width="2.84375" style="2842" bestFit="1" customWidth="1"/>
    <col min="10769" max="11007" width="8.84375" style="2842"/>
    <col min="11008" max="11009" width="8.84375" style="2842" customWidth="1"/>
    <col min="11010" max="11010" width="10.07421875" style="2842" customWidth="1"/>
    <col min="11011" max="11011" width="2.07421875" style="2842" customWidth="1"/>
    <col min="11012" max="11012" width="50.4609375" style="2842" customWidth="1"/>
    <col min="11013" max="11013" width="8.84375" style="2842"/>
    <col min="11014" max="11014" width="2.07421875" style="2842" customWidth="1"/>
    <col min="11015" max="11015" width="23.84375" style="2842" customWidth="1"/>
    <col min="11016" max="11016" width="2.07421875" style="2842" customWidth="1"/>
    <col min="11017" max="11017" width="23.84375" style="2842" customWidth="1"/>
    <col min="11018" max="11018" width="2.07421875" style="2842" customWidth="1"/>
    <col min="11019" max="11019" width="23.84375" style="2842" customWidth="1"/>
    <col min="11020" max="11020" width="2.07421875" style="2842" customWidth="1"/>
    <col min="11021" max="11021" width="23.84375" style="2842" customWidth="1"/>
    <col min="11022" max="11022" width="2.07421875" style="2842" customWidth="1"/>
    <col min="11023" max="11023" width="23.84375" style="2842" customWidth="1"/>
    <col min="11024" max="11024" width="2.84375" style="2842" bestFit="1" customWidth="1"/>
    <col min="11025" max="11263" width="8.84375" style="2842"/>
    <col min="11264" max="11265" width="8.84375" style="2842" customWidth="1"/>
    <col min="11266" max="11266" width="10.07421875" style="2842" customWidth="1"/>
    <col min="11267" max="11267" width="2.07421875" style="2842" customWidth="1"/>
    <col min="11268" max="11268" width="50.4609375" style="2842" customWidth="1"/>
    <col min="11269" max="11269" width="8.84375" style="2842"/>
    <col min="11270" max="11270" width="2.07421875" style="2842" customWidth="1"/>
    <col min="11271" max="11271" width="23.84375" style="2842" customWidth="1"/>
    <col min="11272" max="11272" width="2.07421875" style="2842" customWidth="1"/>
    <col min="11273" max="11273" width="23.84375" style="2842" customWidth="1"/>
    <col min="11274" max="11274" width="2.07421875" style="2842" customWidth="1"/>
    <col min="11275" max="11275" width="23.84375" style="2842" customWidth="1"/>
    <col min="11276" max="11276" width="2.07421875" style="2842" customWidth="1"/>
    <col min="11277" max="11277" width="23.84375" style="2842" customWidth="1"/>
    <col min="11278" max="11278" width="2.07421875" style="2842" customWidth="1"/>
    <col min="11279" max="11279" width="23.84375" style="2842" customWidth="1"/>
    <col min="11280" max="11280" width="2.84375" style="2842" bestFit="1" customWidth="1"/>
    <col min="11281" max="11519" width="8.84375" style="2842"/>
    <col min="11520" max="11521" width="8.84375" style="2842" customWidth="1"/>
    <col min="11522" max="11522" width="10.07421875" style="2842" customWidth="1"/>
    <col min="11523" max="11523" width="2.07421875" style="2842" customWidth="1"/>
    <col min="11524" max="11524" width="50.4609375" style="2842" customWidth="1"/>
    <col min="11525" max="11525" width="8.84375" style="2842"/>
    <col min="11526" max="11526" width="2.07421875" style="2842" customWidth="1"/>
    <col min="11527" max="11527" width="23.84375" style="2842" customWidth="1"/>
    <col min="11528" max="11528" width="2.07421875" style="2842" customWidth="1"/>
    <col min="11529" max="11529" width="23.84375" style="2842" customWidth="1"/>
    <col min="11530" max="11530" width="2.07421875" style="2842" customWidth="1"/>
    <col min="11531" max="11531" width="23.84375" style="2842" customWidth="1"/>
    <col min="11532" max="11532" width="2.07421875" style="2842" customWidth="1"/>
    <col min="11533" max="11533" width="23.84375" style="2842" customWidth="1"/>
    <col min="11534" max="11534" width="2.07421875" style="2842" customWidth="1"/>
    <col min="11535" max="11535" width="23.84375" style="2842" customWidth="1"/>
    <col min="11536" max="11536" width="2.84375" style="2842" bestFit="1" customWidth="1"/>
    <col min="11537" max="11775" width="8.84375" style="2842"/>
    <col min="11776" max="11777" width="8.84375" style="2842" customWidth="1"/>
    <col min="11778" max="11778" width="10.07421875" style="2842" customWidth="1"/>
    <col min="11779" max="11779" width="2.07421875" style="2842" customWidth="1"/>
    <col min="11780" max="11780" width="50.4609375" style="2842" customWidth="1"/>
    <col min="11781" max="11781" width="8.84375" style="2842"/>
    <col min="11782" max="11782" width="2.07421875" style="2842" customWidth="1"/>
    <col min="11783" max="11783" width="23.84375" style="2842" customWidth="1"/>
    <col min="11784" max="11784" width="2.07421875" style="2842" customWidth="1"/>
    <col min="11785" max="11785" width="23.84375" style="2842" customWidth="1"/>
    <col min="11786" max="11786" width="2.07421875" style="2842" customWidth="1"/>
    <col min="11787" max="11787" width="23.84375" style="2842" customWidth="1"/>
    <col min="11788" max="11788" width="2.07421875" style="2842" customWidth="1"/>
    <col min="11789" max="11789" width="23.84375" style="2842" customWidth="1"/>
    <col min="11790" max="11790" width="2.07421875" style="2842" customWidth="1"/>
    <col min="11791" max="11791" width="23.84375" style="2842" customWidth="1"/>
    <col min="11792" max="11792" width="2.84375" style="2842" bestFit="1" customWidth="1"/>
    <col min="11793" max="12031" width="8.84375" style="2842"/>
    <col min="12032" max="12033" width="8.84375" style="2842" customWidth="1"/>
    <col min="12034" max="12034" width="10.07421875" style="2842" customWidth="1"/>
    <col min="12035" max="12035" width="2.07421875" style="2842" customWidth="1"/>
    <col min="12036" max="12036" width="50.4609375" style="2842" customWidth="1"/>
    <col min="12037" max="12037" width="8.84375" style="2842"/>
    <col min="12038" max="12038" width="2.07421875" style="2842" customWidth="1"/>
    <col min="12039" max="12039" width="23.84375" style="2842" customWidth="1"/>
    <col min="12040" max="12040" width="2.07421875" style="2842" customWidth="1"/>
    <col min="12041" max="12041" width="23.84375" style="2842" customWidth="1"/>
    <col min="12042" max="12042" width="2.07421875" style="2842" customWidth="1"/>
    <col min="12043" max="12043" width="23.84375" style="2842" customWidth="1"/>
    <col min="12044" max="12044" width="2.07421875" style="2842" customWidth="1"/>
    <col min="12045" max="12045" width="23.84375" style="2842" customWidth="1"/>
    <col min="12046" max="12046" width="2.07421875" style="2842" customWidth="1"/>
    <col min="12047" max="12047" width="23.84375" style="2842" customWidth="1"/>
    <col min="12048" max="12048" width="2.84375" style="2842" bestFit="1" customWidth="1"/>
    <col min="12049" max="12287" width="8.84375" style="2842"/>
    <col min="12288" max="12289" width="8.84375" style="2842" customWidth="1"/>
    <col min="12290" max="12290" width="10.07421875" style="2842" customWidth="1"/>
    <col min="12291" max="12291" width="2.07421875" style="2842" customWidth="1"/>
    <col min="12292" max="12292" width="50.4609375" style="2842" customWidth="1"/>
    <col min="12293" max="12293" width="8.84375" style="2842"/>
    <col min="12294" max="12294" width="2.07421875" style="2842" customWidth="1"/>
    <col min="12295" max="12295" width="23.84375" style="2842" customWidth="1"/>
    <col min="12296" max="12296" width="2.07421875" style="2842" customWidth="1"/>
    <col min="12297" max="12297" width="23.84375" style="2842" customWidth="1"/>
    <col min="12298" max="12298" width="2.07421875" style="2842" customWidth="1"/>
    <col min="12299" max="12299" width="23.84375" style="2842" customWidth="1"/>
    <col min="12300" max="12300" width="2.07421875" style="2842" customWidth="1"/>
    <col min="12301" max="12301" width="23.84375" style="2842" customWidth="1"/>
    <col min="12302" max="12302" width="2.07421875" style="2842" customWidth="1"/>
    <col min="12303" max="12303" width="23.84375" style="2842" customWidth="1"/>
    <col min="12304" max="12304" width="2.84375" style="2842" bestFit="1" customWidth="1"/>
    <col min="12305" max="12543" width="8.84375" style="2842"/>
    <col min="12544" max="12545" width="8.84375" style="2842" customWidth="1"/>
    <col min="12546" max="12546" width="10.07421875" style="2842" customWidth="1"/>
    <col min="12547" max="12547" width="2.07421875" style="2842" customWidth="1"/>
    <col min="12548" max="12548" width="50.4609375" style="2842" customWidth="1"/>
    <col min="12549" max="12549" width="8.84375" style="2842"/>
    <col min="12550" max="12550" width="2.07421875" style="2842" customWidth="1"/>
    <col min="12551" max="12551" width="23.84375" style="2842" customWidth="1"/>
    <col min="12552" max="12552" width="2.07421875" style="2842" customWidth="1"/>
    <col min="12553" max="12553" width="23.84375" style="2842" customWidth="1"/>
    <col min="12554" max="12554" width="2.07421875" style="2842" customWidth="1"/>
    <col min="12555" max="12555" width="23.84375" style="2842" customWidth="1"/>
    <col min="12556" max="12556" width="2.07421875" style="2842" customWidth="1"/>
    <col min="12557" max="12557" width="23.84375" style="2842" customWidth="1"/>
    <col min="12558" max="12558" width="2.07421875" style="2842" customWidth="1"/>
    <col min="12559" max="12559" width="23.84375" style="2842" customWidth="1"/>
    <col min="12560" max="12560" width="2.84375" style="2842" bestFit="1" customWidth="1"/>
    <col min="12561" max="12799" width="8.84375" style="2842"/>
    <col min="12800" max="12801" width="8.84375" style="2842" customWidth="1"/>
    <col min="12802" max="12802" width="10.07421875" style="2842" customWidth="1"/>
    <col min="12803" max="12803" width="2.07421875" style="2842" customWidth="1"/>
    <col min="12804" max="12804" width="50.4609375" style="2842" customWidth="1"/>
    <col min="12805" max="12805" width="8.84375" style="2842"/>
    <col min="12806" max="12806" width="2.07421875" style="2842" customWidth="1"/>
    <col min="12807" max="12807" width="23.84375" style="2842" customWidth="1"/>
    <col min="12808" max="12808" width="2.07421875" style="2842" customWidth="1"/>
    <col min="12809" max="12809" width="23.84375" style="2842" customWidth="1"/>
    <col min="12810" max="12810" width="2.07421875" style="2842" customWidth="1"/>
    <col min="12811" max="12811" width="23.84375" style="2842" customWidth="1"/>
    <col min="12812" max="12812" width="2.07421875" style="2842" customWidth="1"/>
    <col min="12813" max="12813" width="23.84375" style="2842" customWidth="1"/>
    <col min="12814" max="12814" width="2.07421875" style="2842" customWidth="1"/>
    <col min="12815" max="12815" width="23.84375" style="2842" customWidth="1"/>
    <col min="12816" max="12816" width="2.84375" style="2842" bestFit="1" customWidth="1"/>
    <col min="12817" max="13055" width="8.84375" style="2842"/>
    <col min="13056" max="13057" width="8.84375" style="2842" customWidth="1"/>
    <col min="13058" max="13058" width="10.07421875" style="2842" customWidth="1"/>
    <col min="13059" max="13059" width="2.07421875" style="2842" customWidth="1"/>
    <col min="13060" max="13060" width="50.4609375" style="2842" customWidth="1"/>
    <col min="13061" max="13061" width="8.84375" style="2842"/>
    <col min="13062" max="13062" width="2.07421875" style="2842" customWidth="1"/>
    <col min="13063" max="13063" width="23.84375" style="2842" customWidth="1"/>
    <col min="13064" max="13064" width="2.07421875" style="2842" customWidth="1"/>
    <col min="13065" max="13065" width="23.84375" style="2842" customWidth="1"/>
    <col min="13066" max="13066" width="2.07421875" style="2842" customWidth="1"/>
    <col min="13067" max="13067" width="23.84375" style="2842" customWidth="1"/>
    <col min="13068" max="13068" width="2.07421875" style="2842" customWidth="1"/>
    <col min="13069" max="13069" width="23.84375" style="2842" customWidth="1"/>
    <col min="13070" max="13070" width="2.07421875" style="2842" customWidth="1"/>
    <col min="13071" max="13071" width="23.84375" style="2842" customWidth="1"/>
    <col min="13072" max="13072" width="2.84375" style="2842" bestFit="1" customWidth="1"/>
    <col min="13073" max="13311" width="8.84375" style="2842"/>
    <col min="13312" max="13313" width="8.84375" style="2842" customWidth="1"/>
    <col min="13314" max="13314" width="10.07421875" style="2842" customWidth="1"/>
    <col min="13315" max="13315" width="2.07421875" style="2842" customWidth="1"/>
    <col min="13316" max="13316" width="50.4609375" style="2842" customWidth="1"/>
    <col min="13317" max="13317" width="8.84375" style="2842"/>
    <col min="13318" max="13318" width="2.07421875" style="2842" customWidth="1"/>
    <col min="13319" max="13319" width="23.84375" style="2842" customWidth="1"/>
    <col min="13320" max="13320" width="2.07421875" style="2842" customWidth="1"/>
    <col min="13321" max="13321" width="23.84375" style="2842" customWidth="1"/>
    <col min="13322" max="13322" width="2.07421875" style="2842" customWidth="1"/>
    <col min="13323" max="13323" width="23.84375" style="2842" customWidth="1"/>
    <col min="13324" max="13324" width="2.07421875" style="2842" customWidth="1"/>
    <col min="13325" max="13325" width="23.84375" style="2842" customWidth="1"/>
    <col min="13326" max="13326" width="2.07421875" style="2842" customWidth="1"/>
    <col min="13327" max="13327" width="23.84375" style="2842" customWidth="1"/>
    <col min="13328" max="13328" width="2.84375" style="2842" bestFit="1" customWidth="1"/>
    <col min="13329" max="13567" width="8.84375" style="2842"/>
    <col min="13568" max="13569" width="8.84375" style="2842" customWidth="1"/>
    <col min="13570" max="13570" width="10.07421875" style="2842" customWidth="1"/>
    <col min="13571" max="13571" width="2.07421875" style="2842" customWidth="1"/>
    <col min="13572" max="13572" width="50.4609375" style="2842" customWidth="1"/>
    <col min="13573" max="13573" width="8.84375" style="2842"/>
    <col min="13574" max="13574" width="2.07421875" style="2842" customWidth="1"/>
    <col min="13575" max="13575" width="23.84375" style="2842" customWidth="1"/>
    <col min="13576" max="13576" width="2.07421875" style="2842" customWidth="1"/>
    <col min="13577" max="13577" width="23.84375" style="2842" customWidth="1"/>
    <col min="13578" max="13578" width="2.07421875" style="2842" customWidth="1"/>
    <col min="13579" max="13579" width="23.84375" style="2842" customWidth="1"/>
    <col min="13580" max="13580" width="2.07421875" style="2842" customWidth="1"/>
    <col min="13581" max="13581" width="23.84375" style="2842" customWidth="1"/>
    <col min="13582" max="13582" width="2.07421875" style="2842" customWidth="1"/>
    <col min="13583" max="13583" width="23.84375" style="2842" customWidth="1"/>
    <col min="13584" max="13584" width="2.84375" style="2842" bestFit="1" customWidth="1"/>
    <col min="13585" max="13823" width="8.84375" style="2842"/>
    <col min="13824" max="13825" width="8.84375" style="2842" customWidth="1"/>
    <col min="13826" max="13826" width="10.07421875" style="2842" customWidth="1"/>
    <col min="13827" max="13827" width="2.07421875" style="2842" customWidth="1"/>
    <col min="13828" max="13828" width="50.4609375" style="2842" customWidth="1"/>
    <col min="13829" max="13829" width="8.84375" style="2842"/>
    <col min="13830" max="13830" width="2.07421875" style="2842" customWidth="1"/>
    <col min="13831" max="13831" width="23.84375" style="2842" customWidth="1"/>
    <col min="13832" max="13832" width="2.07421875" style="2842" customWidth="1"/>
    <col min="13833" max="13833" width="23.84375" style="2842" customWidth="1"/>
    <col min="13834" max="13834" width="2.07421875" style="2842" customWidth="1"/>
    <col min="13835" max="13835" width="23.84375" style="2842" customWidth="1"/>
    <col min="13836" max="13836" width="2.07421875" style="2842" customWidth="1"/>
    <col min="13837" max="13837" width="23.84375" style="2842" customWidth="1"/>
    <col min="13838" max="13838" width="2.07421875" style="2842" customWidth="1"/>
    <col min="13839" max="13839" width="23.84375" style="2842" customWidth="1"/>
    <col min="13840" max="13840" width="2.84375" style="2842" bestFit="1" customWidth="1"/>
    <col min="13841" max="14079" width="8.84375" style="2842"/>
    <col min="14080" max="14081" width="8.84375" style="2842" customWidth="1"/>
    <col min="14082" max="14082" width="10.07421875" style="2842" customWidth="1"/>
    <col min="14083" max="14083" width="2.07421875" style="2842" customWidth="1"/>
    <col min="14084" max="14084" width="50.4609375" style="2842" customWidth="1"/>
    <col min="14085" max="14085" width="8.84375" style="2842"/>
    <col min="14086" max="14086" width="2.07421875" style="2842" customWidth="1"/>
    <col min="14087" max="14087" width="23.84375" style="2842" customWidth="1"/>
    <col min="14088" max="14088" width="2.07421875" style="2842" customWidth="1"/>
    <col min="14089" max="14089" width="23.84375" style="2842" customWidth="1"/>
    <col min="14090" max="14090" width="2.07421875" style="2842" customWidth="1"/>
    <col min="14091" max="14091" width="23.84375" style="2842" customWidth="1"/>
    <col min="14092" max="14092" width="2.07421875" style="2842" customWidth="1"/>
    <col min="14093" max="14093" width="23.84375" style="2842" customWidth="1"/>
    <col min="14094" max="14094" width="2.07421875" style="2842" customWidth="1"/>
    <col min="14095" max="14095" width="23.84375" style="2842" customWidth="1"/>
    <col min="14096" max="14096" width="2.84375" style="2842" bestFit="1" customWidth="1"/>
    <col min="14097" max="14335" width="8.84375" style="2842"/>
    <col min="14336" max="14337" width="8.84375" style="2842" customWidth="1"/>
    <col min="14338" max="14338" width="10.07421875" style="2842" customWidth="1"/>
    <col min="14339" max="14339" width="2.07421875" style="2842" customWidth="1"/>
    <col min="14340" max="14340" width="50.4609375" style="2842" customWidth="1"/>
    <col min="14341" max="14341" width="8.84375" style="2842"/>
    <col min="14342" max="14342" width="2.07421875" style="2842" customWidth="1"/>
    <col min="14343" max="14343" width="23.84375" style="2842" customWidth="1"/>
    <col min="14344" max="14344" width="2.07421875" style="2842" customWidth="1"/>
    <col min="14345" max="14345" width="23.84375" style="2842" customWidth="1"/>
    <col min="14346" max="14346" width="2.07421875" style="2842" customWidth="1"/>
    <col min="14347" max="14347" width="23.84375" style="2842" customWidth="1"/>
    <col min="14348" max="14348" width="2.07421875" style="2842" customWidth="1"/>
    <col min="14349" max="14349" width="23.84375" style="2842" customWidth="1"/>
    <col min="14350" max="14350" width="2.07421875" style="2842" customWidth="1"/>
    <col min="14351" max="14351" width="23.84375" style="2842" customWidth="1"/>
    <col min="14352" max="14352" width="2.84375" style="2842" bestFit="1" customWidth="1"/>
    <col min="14353" max="14591" width="8.84375" style="2842"/>
    <col min="14592" max="14593" width="8.84375" style="2842" customWidth="1"/>
    <col min="14594" max="14594" width="10.07421875" style="2842" customWidth="1"/>
    <col min="14595" max="14595" width="2.07421875" style="2842" customWidth="1"/>
    <col min="14596" max="14596" width="50.4609375" style="2842" customWidth="1"/>
    <col min="14597" max="14597" width="8.84375" style="2842"/>
    <col min="14598" max="14598" width="2.07421875" style="2842" customWidth="1"/>
    <col min="14599" max="14599" width="23.84375" style="2842" customWidth="1"/>
    <col min="14600" max="14600" width="2.07421875" style="2842" customWidth="1"/>
    <col min="14601" max="14601" width="23.84375" style="2842" customWidth="1"/>
    <col min="14602" max="14602" width="2.07421875" style="2842" customWidth="1"/>
    <col min="14603" max="14603" width="23.84375" style="2842" customWidth="1"/>
    <col min="14604" max="14604" width="2.07421875" style="2842" customWidth="1"/>
    <col min="14605" max="14605" width="23.84375" style="2842" customWidth="1"/>
    <col min="14606" max="14606" width="2.07421875" style="2842" customWidth="1"/>
    <col min="14607" max="14607" width="23.84375" style="2842" customWidth="1"/>
    <col min="14608" max="14608" width="2.84375" style="2842" bestFit="1" customWidth="1"/>
    <col min="14609" max="14847" width="8.84375" style="2842"/>
    <col min="14848" max="14849" width="8.84375" style="2842" customWidth="1"/>
    <col min="14850" max="14850" width="10.07421875" style="2842" customWidth="1"/>
    <col min="14851" max="14851" width="2.07421875" style="2842" customWidth="1"/>
    <col min="14852" max="14852" width="50.4609375" style="2842" customWidth="1"/>
    <col min="14853" max="14853" width="8.84375" style="2842"/>
    <col min="14854" max="14854" width="2.07421875" style="2842" customWidth="1"/>
    <col min="14855" max="14855" width="23.84375" style="2842" customWidth="1"/>
    <col min="14856" max="14856" width="2.07421875" style="2842" customWidth="1"/>
    <col min="14857" max="14857" width="23.84375" style="2842" customWidth="1"/>
    <col min="14858" max="14858" width="2.07421875" style="2842" customWidth="1"/>
    <col min="14859" max="14859" width="23.84375" style="2842" customWidth="1"/>
    <col min="14860" max="14860" width="2.07421875" style="2842" customWidth="1"/>
    <col min="14861" max="14861" width="23.84375" style="2842" customWidth="1"/>
    <col min="14862" max="14862" width="2.07421875" style="2842" customWidth="1"/>
    <col min="14863" max="14863" width="23.84375" style="2842" customWidth="1"/>
    <col min="14864" max="14864" width="2.84375" style="2842" bestFit="1" customWidth="1"/>
    <col min="14865" max="15103" width="8.84375" style="2842"/>
    <col min="15104" max="15105" width="8.84375" style="2842" customWidth="1"/>
    <col min="15106" max="15106" width="10.07421875" style="2842" customWidth="1"/>
    <col min="15107" max="15107" width="2.07421875" style="2842" customWidth="1"/>
    <col min="15108" max="15108" width="50.4609375" style="2842" customWidth="1"/>
    <col min="15109" max="15109" width="8.84375" style="2842"/>
    <col min="15110" max="15110" width="2.07421875" style="2842" customWidth="1"/>
    <col min="15111" max="15111" width="23.84375" style="2842" customWidth="1"/>
    <col min="15112" max="15112" width="2.07421875" style="2842" customWidth="1"/>
    <col min="15113" max="15113" width="23.84375" style="2842" customWidth="1"/>
    <col min="15114" max="15114" width="2.07421875" style="2842" customWidth="1"/>
    <col min="15115" max="15115" width="23.84375" style="2842" customWidth="1"/>
    <col min="15116" max="15116" width="2.07421875" style="2842" customWidth="1"/>
    <col min="15117" max="15117" width="23.84375" style="2842" customWidth="1"/>
    <col min="15118" max="15118" width="2.07421875" style="2842" customWidth="1"/>
    <col min="15119" max="15119" width="23.84375" style="2842" customWidth="1"/>
    <col min="15120" max="15120" width="2.84375" style="2842" bestFit="1" customWidth="1"/>
    <col min="15121" max="15359" width="8.84375" style="2842"/>
    <col min="15360" max="15361" width="8.84375" style="2842" customWidth="1"/>
    <col min="15362" max="15362" width="10.07421875" style="2842" customWidth="1"/>
    <col min="15363" max="15363" width="2.07421875" style="2842" customWidth="1"/>
    <col min="15364" max="15364" width="50.4609375" style="2842" customWidth="1"/>
    <col min="15365" max="15365" width="8.84375" style="2842"/>
    <col min="15366" max="15366" width="2.07421875" style="2842" customWidth="1"/>
    <col min="15367" max="15367" width="23.84375" style="2842" customWidth="1"/>
    <col min="15368" max="15368" width="2.07421875" style="2842" customWidth="1"/>
    <col min="15369" max="15369" width="23.84375" style="2842" customWidth="1"/>
    <col min="15370" max="15370" width="2.07421875" style="2842" customWidth="1"/>
    <col min="15371" max="15371" width="23.84375" style="2842" customWidth="1"/>
    <col min="15372" max="15372" width="2.07421875" style="2842" customWidth="1"/>
    <col min="15373" max="15373" width="23.84375" style="2842" customWidth="1"/>
    <col min="15374" max="15374" width="2.07421875" style="2842" customWidth="1"/>
    <col min="15375" max="15375" width="23.84375" style="2842" customWidth="1"/>
    <col min="15376" max="15376" width="2.84375" style="2842" bestFit="1" customWidth="1"/>
    <col min="15377" max="15615" width="8.84375" style="2842"/>
    <col min="15616" max="15617" width="8.84375" style="2842" customWidth="1"/>
    <col min="15618" max="15618" width="10.07421875" style="2842" customWidth="1"/>
    <col min="15619" max="15619" width="2.07421875" style="2842" customWidth="1"/>
    <col min="15620" max="15620" width="50.4609375" style="2842" customWidth="1"/>
    <col min="15621" max="15621" width="8.84375" style="2842"/>
    <col min="15622" max="15622" width="2.07421875" style="2842" customWidth="1"/>
    <col min="15623" max="15623" width="23.84375" style="2842" customWidth="1"/>
    <col min="15624" max="15624" width="2.07421875" style="2842" customWidth="1"/>
    <col min="15625" max="15625" width="23.84375" style="2842" customWidth="1"/>
    <col min="15626" max="15626" width="2.07421875" style="2842" customWidth="1"/>
    <col min="15627" max="15627" width="23.84375" style="2842" customWidth="1"/>
    <col min="15628" max="15628" width="2.07421875" style="2842" customWidth="1"/>
    <col min="15629" max="15629" width="23.84375" style="2842" customWidth="1"/>
    <col min="15630" max="15630" width="2.07421875" style="2842" customWidth="1"/>
    <col min="15631" max="15631" width="23.84375" style="2842" customWidth="1"/>
    <col min="15632" max="15632" width="2.84375" style="2842" bestFit="1" customWidth="1"/>
    <col min="15633" max="15871" width="8.84375" style="2842"/>
    <col min="15872" max="15873" width="8.84375" style="2842" customWidth="1"/>
    <col min="15874" max="15874" width="10.07421875" style="2842" customWidth="1"/>
    <col min="15875" max="15875" width="2.07421875" style="2842" customWidth="1"/>
    <col min="15876" max="15876" width="50.4609375" style="2842" customWidth="1"/>
    <col min="15877" max="15877" width="8.84375" style="2842"/>
    <col min="15878" max="15878" width="2.07421875" style="2842" customWidth="1"/>
    <col min="15879" max="15879" width="23.84375" style="2842" customWidth="1"/>
    <col min="15880" max="15880" width="2.07421875" style="2842" customWidth="1"/>
    <col min="15881" max="15881" width="23.84375" style="2842" customWidth="1"/>
    <col min="15882" max="15882" width="2.07421875" style="2842" customWidth="1"/>
    <col min="15883" max="15883" width="23.84375" style="2842" customWidth="1"/>
    <col min="15884" max="15884" width="2.07421875" style="2842" customWidth="1"/>
    <col min="15885" max="15885" width="23.84375" style="2842" customWidth="1"/>
    <col min="15886" max="15886" width="2.07421875" style="2842" customWidth="1"/>
    <col min="15887" max="15887" width="23.84375" style="2842" customWidth="1"/>
    <col min="15888" max="15888" width="2.84375" style="2842" bestFit="1" customWidth="1"/>
    <col min="15889" max="16127" width="8.84375" style="2842"/>
    <col min="16128" max="16129" width="8.84375" style="2842" customWidth="1"/>
    <col min="16130" max="16130" width="10.07421875" style="2842" customWidth="1"/>
    <col min="16131" max="16131" width="2.07421875" style="2842" customWidth="1"/>
    <col min="16132" max="16132" width="50.4609375" style="2842" customWidth="1"/>
    <col min="16133" max="16133" width="8.84375" style="2842"/>
    <col min="16134" max="16134" width="2.07421875" style="2842" customWidth="1"/>
    <col min="16135" max="16135" width="23.84375" style="2842" customWidth="1"/>
    <col min="16136" max="16136" width="2.07421875" style="2842" customWidth="1"/>
    <col min="16137" max="16137" width="23.84375" style="2842" customWidth="1"/>
    <col min="16138" max="16138" width="2.07421875" style="2842" customWidth="1"/>
    <col min="16139" max="16139" width="23.84375" style="2842" customWidth="1"/>
    <col min="16140" max="16140" width="2.07421875" style="2842" customWidth="1"/>
    <col min="16141" max="16141" width="23.84375" style="2842" customWidth="1"/>
    <col min="16142" max="16142" width="2.07421875" style="2842" customWidth="1"/>
    <col min="16143" max="16143" width="23.84375" style="2842" customWidth="1"/>
    <col min="16144" max="16144" width="2.84375" style="2842" bestFit="1" customWidth="1"/>
    <col min="16145" max="16384" width="8.84375" style="2842"/>
  </cols>
  <sheetData>
    <row r="1" spans="2:17" ht="15.5">
      <c r="B1" s="2839"/>
      <c r="C1" s="2840"/>
      <c r="D1" s="2215" t="s">
        <v>882</v>
      </c>
      <c r="E1" s="2840"/>
      <c r="F1" s="2841"/>
      <c r="G1" s="2839"/>
      <c r="H1" s="2840"/>
      <c r="I1" s="2839"/>
      <c r="J1" s="2840"/>
      <c r="K1" s="2839"/>
      <c r="L1" s="2840"/>
      <c r="M1" s="2839"/>
      <c r="N1" s="2840"/>
      <c r="P1" s="2843"/>
    </row>
    <row r="2" spans="2:17" ht="15.5">
      <c r="B2" s="2839"/>
      <c r="C2" s="2840"/>
      <c r="D2" s="2839"/>
      <c r="E2" s="2840"/>
      <c r="F2" s="2841"/>
      <c r="G2" s="2839"/>
      <c r="H2" s="2840"/>
      <c r="I2" s="2839"/>
      <c r="J2" s="2840"/>
      <c r="K2" s="2839"/>
      <c r="L2" s="2840"/>
      <c r="M2" s="2839"/>
      <c r="N2" s="2840"/>
      <c r="O2" s="3577" t="s">
        <v>539</v>
      </c>
      <c r="P2" s="2843"/>
    </row>
    <row r="3" spans="2:17" ht="15.5">
      <c r="B3" s="2839"/>
      <c r="C3" s="2840"/>
      <c r="D3" s="2839"/>
      <c r="E3" s="2840"/>
      <c r="F3" s="2841"/>
      <c r="G3" s="2839"/>
      <c r="H3" s="2840"/>
      <c r="I3" s="2839"/>
      <c r="J3" s="2840"/>
      <c r="K3" s="2839"/>
      <c r="L3" s="2840"/>
      <c r="M3" s="2839"/>
      <c r="N3" s="2840"/>
      <c r="O3" s="3578"/>
      <c r="P3" s="2844"/>
    </row>
    <row r="4" spans="2:17" ht="18">
      <c r="B4" s="2845"/>
      <c r="C4" s="2846"/>
      <c r="D4" s="2847" t="s">
        <v>0</v>
      </c>
      <c r="E4" s="2846"/>
      <c r="F4" s="2846"/>
      <c r="G4" s="2503"/>
      <c r="H4" s="2848"/>
      <c r="I4" s="2503"/>
      <c r="J4" s="2848"/>
      <c r="K4" s="2503"/>
      <c r="L4" s="2848"/>
      <c r="M4" s="2849"/>
      <c r="N4" s="2849"/>
      <c r="O4" s="3579"/>
      <c r="P4" s="2850"/>
    </row>
    <row r="5" spans="2:17" ht="18">
      <c r="B5" s="2845"/>
      <c r="C5" s="2846"/>
      <c r="D5" s="2847" t="s">
        <v>777</v>
      </c>
      <c r="E5" s="2846"/>
      <c r="F5" s="2846"/>
      <c r="G5" s="2503"/>
      <c r="H5" s="2848"/>
      <c r="I5" s="2503"/>
      <c r="J5" s="2848"/>
      <c r="K5" s="2503"/>
      <c r="L5" s="2848"/>
      <c r="M5" s="2851"/>
      <c r="N5" s="2851"/>
      <c r="O5" s="2851"/>
      <c r="P5" s="2852"/>
    </row>
    <row r="6" spans="2:17" ht="15.5">
      <c r="B6" s="2845"/>
      <c r="C6" s="2846"/>
      <c r="D6" s="2853"/>
      <c r="E6" s="2846"/>
      <c r="F6" s="2846"/>
      <c r="G6" s="2503"/>
      <c r="H6" s="2848"/>
      <c r="I6" s="2503"/>
      <c r="J6" s="2848"/>
      <c r="K6" s="2503"/>
      <c r="L6" s="2848"/>
      <c r="M6" s="2854"/>
      <c r="N6" s="2854"/>
      <c r="O6" s="2854"/>
      <c r="P6" s="2855"/>
    </row>
    <row r="7" spans="2:17" ht="15.5">
      <c r="B7" s="2845"/>
      <c r="C7" s="2856"/>
      <c r="D7" s="2857"/>
      <c r="E7" s="2858"/>
      <c r="F7" s="2858"/>
      <c r="G7" s="2503"/>
      <c r="H7" s="2848"/>
      <c r="I7" s="2503"/>
      <c r="J7" s="2848"/>
      <c r="K7" s="2503"/>
      <c r="L7" s="2848"/>
      <c r="M7" s="2859"/>
      <c r="N7" s="2859"/>
      <c r="O7" s="2859"/>
      <c r="P7" s="2860"/>
    </row>
    <row r="8" spans="2:17" s="2867" customFormat="1" ht="16" thickBot="1">
      <c r="B8" s="2861" t="s">
        <v>558</v>
      </c>
      <c r="C8" s="2862"/>
      <c r="D8" s="2863" t="s">
        <v>559</v>
      </c>
      <c r="E8" s="2863"/>
      <c r="F8" s="2863"/>
      <c r="G8" s="3580" t="s">
        <v>1508</v>
      </c>
      <c r="H8" s="2864"/>
      <c r="I8" s="3580" t="s">
        <v>1535</v>
      </c>
      <c r="J8" s="2864"/>
      <c r="K8" s="3580" t="s">
        <v>1541</v>
      </c>
      <c r="L8" s="2864"/>
      <c r="M8" s="2864" t="s">
        <v>560</v>
      </c>
      <c r="N8" s="2865"/>
      <c r="O8" s="3580" t="s">
        <v>1554</v>
      </c>
      <c r="P8" s="2866"/>
    </row>
    <row r="9" spans="2:17" s="2867" customFormat="1" ht="15.5">
      <c r="B9" s="2868"/>
      <c r="C9" s="2869"/>
      <c r="D9" s="2870" t="s">
        <v>145</v>
      </c>
      <c r="E9" s="2871"/>
      <c r="F9" s="2871"/>
      <c r="G9" s="2872"/>
      <c r="H9" s="2873"/>
      <c r="I9" s="2872"/>
      <c r="J9" s="2873"/>
      <c r="K9" s="2872"/>
      <c r="L9" s="2873"/>
      <c r="M9" s="2872"/>
      <c r="N9" s="2872"/>
      <c r="O9" s="3581"/>
      <c r="P9" s="2874"/>
    </row>
    <row r="10" spans="2:17" s="2867" customFormat="1" ht="15.5">
      <c r="B10" s="2875">
        <v>10050</v>
      </c>
      <c r="C10" s="2868"/>
      <c r="D10" s="2876" t="s">
        <v>883</v>
      </c>
      <c r="E10" s="2503"/>
      <c r="F10" s="2877"/>
      <c r="G10" s="2878">
        <v>0</v>
      </c>
      <c r="H10" s="2878"/>
      <c r="I10" s="2878">
        <v>0</v>
      </c>
      <c r="J10" s="2878"/>
      <c r="K10" s="2878">
        <v>0</v>
      </c>
      <c r="L10" s="2878"/>
      <c r="M10" s="2878">
        <f>ROUND(SUM(O10)-SUM(K10),2)</f>
        <v>0</v>
      </c>
      <c r="N10" s="2878"/>
      <c r="O10" s="2878">
        <v>0</v>
      </c>
      <c r="P10" s="2879" t="s">
        <v>774</v>
      </c>
      <c r="Q10" s="2880"/>
    </row>
    <row r="11" spans="2:17" s="2867" customFormat="1" ht="16" thickBot="1">
      <c r="B11" s="2881"/>
      <c r="C11" s="2869"/>
      <c r="D11" s="2882" t="s">
        <v>561</v>
      </c>
      <c r="E11" s="2871"/>
      <c r="F11" s="2871"/>
      <c r="G11" s="1454">
        <f>ROUND(SUM(G10),2)</f>
        <v>0</v>
      </c>
      <c r="H11" s="1455"/>
      <c r="I11" s="1454">
        <f>ROUND(SUM(I10),2)</f>
        <v>0</v>
      </c>
      <c r="J11" s="1455"/>
      <c r="K11" s="1454">
        <f>ROUND(SUM(K10),2)</f>
        <v>0</v>
      </c>
      <c r="L11" s="1455"/>
      <c r="M11" s="1454">
        <f>ROUND(SUM(M10),2)</f>
        <v>0</v>
      </c>
      <c r="N11" s="1455"/>
      <c r="O11" s="3582">
        <f>ROUND(SUM(O10),2)</f>
        <v>0</v>
      </c>
      <c r="P11" s="2879"/>
      <c r="Q11" s="2880"/>
    </row>
    <row r="12" spans="2:17" s="2867" customFormat="1" ht="16" thickTop="1">
      <c r="B12" s="2881"/>
      <c r="C12" s="2883"/>
      <c r="D12" s="2884"/>
      <c r="E12" s="2885"/>
      <c r="F12" s="2885"/>
      <c r="G12" s="1455"/>
      <c r="H12" s="2886"/>
      <c r="I12" s="1455"/>
      <c r="J12" s="2886"/>
      <c r="K12" s="1455"/>
      <c r="L12" s="2886"/>
      <c r="M12" s="1455"/>
      <c r="N12" s="1455"/>
      <c r="O12" s="3583"/>
      <c r="P12" s="2887"/>
      <c r="Q12" s="2880"/>
    </row>
    <row r="13" spans="2:17" s="2867" customFormat="1" ht="15.5">
      <c r="B13" s="2881"/>
      <c r="C13" s="2869"/>
      <c r="D13" s="2870" t="s">
        <v>562</v>
      </c>
      <c r="E13" s="2871"/>
      <c r="F13" s="2871"/>
      <c r="G13" s="2886"/>
      <c r="H13" s="2503"/>
      <c r="I13" s="2886"/>
      <c r="J13" s="2503"/>
      <c r="K13" s="2886"/>
      <c r="L13" s="2503"/>
      <c r="M13" s="2886"/>
      <c r="N13" s="2886"/>
      <c r="O13" s="3584"/>
      <c r="P13" s="2887"/>
      <c r="Q13" s="2880"/>
    </row>
    <row r="14" spans="2:17" s="2867" customFormat="1" ht="15.5">
      <c r="B14" s="2875">
        <v>30051</v>
      </c>
      <c r="C14" s="2839"/>
      <c r="D14" s="2876" t="s">
        <v>563</v>
      </c>
      <c r="E14" s="2839"/>
      <c r="F14" s="1202">
        <v>227042324.13</v>
      </c>
      <c r="G14" s="1202">
        <v>0</v>
      </c>
      <c r="H14" s="1202"/>
      <c r="I14" s="1202">
        <v>0</v>
      </c>
      <c r="J14" s="1202"/>
      <c r="K14" s="1202">
        <v>0</v>
      </c>
      <c r="L14" s="1202"/>
      <c r="M14" s="1202">
        <f>ROUND(SUM(O14)-SUM(K14),2)</f>
        <v>44726584.380000003</v>
      </c>
      <c r="N14" s="1202"/>
      <c r="O14" s="1202">
        <v>44726584.379000001</v>
      </c>
      <c r="P14" s="2879"/>
      <c r="Q14" s="2880"/>
    </row>
    <row r="15" spans="2:17" s="2867" customFormat="1" ht="15.5">
      <c r="B15" s="2875">
        <v>30053</v>
      </c>
      <c r="C15" s="2839"/>
      <c r="D15" s="2876" t="s">
        <v>1181</v>
      </c>
      <c r="E15" s="2839"/>
      <c r="F15" s="1202"/>
      <c r="G15" s="1202">
        <v>0</v>
      </c>
      <c r="H15" s="1202"/>
      <c r="I15" s="1202">
        <v>0</v>
      </c>
      <c r="J15" s="1202"/>
      <c r="K15" s="1202">
        <v>0</v>
      </c>
      <c r="L15" s="1202"/>
      <c r="M15" s="1202">
        <f>ROUND(SUM(O15)-SUM(K15),2)</f>
        <v>0</v>
      </c>
      <c r="N15" s="1202"/>
      <c r="O15" s="1202">
        <v>0</v>
      </c>
      <c r="P15" s="2879"/>
      <c r="Q15" s="2880"/>
    </row>
    <row r="16" spans="2:17" s="2867" customFormat="1" ht="15.5">
      <c r="B16" s="2875">
        <v>30101</v>
      </c>
      <c r="C16" s="3842"/>
      <c r="D16" s="2876" t="s">
        <v>1457</v>
      </c>
      <c r="E16" s="2839"/>
      <c r="F16" s="1202"/>
      <c r="G16" s="1202">
        <v>0</v>
      </c>
      <c r="H16" s="1202"/>
      <c r="I16" s="1202">
        <v>0</v>
      </c>
      <c r="J16" s="1202"/>
      <c r="K16" s="1202">
        <v>0</v>
      </c>
      <c r="L16" s="1202"/>
      <c r="M16" s="1202">
        <f t="shared" ref="M16:M61" si="0">ROUND(SUM(O16)-SUM(K16),2)</f>
        <v>0</v>
      </c>
      <c r="N16" s="1202"/>
      <c r="O16" s="1202">
        <v>0</v>
      </c>
      <c r="P16" s="2879"/>
      <c r="Q16" s="2880"/>
    </row>
    <row r="17" spans="2:17" s="2867" customFormat="1" ht="15.5">
      <c r="B17" s="2875">
        <v>30102</v>
      </c>
      <c r="C17" s="2839"/>
      <c r="D17" s="2876" t="s">
        <v>1412</v>
      </c>
      <c r="E17" s="2839"/>
      <c r="F17" s="1202"/>
      <c r="G17" s="1202">
        <v>0</v>
      </c>
      <c r="H17" s="1202"/>
      <c r="I17" s="1202">
        <v>0</v>
      </c>
      <c r="J17" s="1202"/>
      <c r="K17" s="1202">
        <v>0</v>
      </c>
      <c r="L17" s="1202"/>
      <c r="M17" s="1202">
        <f t="shared" si="0"/>
        <v>0</v>
      </c>
      <c r="N17" s="1202"/>
      <c r="O17" s="1202">
        <v>0</v>
      </c>
      <c r="P17" s="2879"/>
      <c r="Q17" s="2880"/>
    </row>
    <row r="18" spans="2:17" s="2867" customFormat="1" ht="15.5">
      <c r="B18" s="2875">
        <v>30103</v>
      </c>
      <c r="C18" s="2839"/>
      <c r="D18" s="2876" t="s">
        <v>1413</v>
      </c>
      <c r="E18" s="2839"/>
      <c r="F18" s="1202"/>
      <c r="G18" s="1202">
        <v>0</v>
      </c>
      <c r="H18" s="1202"/>
      <c r="I18" s="1202">
        <v>0</v>
      </c>
      <c r="J18" s="1202"/>
      <c r="K18" s="1202">
        <v>0</v>
      </c>
      <c r="L18" s="1202"/>
      <c r="M18" s="1202">
        <f t="shared" si="0"/>
        <v>0</v>
      </c>
      <c r="N18" s="1202"/>
      <c r="O18" s="1202">
        <v>0</v>
      </c>
      <c r="P18" s="2879"/>
      <c r="Q18" s="2880"/>
    </row>
    <row r="19" spans="2:17" s="2867" customFormat="1" ht="15.5">
      <c r="B19" s="2875">
        <v>30104</v>
      </c>
      <c r="C19" s="2839"/>
      <c r="D19" s="2876" t="s">
        <v>1414</v>
      </c>
      <c r="E19" s="2839"/>
      <c r="F19" s="1202"/>
      <c r="G19" s="1202">
        <v>0</v>
      </c>
      <c r="H19" s="1202"/>
      <c r="I19" s="1202">
        <v>0</v>
      </c>
      <c r="J19" s="1202"/>
      <c r="K19" s="1202">
        <v>0</v>
      </c>
      <c r="L19" s="1202"/>
      <c r="M19" s="1202">
        <f t="shared" si="0"/>
        <v>0</v>
      </c>
      <c r="N19" s="1202"/>
      <c r="O19" s="1202">
        <v>0</v>
      </c>
      <c r="P19" s="2879"/>
      <c r="Q19" s="2880"/>
    </row>
    <row r="20" spans="2:17" s="2867" customFormat="1" ht="15.5">
      <c r="B20" s="2875">
        <v>30105</v>
      </c>
      <c r="C20" s="2839"/>
      <c r="D20" s="2876" t="s">
        <v>1415</v>
      </c>
      <c r="E20" s="2839"/>
      <c r="F20" s="1202"/>
      <c r="G20" s="1202">
        <v>0</v>
      </c>
      <c r="H20" s="1202"/>
      <c r="I20" s="1202">
        <v>0</v>
      </c>
      <c r="J20" s="1202"/>
      <c r="K20" s="1202">
        <v>0</v>
      </c>
      <c r="L20" s="1202"/>
      <c r="M20" s="1202">
        <f t="shared" si="0"/>
        <v>0</v>
      </c>
      <c r="N20" s="1202"/>
      <c r="O20" s="1202">
        <v>0</v>
      </c>
      <c r="P20" s="2879"/>
      <c r="Q20" s="2880"/>
    </row>
    <row r="21" spans="2:17" s="2867" customFormat="1" ht="15.5">
      <c r="B21" s="2875">
        <v>30106</v>
      </c>
      <c r="C21" s="2839"/>
      <c r="D21" s="2876" t="s">
        <v>1416</v>
      </c>
      <c r="E21" s="2839"/>
      <c r="F21" s="1202"/>
      <c r="G21" s="1202">
        <v>0</v>
      </c>
      <c r="H21" s="1202"/>
      <c r="I21" s="1202">
        <v>0</v>
      </c>
      <c r="J21" s="1202"/>
      <c r="K21" s="1202">
        <v>0</v>
      </c>
      <c r="L21" s="1202"/>
      <c r="M21" s="1202">
        <f t="shared" si="0"/>
        <v>0</v>
      </c>
      <c r="N21" s="1202"/>
      <c r="O21" s="1202">
        <v>0</v>
      </c>
      <c r="P21" s="2879"/>
      <c r="Q21" s="2880"/>
    </row>
    <row r="22" spans="2:17" s="2867" customFormat="1" ht="15.5">
      <c r="B22" s="2875">
        <v>30107</v>
      </c>
      <c r="C22" s="2839"/>
      <c r="D22" s="2876" t="s">
        <v>1417</v>
      </c>
      <c r="E22" s="2839"/>
      <c r="F22" s="1202"/>
      <c r="G22" s="1202">
        <v>0</v>
      </c>
      <c r="H22" s="1202"/>
      <c r="I22" s="1202">
        <v>0</v>
      </c>
      <c r="J22" s="1202"/>
      <c r="K22" s="1202">
        <v>0</v>
      </c>
      <c r="L22" s="1202"/>
      <c r="M22" s="1202">
        <f t="shared" si="0"/>
        <v>0</v>
      </c>
      <c r="N22" s="1202"/>
      <c r="O22" s="1202">
        <v>0</v>
      </c>
      <c r="P22" s="2879"/>
      <c r="Q22" s="2880"/>
    </row>
    <row r="23" spans="2:17" s="2867" customFormat="1" ht="15.5">
      <c r="B23" s="2875">
        <v>30108</v>
      </c>
      <c r="C23" s="2839"/>
      <c r="D23" s="2876" t="s">
        <v>1418</v>
      </c>
      <c r="E23" s="2839"/>
      <c r="F23" s="1202"/>
      <c r="G23" s="1202">
        <v>0</v>
      </c>
      <c r="H23" s="1202"/>
      <c r="I23" s="1202">
        <v>0</v>
      </c>
      <c r="J23" s="1202"/>
      <c r="K23" s="1202">
        <v>0</v>
      </c>
      <c r="L23" s="1202"/>
      <c r="M23" s="1202">
        <f t="shared" si="0"/>
        <v>0</v>
      </c>
      <c r="N23" s="1202"/>
      <c r="O23" s="1202">
        <v>0</v>
      </c>
      <c r="P23" s="2879"/>
      <c r="Q23" s="2880"/>
    </row>
    <row r="24" spans="2:17" s="2867" customFormat="1" ht="15.5">
      <c r="B24" s="2875">
        <v>30109</v>
      </c>
      <c r="C24" s="2839"/>
      <c r="D24" s="2876" t="s">
        <v>1419</v>
      </c>
      <c r="E24" s="2839"/>
      <c r="F24" s="1202"/>
      <c r="G24" s="1202">
        <v>0</v>
      </c>
      <c r="H24" s="1202"/>
      <c r="I24" s="1202">
        <v>0</v>
      </c>
      <c r="J24" s="1202"/>
      <c r="K24" s="1202">
        <v>0</v>
      </c>
      <c r="L24" s="1202"/>
      <c r="M24" s="1202">
        <f t="shared" si="0"/>
        <v>0</v>
      </c>
      <c r="N24" s="1202"/>
      <c r="O24" s="1202">
        <v>0</v>
      </c>
      <c r="P24" s="2879"/>
      <c r="Q24" s="2880"/>
    </row>
    <row r="25" spans="2:17" s="2867" customFormat="1" ht="15.5">
      <c r="B25" s="2875">
        <v>30110</v>
      </c>
      <c r="C25" s="2839"/>
      <c r="D25" s="2876" t="s">
        <v>1420</v>
      </c>
      <c r="E25" s="2839"/>
      <c r="F25" s="1202"/>
      <c r="G25" s="1202">
        <v>0</v>
      </c>
      <c r="H25" s="1202"/>
      <c r="I25" s="1202">
        <v>0</v>
      </c>
      <c r="J25" s="1202"/>
      <c r="K25" s="1202">
        <v>0</v>
      </c>
      <c r="L25" s="1202"/>
      <c r="M25" s="1202">
        <f t="shared" si="0"/>
        <v>0</v>
      </c>
      <c r="N25" s="1202"/>
      <c r="O25" s="1202">
        <v>0</v>
      </c>
      <c r="P25" s="2879"/>
      <c r="Q25" s="2880"/>
    </row>
    <row r="26" spans="2:17" s="2867" customFormat="1" ht="15.5">
      <c r="B26" s="2875">
        <v>30111</v>
      </c>
      <c r="C26" s="2839"/>
      <c r="D26" s="2876" t="s">
        <v>1421</v>
      </c>
      <c r="E26" s="2839"/>
      <c r="F26" s="1202"/>
      <c r="G26" s="1202">
        <v>0</v>
      </c>
      <c r="H26" s="1202"/>
      <c r="I26" s="1202">
        <v>0</v>
      </c>
      <c r="J26" s="1202"/>
      <c r="K26" s="1202">
        <v>0</v>
      </c>
      <c r="L26" s="1202"/>
      <c r="M26" s="1202">
        <f t="shared" si="0"/>
        <v>0</v>
      </c>
      <c r="N26" s="1202"/>
      <c r="O26" s="1202">
        <v>0</v>
      </c>
      <c r="P26" s="2879"/>
      <c r="Q26" s="2880"/>
    </row>
    <row r="27" spans="2:17" s="2867" customFormat="1" ht="15.5">
      <c r="B27" s="2875">
        <v>30112</v>
      </c>
      <c r="C27" s="2839"/>
      <c r="D27" s="2876" t="s">
        <v>1422</v>
      </c>
      <c r="E27" s="2839"/>
      <c r="F27" s="1202"/>
      <c r="G27" s="1202">
        <v>0</v>
      </c>
      <c r="H27" s="1202"/>
      <c r="I27" s="1202">
        <v>0</v>
      </c>
      <c r="J27" s="1202"/>
      <c r="K27" s="1202">
        <v>0</v>
      </c>
      <c r="L27" s="1202"/>
      <c r="M27" s="1202">
        <f t="shared" si="0"/>
        <v>0</v>
      </c>
      <c r="N27" s="1202"/>
      <c r="O27" s="1202">
        <v>0</v>
      </c>
      <c r="P27" s="2879"/>
      <c r="Q27" s="2880"/>
    </row>
    <row r="28" spans="2:17" s="2867" customFormat="1" ht="15.5">
      <c r="B28" s="2875">
        <v>30113</v>
      </c>
      <c r="C28" s="2839"/>
      <c r="D28" s="2876" t="s">
        <v>1423</v>
      </c>
      <c r="E28" s="2839"/>
      <c r="F28" s="1202"/>
      <c r="G28" s="1202">
        <v>0</v>
      </c>
      <c r="H28" s="1202"/>
      <c r="I28" s="1202">
        <v>0</v>
      </c>
      <c r="J28" s="1202"/>
      <c r="K28" s="1202">
        <v>0</v>
      </c>
      <c r="L28" s="1202"/>
      <c r="M28" s="1202">
        <f t="shared" si="0"/>
        <v>0</v>
      </c>
      <c r="N28" s="1202"/>
      <c r="O28" s="1202">
        <v>0</v>
      </c>
      <c r="P28" s="2879"/>
      <c r="Q28" s="2880"/>
    </row>
    <row r="29" spans="2:17" s="2867" customFormat="1" ht="15.5">
      <c r="B29" s="2875">
        <v>30114</v>
      </c>
      <c r="C29" s="2839"/>
      <c r="D29" s="2876" t="s">
        <v>1424</v>
      </c>
      <c r="E29" s="2839"/>
      <c r="F29" s="1202"/>
      <c r="G29" s="1202">
        <v>0</v>
      </c>
      <c r="H29" s="1202"/>
      <c r="I29" s="1202">
        <v>0</v>
      </c>
      <c r="J29" s="1202"/>
      <c r="K29" s="1202">
        <v>0</v>
      </c>
      <c r="L29" s="1202"/>
      <c r="M29" s="1202">
        <f t="shared" si="0"/>
        <v>0</v>
      </c>
      <c r="N29" s="1202"/>
      <c r="O29" s="1202">
        <v>0</v>
      </c>
      <c r="P29" s="2879"/>
      <c r="Q29" s="2880"/>
    </row>
    <row r="30" spans="2:17" s="2867" customFormat="1" ht="15.5">
      <c r="B30" s="2875">
        <v>30115</v>
      </c>
      <c r="C30" s="2839"/>
      <c r="D30" s="2876" t="s">
        <v>1425</v>
      </c>
      <c r="E30" s="2839"/>
      <c r="F30" s="1202"/>
      <c r="G30" s="1202">
        <v>0</v>
      </c>
      <c r="H30" s="1202"/>
      <c r="I30" s="1202">
        <v>0</v>
      </c>
      <c r="J30" s="1202"/>
      <c r="K30" s="1202">
        <v>0</v>
      </c>
      <c r="L30" s="1202"/>
      <c r="M30" s="1202">
        <f t="shared" si="0"/>
        <v>0</v>
      </c>
      <c r="N30" s="1202"/>
      <c r="O30" s="1202">
        <v>0</v>
      </c>
      <c r="P30" s="2879"/>
      <c r="Q30" s="2880"/>
    </row>
    <row r="31" spans="2:17" s="2867" customFormat="1" ht="15.5">
      <c r="B31" s="2875">
        <v>30116</v>
      </c>
      <c r="C31" s="2839"/>
      <c r="D31" s="2876" t="s">
        <v>1426</v>
      </c>
      <c r="E31" s="2839"/>
      <c r="F31" s="1202"/>
      <c r="G31" s="1202">
        <v>0</v>
      </c>
      <c r="H31" s="1202"/>
      <c r="I31" s="1202">
        <v>0</v>
      </c>
      <c r="J31" s="1202"/>
      <c r="K31" s="1202">
        <v>0</v>
      </c>
      <c r="L31" s="1202"/>
      <c r="M31" s="1202">
        <f t="shared" si="0"/>
        <v>0</v>
      </c>
      <c r="N31" s="1202"/>
      <c r="O31" s="1202">
        <v>0</v>
      </c>
      <c r="P31" s="2879"/>
      <c r="Q31" s="2880"/>
    </row>
    <row r="32" spans="2:17" s="2867" customFormat="1" ht="15.5">
      <c r="B32" s="2875">
        <v>30117</v>
      </c>
      <c r="C32" s="2839"/>
      <c r="D32" s="2876" t="s">
        <v>1427</v>
      </c>
      <c r="E32" s="2839"/>
      <c r="F32" s="1202"/>
      <c r="G32" s="1202">
        <v>0</v>
      </c>
      <c r="H32" s="1202"/>
      <c r="I32" s="1202">
        <v>0</v>
      </c>
      <c r="J32" s="1202"/>
      <c r="K32" s="1202">
        <v>0</v>
      </c>
      <c r="L32" s="1202"/>
      <c r="M32" s="1202">
        <f t="shared" si="0"/>
        <v>0</v>
      </c>
      <c r="N32" s="1202"/>
      <c r="O32" s="1202">
        <v>0</v>
      </c>
      <c r="P32" s="2879"/>
      <c r="Q32" s="2880"/>
    </row>
    <row r="33" spans="2:17" s="2867" customFormat="1" ht="15.5">
      <c r="B33" s="2875">
        <v>30118</v>
      </c>
      <c r="C33" s="2839"/>
      <c r="D33" s="2876" t="s">
        <v>1428</v>
      </c>
      <c r="E33" s="2839"/>
      <c r="F33" s="1202"/>
      <c r="G33" s="1202">
        <v>0</v>
      </c>
      <c r="H33" s="1202"/>
      <c r="I33" s="1202">
        <v>0</v>
      </c>
      <c r="J33" s="1202"/>
      <c r="K33" s="1202">
        <v>0</v>
      </c>
      <c r="L33" s="1202"/>
      <c r="M33" s="1202">
        <f t="shared" si="0"/>
        <v>0</v>
      </c>
      <c r="N33" s="1202"/>
      <c r="O33" s="1202">
        <v>0</v>
      </c>
      <c r="P33" s="2879"/>
      <c r="Q33" s="2880"/>
    </row>
    <row r="34" spans="2:17" s="2867" customFormat="1" ht="15.5">
      <c r="B34" s="2875">
        <v>30119</v>
      </c>
      <c r="C34" s="2839"/>
      <c r="D34" s="2876" t="s">
        <v>1429</v>
      </c>
      <c r="E34" s="2839"/>
      <c r="F34" s="1202"/>
      <c r="G34" s="1202">
        <v>0</v>
      </c>
      <c r="H34" s="1202"/>
      <c r="I34" s="1202">
        <v>0</v>
      </c>
      <c r="J34" s="1202"/>
      <c r="K34" s="1202">
        <v>0</v>
      </c>
      <c r="L34" s="1202"/>
      <c r="M34" s="1202">
        <f t="shared" si="0"/>
        <v>0</v>
      </c>
      <c r="N34" s="1202"/>
      <c r="O34" s="1202">
        <v>0</v>
      </c>
      <c r="P34" s="2879"/>
      <c r="Q34" s="2880"/>
    </row>
    <row r="35" spans="2:17" s="2867" customFormat="1" ht="15.5">
      <c r="B35" s="2875">
        <v>30120</v>
      </c>
      <c r="C35" s="2839"/>
      <c r="D35" s="2876" t="s">
        <v>1430</v>
      </c>
      <c r="E35" s="2839"/>
      <c r="F35" s="1202"/>
      <c r="G35" s="1202">
        <v>0</v>
      </c>
      <c r="H35" s="1202"/>
      <c r="I35" s="1202">
        <v>0</v>
      </c>
      <c r="J35" s="1202"/>
      <c r="K35" s="1202">
        <v>0</v>
      </c>
      <c r="L35" s="1202"/>
      <c r="M35" s="1202">
        <f t="shared" si="0"/>
        <v>0</v>
      </c>
      <c r="N35" s="1202"/>
      <c r="O35" s="1202">
        <v>0</v>
      </c>
      <c r="P35" s="2879"/>
      <c r="Q35" s="2880"/>
    </row>
    <row r="36" spans="2:17" s="2867" customFormat="1" ht="15.5">
      <c r="B36" s="2875">
        <v>30121</v>
      </c>
      <c r="C36" s="2839"/>
      <c r="D36" s="2876" t="s">
        <v>1431</v>
      </c>
      <c r="E36" s="2839"/>
      <c r="F36" s="1202"/>
      <c r="G36" s="1202">
        <v>0</v>
      </c>
      <c r="H36" s="1202"/>
      <c r="I36" s="1202">
        <v>0</v>
      </c>
      <c r="J36" s="1202"/>
      <c r="K36" s="1202">
        <v>0</v>
      </c>
      <c r="L36" s="1202"/>
      <c r="M36" s="1202">
        <f t="shared" si="0"/>
        <v>0</v>
      </c>
      <c r="N36" s="1202"/>
      <c r="O36" s="1202">
        <v>0</v>
      </c>
      <c r="P36" s="2879"/>
      <c r="Q36" s="2880"/>
    </row>
    <row r="37" spans="2:17" s="2867" customFormat="1" ht="15.5">
      <c r="B37" s="2875">
        <v>30122</v>
      </c>
      <c r="C37" s="2839"/>
      <c r="D37" s="2876" t="s">
        <v>1432</v>
      </c>
      <c r="E37" s="2839"/>
      <c r="F37" s="1202"/>
      <c r="G37" s="1202">
        <v>0</v>
      </c>
      <c r="H37" s="1202"/>
      <c r="I37" s="1202">
        <v>0</v>
      </c>
      <c r="J37" s="1202"/>
      <c r="K37" s="1202">
        <v>0</v>
      </c>
      <c r="L37" s="1202"/>
      <c r="M37" s="1202">
        <f t="shared" si="0"/>
        <v>0</v>
      </c>
      <c r="N37" s="1202"/>
      <c r="O37" s="1202">
        <v>0</v>
      </c>
      <c r="P37" s="2879"/>
      <c r="Q37" s="2880"/>
    </row>
    <row r="38" spans="2:17" s="2867" customFormat="1" ht="15.5">
      <c r="B38" s="2875">
        <v>30123</v>
      </c>
      <c r="C38" s="2839"/>
      <c r="D38" s="2876" t="s">
        <v>1433</v>
      </c>
      <c r="E38" s="2839"/>
      <c r="F38" s="1202"/>
      <c r="G38" s="1202">
        <v>0</v>
      </c>
      <c r="H38" s="1202"/>
      <c r="I38" s="1202">
        <v>0</v>
      </c>
      <c r="J38" s="1202"/>
      <c r="K38" s="1202">
        <v>0</v>
      </c>
      <c r="L38" s="1202"/>
      <c r="M38" s="1202">
        <f t="shared" si="0"/>
        <v>0</v>
      </c>
      <c r="N38" s="1202"/>
      <c r="O38" s="1202">
        <v>0</v>
      </c>
      <c r="P38" s="2879"/>
      <c r="Q38" s="2880"/>
    </row>
    <row r="39" spans="2:17" s="2867" customFormat="1" ht="15.5">
      <c r="B39" s="2875">
        <v>30124</v>
      </c>
      <c r="C39" s="2839"/>
      <c r="D39" s="2876" t="s">
        <v>1434</v>
      </c>
      <c r="E39" s="2839"/>
      <c r="F39" s="1202"/>
      <c r="G39" s="1202">
        <v>0</v>
      </c>
      <c r="H39" s="1202"/>
      <c r="I39" s="1202">
        <v>0</v>
      </c>
      <c r="J39" s="1202"/>
      <c r="K39" s="1202">
        <v>0</v>
      </c>
      <c r="L39" s="1202"/>
      <c r="M39" s="1202">
        <f t="shared" si="0"/>
        <v>0</v>
      </c>
      <c r="N39" s="1202"/>
      <c r="O39" s="1202">
        <v>0</v>
      </c>
      <c r="P39" s="2879"/>
      <c r="Q39" s="2880"/>
    </row>
    <row r="40" spans="2:17" s="2867" customFormat="1" ht="15.5">
      <c r="B40" s="2875">
        <v>30125</v>
      </c>
      <c r="C40" s="2839"/>
      <c r="D40" s="2876" t="s">
        <v>1435</v>
      </c>
      <c r="E40" s="2839"/>
      <c r="F40" s="1202"/>
      <c r="G40" s="1202">
        <v>0</v>
      </c>
      <c r="H40" s="1202"/>
      <c r="I40" s="1202">
        <v>0</v>
      </c>
      <c r="J40" s="1202"/>
      <c r="K40" s="1202">
        <v>0</v>
      </c>
      <c r="L40" s="1202"/>
      <c r="M40" s="1202">
        <f t="shared" si="0"/>
        <v>0</v>
      </c>
      <c r="N40" s="1202"/>
      <c r="O40" s="1202">
        <v>0</v>
      </c>
      <c r="P40" s="2879"/>
      <c r="Q40" s="2880"/>
    </row>
    <row r="41" spans="2:17" s="2867" customFormat="1" ht="15.5">
      <c r="B41" s="2875">
        <v>30126</v>
      </c>
      <c r="C41" s="2839"/>
      <c r="D41" s="2876" t="s">
        <v>1436</v>
      </c>
      <c r="E41" s="2839"/>
      <c r="F41" s="1202"/>
      <c r="G41" s="1202">
        <v>0</v>
      </c>
      <c r="H41" s="1202"/>
      <c r="I41" s="1202">
        <v>0</v>
      </c>
      <c r="J41" s="1202"/>
      <c r="K41" s="1202">
        <v>0</v>
      </c>
      <c r="L41" s="1202"/>
      <c r="M41" s="1202">
        <f t="shared" si="0"/>
        <v>0</v>
      </c>
      <c r="N41" s="1202"/>
      <c r="O41" s="1202">
        <v>0</v>
      </c>
      <c r="P41" s="2879"/>
      <c r="Q41" s="2880"/>
    </row>
    <row r="42" spans="2:17" s="2867" customFormat="1" ht="15.5">
      <c r="B42" s="2875">
        <v>30127</v>
      </c>
      <c r="C42" s="2839"/>
      <c r="D42" s="2876" t="s">
        <v>1437</v>
      </c>
      <c r="E42" s="2839"/>
      <c r="F42" s="1202"/>
      <c r="G42" s="1202">
        <v>0</v>
      </c>
      <c r="H42" s="1202"/>
      <c r="I42" s="1202">
        <v>0</v>
      </c>
      <c r="J42" s="1202"/>
      <c r="K42" s="1202">
        <v>0</v>
      </c>
      <c r="L42" s="1202"/>
      <c r="M42" s="1202">
        <f t="shared" si="0"/>
        <v>0</v>
      </c>
      <c r="N42" s="1202"/>
      <c r="O42" s="1202">
        <v>0</v>
      </c>
      <c r="P42" s="2879"/>
      <c r="Q42" s="2880"/>
    </row>
    <row r="43" spans="2:17" s="2867" customFormat="1" ht="15.5">
      <c r="B43" s="2875">
        <v>30128</v>
      </c>
      <c r="C43" s="2839"/>
      <c r="D43" s="2876" t="s">
        <v>1438</v>
      </c>
      <c r="E43" s="2839"/>
      <c r="F43" s="1202"/>
      <c r="G43" s="1202">
        <v>0</v>
      </c>
      <c r="H43" s="1202"/>
      <c r="I43" s="1202">
        <v>0</v>
      </c>
      <c r="J43" s="1202"/>
      <c r="K43" s="1202">
        <v>0</v>
      </c>
      <c r="L43" s="1202"/>
      <c r="M43" s="1202">
        <f t="shared" si="0"/>
        <v>0</v>
      </c>
      <c r="N43" s="1202"/>
      <c r="O43" s="1202">
        <v>0</v>
      </c>
      <c r="P43" s="2879"/>
      <c r="Q43" s="2880"/>
    </row>
    <row r="44" spans="2:17" s="2867" customFormat="1" ht="15.5">
      <c r="B44" s="2875">
        <v>30129</v>
      </c>
      <c r="C44" s="2839"/>
      <c r="D44" s="2876" t="s">
        <v>1439</v>
      </c>
      <c r="E44" s="2839"/>
      <c r="F44" s="1202"/>
      <c r="G44" s="1202">
        <v>0</v>
      </c>
      <c r="H44" s="1202"/>
      <c r="I44" s="1202">
        <v>0</v>
      </c>
      <c r="J44" s="1202"/>
      <c r="K44" s="1202">
        <v>0</v>
      </c>
      <c r="L44" s="1202"/>
      <c r="M44" s="1202">
        <f t="shared" si="0"/>
        <v>0</v>
      </c>
      <c r="N44" s="1202"/>
      <c r="O44" s="1202">
        <v>0</v>
      </c>
      <c r="P44" s="2879"/>
      <c r="Q44" s="2880"/>
    </row>
    <row r="45" spans="2:17" s="2867" customFormat="1" ht="15.5">
      <c r="B45" s="2875">
        <v>30130</v>
      </c>
      <c r="C45" s="2839"/>
      <c r="D45" s="2876" t="s">
        <v>1440</v>
      </c>
      <c r="E45" s="2839"/>
      <c r="F45" s="1202"/>
      <c r="G45" s="1202">
        <v>0</v>
      </c>
      <c r="H45" s="1202"/>
      <c r="I45" s="1202">
        <v>0</v>
      </c>
      <c r="J45" s="1202"/>
      <c r="K45" s="1202">
        <v>0</v>
      </c>
      <c r="L45" s="1202"/>
      <c r="M45" s="1202">
        <f t="shared" si="0"/>
        <v>0</v>
      </c>
      <c r="N45" s="1202"/>
      <c r="O45" s="1202">
        <v>0</v>
      </c>
      <c r="P45" s="2879"/>
      <c r="Q45" s="2880"/>
    </row>
    <row r="46" spans="2:17" s="2867" customFormat="1" ht="15.5">
      <c r="B46" s="2875">
        <v>30131</v>
      </c>
      <c r="C46" s="2839"/>
      <c r="D46" s="2876" t="s">
        <v>1441</v>
      </c>
      <c r="E46" s="2839"/>
      <c r="F46" s="1202"/>
      <c r="G46" s="1202">
        <v>0</v>
      </c>
      <c r="H46" s="1202"/>
      <c r="I46" s="1202">
        <v>0</v>
      </c>
      <c r="J46" s="1202"/>
      <c r="K46" s="1202">
        <v>0</v>
      </c>
      <c r="L46" s="1202"/>
      <c r="M46" s="1202">
        <f t="shared" si="0"/>
        <v>0</v>
      </c>
      <c r="N46" s="1202"/>
      <c r="O46" s="1202">
        <v>0</v>
      </c>
      <c r="P46" s="2879"/>
      <c r="Q46" s="2880"/>
    </row>
    <row r="47" spans="2:17" s="2867" customFormat="1" ht="15.5">
      <c r="B47" s="2875">
        <v>30132</v>
      </c>
      <c r="C47" s="2839"/>
      <c r="D47" s="2876" t="s">
        <v>1442</v>
      </c>
      <c r="E47" s="2839"/>
      <c r="F47" s="1202"/>
      <c r="G47" s="1202">
        <v>0</v>
      </c>
      <c r="H47" s="1202"/>
      <c r="I47" s="1202">
        <v>0</v>
      </c>
      <c r="J47" s="1202"/>
      <c r="K47" s="1202">
        <v>0</v>
      </c>
      <c r="L47" s="1202"/>
      <c r="M47" s="1202">
        <f t="shared" si="0"/>
        <v>0</v>
      </c>
      <c r="N47" s="1202"/>
      <c r="O47" s="1202">
        <v>0</v>
      </c>
      <c r="P47" s="2879"/>
      <c r="Q47" s="2880"/>
    </row>
    <row r="48" spans="2:17" s="2867" customFormat="1" ht="15.5">
      <c r="B48" s="2875">
        <v>30133</v>
      </c>
      <c r="C48" s="2839"/>
      <c r="D48" s="2876" t="s">
        <v>1443</v>
      </c>
      <c r="E48" s="2839"/>
      <c r="F48" s="1202"/>
      <c r="G48" s="1202">
        <v>0</v>
      </c>
      <c r="H48" s="1202"/>
      <c r="I48" s="1202">
        <v>0</v>
      </c>
      <c r="J48" s="1202"/>
      <c r="K48" s="1202">
        <v>0</v>
      </c>
      <c r="L48" s="1202"/>
      <c r="M48" s="1202">
        <f t="shared" si="0"/>
        <v>0</v>
      </c>
      <c r="N48" s="1202"/>
      <c r="O48" s="1202">
        <v>0</v>
      </c>
      <c r="P48" s="2879"/>
      <c r="Q48" s="2880"/>
    </row>
    <row r="49" spans="2:17" s="2867" customFormat="1" ht="15.5">
      <c r="B49" s="2875">
        <v>30134</v>
      </c>
      <c r="C49" s="2839"/>
      <c r="D49" s="2876" t="s">
        <v>1444</v>
      </c>
      <c r="E49" s="2839"/>
      <c r="F49" s="1202"/>
      <c r="G49" s="1202">
        <v>0</v>
      </c>
      <c r="H49" s="1202"/>
      <c r="I49" s="1202">
        <v>0</v>
      </c>
      <c r="J49" s="1202"/>
      <c r="K49" s="1202">
        <v>0</v>
      </c>
      <c r="L49" s="1202"/>
      <c r="M49" s="1202">
        <f t="shared" si="0"/>
        <v>0</v>
      </c>
      <c r="N49" s="1202"/>
      <c r="O49" s="1202">
        <v>0</v>
      </c>
      <c r="P49" s="2879"/>
      <c r="Q49" s="2880"/>
    </row>
    <row r="50" spans="2:17" s="2867" customFormat="1" ht="15.5">
      <c r="B50" s="2875">
        <v>30135</v>
      </c>
      <c r="C50" s="2839"/>
      <c r="D50" s="2876" t="s">
        <v>1445</v>
      </c>
      <c r="E50" s="2839"/>
      <c r="F50" s="1202"/>
      <c r="G50" s="1202">
        <v>0</v>
      </c>
      <c r="H50" s="1202"/>
      <c r="I50" s="1202">
        <v>0</v>
      </c>
      <c r="J50" s="1202"/>
      <c r="K50" s="1202">
        <v>0</v>
      </c>
      <c r="L50" s="1202"/>
      <c r="M50" s="1202">
        <f t="shared" si="0"/>
        <v>0</v>
      </c>
      <c r="N50" s="1202"/>
      <c r="O50" s="1202">
        <v>0</v>
      </c>
      <c r="P50" s="2879"/>
      <c r="Q50" s="2880"/>
    </row>
    <row r="51" spans="2:17" s="2867" customFormat="1" ht="15.5">
      <c r="B51" s="2875">
        <v>30136</v>
      </c>
      <c r="C51" s="2839"/>
      <c r="D51" s="2876" t="s">
        <v>1446</v>
      </c>
      <c r="E51" s="2839"/>
      <c r="F51" s="1202"/>
      <c r="G51" s="1202">
        <v>0</v>
      </c>
      <c r="H51" s="1202"/>
      <c r="I51" s="1202">
        <v>0</v>
      </c>
      <c r="J51" s="1202"/>
      <c r="K51" s="1202">
        <v>0</v>
      </c>
      <c r="L51" s="1202"/>
      <c r="M51" s="1202">
        <f t="shared" si="0"/>
        <v>0</v>
      </c>
      <c r="N51" s="1202"/>
      <c r="O51" s="1202">
        <v>0</v>
      </c>
      <c r="P51" s="2879"/>
      <c r="Q51" s="2880"/>
    </row>
    <row r="52" spans="2:17" s="2867" customFormat="1" ht="15.5">
      <c r="B52" s="2875">
        <v>30137</v>
      </c>
      <c r="C52" s="2839"/>
      <c r="D52" s="2876" t="s">
        <v>1447</v>
      </c>
      <c r="E52" s="2839"/>
      <c r="F52" s="1202"/>
      <c r="G52" s="1202">
        <v>0</v>
      </c>
      <c r="H52" s="1202"/>
      <c r="I52" s="1202">
        <v>0</v>
      </c>
      <c r="J52" s="1202"/>
      <c r="K52" s="1202">
        <v>0</v>
      </c>
      <c r="L52" s="1202"/>
      <c r="M52" s="1202">
        <f t="shared" si="0"/>
        <v>0</v>
      </c>
      <c r="N52" s="1202"/>
      <c r="O52" s="1202">
        <v>0</v>
      </c>
      <c r="P52" s="2879"/>
      <c r="Q52" s="2880"/>
    </row>
    <row r="53" spans="2:17" s="2867" customFormat="1" ht="15.5">
      <c r="B53" s="2875">
        <v>30138</v>
      </c>
      <c r="C53" s="2839"/>
      <c r="D53" s="2876" t="s">
        <v>1448</v>
      </c>
      <c r="E53" s="2839"/>
      <c r="F53" s="1202"/>
      <c r="G53" s="1202">
        <v>0</v>
      </c>
      <c r="H53" s="1202"/>
      <c r="I53" s="1202">
        <v>0</v>
      </c>
      <c r="J53" s="1202"/>
      <c r="K53" s="1202">
        <v>0</v>
      </c>
      <c r="L53" s="1202"/>
      <c r="M53" s="1202">
        <f t="shared" si="0"/>
        <v>0</v>
      </c>
      <c r="N53" s="1202"/>
      <c r="O53" s="1202">
        <v>0</v>
      </c>
      <c r="P53" s="2879"/>
      <c r="Q53" s="2880"/>
    </row>
    <row r="54" spans="2:17" s="2867" customFormat="1" ht="15.5">
      <c r="B54" s="2875">
        <v>30139</v>
      </c>
      <c r="C54" s="2839"/>
      <c r="D54" s="2876" t="s">
        <v>1449</v>
      </c>
      <c r="E54" s="2839"/>
      <c r="F54" s="1202"/>
      <c r="G54" s="1202">
        <v>0</v>
      </c>
      <c r="H54" s="1202"/>
      <c r="I54" s="1202">
        <v>0</v>
      </c>
      <c r="J54" s="1202"/>
      <c r="K54" s="1202">
        <v>0</v>
      </c>
      <c r="L54" s="1202"/>
      <c r="M54" s="1202">
        <f t="shared" si="0"/>
        <v>0</v>
      </c>
      <c r="N54" s="1202"/>
      <c r="O54" s="1202">
        <v>0</v>
      </c>
      <c r="P54" s="2879"/>
      <c r="Q54" s="2880"/>
    </row>
    <row r="55" spans="2:17" s="2867" customFormat="1" ht="15.5">
      <c r="B55" s="2875">
        <v>30140</v>
      </c>
      <c r="C55" s="2839"/>
      <c r="D55" s="2876" t="s">
        <v>1450</v>
      </c>
      <c r="E55" s="2839"/>
      <c r="F55" s="1202"/>
      <c r="G55" s="1202">
        <v>0</v>
      </c>
      <c r="H55" s="1202"/>
      <c r="I55" s="1202">
        <v>0</v>
      </c>
      <c r="J55" s="1202"/>
      <c r="K55" s="1202">
        <v>0</v>
      </c>
      <c r="L55" s="1202"/>
      <c r="M55" s="1202">
        <f t="shared" si="0"/>
        <v>0</v>
      </c>
      <c r="N55" s="1202"/>
      <c r="O55" s="1202">
        <v>0</v>
      </c>
      <c r="P55" s="2879"/>
      <c r="Q55" s="2880"/>
    </row>
    <row r="56" spans="2:17" s="2867" customFormat="1" ht="15.5">
      <c r="B56" s="2875">
        <v>30141</v>
      </c>
      <c r="C56" s="2839"/>
      <c r="D56" s="2876" t="s">
        <v>1451</v>
      </c>
      <c r="E56" s="2839"/>
      <c r="F56" s="1202"/>
      <c r="G56" s="1202">
        <v>0</v>
      </c>
      <c r="H56" s="1202"/>
      <c r="I56" s="1202">
        <v>0</v>
      </c>
      <c r="J56" s="1202"/>
      <c r="K56" s="1202">
        <v>0</v>
      </c>
      <c r="L56" s="1202"/>
      <c r="M56" s="1202">
        <f t="shared" si="0"/>
        <v>0</v>
      </c>
      <c r="N56" s="1202"/>
      <c r="O56" s="1202">
        <v>0</v>
      </c>
      <c r="P56" s="2879"/>
      <c r="Q56" s="2880"/>
    </row>
    <row r="57" spans="2:17" s="2867" customFormat="1" ht="15.5">
      <c r="B57" s="2875">
        <v>30142</v>
      </c>
      <c r="C57" s="2839"/>
      <c r="D57" s="2876" t="s">
        <v>1452</v>
      </c>
      <c r="E57" s="2839"/>
      <c r="F57" s="1202"/>
      <c r="G57" s="1202">
        <v>0</v>
      </c>
      <c r="H57" s="1202"/>
      <c r="I57" s="1202">
        <v>0</v>
      </c>
      <c r="J57" s="1202"/>
      <c r="K57" s="1202">
        <v>0</v>
      </c>
      <c r="L57" s="1202"/>
      <c r="M57" s="1202">
        <f t="shared" si="0"/>
        <v>0</v>
      </c>
      <c r="N57" s="1202"/>
      <c r="O57" s="1202">
        <v>0</v>
      </c>
      <c r="P57" s="2879"/>
      <c r="Q57" s="2880"/>
    </row>
    <row r="58" spans="2:17" s="2867" customFormat="1" ht="15.5">
      <c r="B58" s="2875">
        <v>30143</v>
      </c>
      <c r="C58" s="2839"/>
      <c r="D58" s="2876" t="s">
        <v>1453</v>
      </c>
      <c r="E58" s="2839"/>
      <c r="F58" s="1202"/>
      <c r="G58" s="1202">
        <v>0</v>
      </c>
      <c r="H58" s="1202"/>
      <c r="I58" s="1202">
        <v>0</v>
      </c>
      <c r="J58" s="1202"/>
      <c r="K58" s="1202">
        <v>0</v>
      </c>
      <c r="L58" s="1202"/>
      <c r="M58" s="1202">
        <f t="shared" si="0"/>
        <v>0</v>
      </c>
      <c r="N58" s="1202"/>
      <c r="O58" s="1202">
        <v>0</v>
      </c>
      <c r="P58" s="2879"/>
      <c r="Q58" s="2880"/>
    </row>
    <row r="59" spans="2:17" s="2867" customFormat="1" ht="15.5">
      <c r="B59" s="2875">
        <v>30144</v>
      </c>
      <c r="C59" s="2839"/>
      <c r="D59" s="2876" t="s">
        <v>1454</v>
      </c>
      <c r="E59" s="2839"/>
      <c r="F59" s="1202"/>
      <c r="G59" s="1202">
        <v>0</v>
      </c>
      <c r="H59" s="1202"/>
      <c r="I59" s="1202">
        <v>0</v>
      </c>
      <c r="J59" s="1202"/>
      <c r="K59" s="1202">
        <v>0</v>
      </c>
      <c r="L59" s="1202"/>
      <c r="M59" s="1202">
        <f t="shared" si="0"/>
        <v>0</v>
      </c>
      <c r="N59" s="1202"/>
      <c r="O59" s="1202">
        <v>0</v>
      </c>
      <c r="P59" s="2879"/>
      <c r="Q59" s="2880"/>
    </row>
    <row r="60" spans="2:17" s="2867" customFormat="1" ht="15.5">
      <c r="B60" s="2875">
        <v>30145</v>
      </c>
      <c r="C60" s="2839"/>
      <c r="D60" s="2876" t="s">
        <v>1455</v>
      </c>
      <c r="E60" s="2839"/>
      <c r="F60" s="1202"/>
      <c r="G60" s="1202">
        <v>0</v>
      </c>
      <c r="H60" s="1202"/>
      <c r="I60" s="1202">
        <v>0</v>
      </c>
      <c r="J60" s="1202"/>
      <c r="K60" s="1202">
        <v>0</v>
      </c>
      <c r="L60" s="1202"/>
      <c r="M60" s="1202">
        <f t="shared" si="0"/>
        <v>0</v>
      </c>
      <c r="N60" s="1202"/>
      <c r="O60" s="1202">
        <v>0</v>
      </c>
      <c r="P60" s="2879"/>
      <c r="Q60" s="2880"/>
    </row>
    <row r="61" spans="2:17" s="2867" customFormat="1" ht="15.5">
      <c r="B61" s="2875">
        <v>30146</v>
      </c>
      <c r="C61" s="2839"/>
      <c r="D61" s="2876" t="s">
        <v>1456</v>
      </c>
      <c r="E61" s="2839"/>
      <c r="F61" s="1202"/>
      <c r="G61" s="1202">
        <v>0</v>
      </c>
      <c r="H61" s="1202"/>
      <c r="I61" s="1202">
        <v>0</v>
      </c>
      <c r="J61" s="1202"/>
      <c r="K61" s="1202">
        <v>0</v>
      </c>
      <c r="L61" s="1202"/>
      <c r="M61" s="1202">
        <f t="shared" si="0"/>
        <v>0</v>
      </c>
      <c r="N61" s="1202"/>
      <c r="O61" s="1202">
        <v>0</v>
      </c>
      <c r="P61" s="2879"/>
      <c r="Q61" s="2880"/>
    </row>
    <row r="62" spans="2:17" s="2867" customFormat="1" ht="15.5">
      <c r="B62" s="2875">
        <v>30147</v>
      </c>
      <c r="C62" s="2839"/>
      <c r="D62" s="2876" t="s">
        <v>564</v>
      </c>
      <c r="E62" s="2839"/>
      <c r="F62" s="1202">
        <v>0</v>
      </c>
      <c r="G62" s="1202">
        <v>0</v>
      </c>
      <c r="H62" s="1202"/>
      <c r="I62" s="1202">
        <v>0</v>
      </c>
      <c r="J62" s="1202"/>
      <c r="K62" s="1202">
        <v>0</v>
      </c>
      <c r="L62" s="1202"/>
      <c r="M62" s="1202">
        <f t="shared" ref="M62:M75" si="1">ROUND(SUM(O62)-SUM(K62),2)</f>
        <v>0</v>
      </c>
      <c r="N62" s="1202"/>
      <c r="O62" s="1202">
        <v>0</v>
      </c>
      <c r="P62" s="2887"/>
      <c r="Q62" s="2880"/>
    </row>
    <row r="63" spans="2:17" s="2867" customFormat="1" ht="15.5">
      <c r="B63" s="2875">
        <v>30148</v>
      </c>
      <c r="C63" s="2839"/>
      <c r="D63" s="2876" t="s">
        <v>1458</v>
      </c>
      <c r="E63" s="2839"/>
      <c r="F63" s="1202"/>
      <c r="G63" s="1202">
        <v>0</v>
      </c>
      <c r="H63" s="1202"/>
      <c r="I63" s="1202">
        <v>0</v>
      </c>
      <c r="J63" s="1202"/>
      <c r="K63" s="1202">
        <v>0</v>
      </c>
      <c r="L63" s="1202"/>
      <c r="M63" s="1202">
        <f t="shared" ref="M63:M69" si="2">ROUND(SUM(O63)-SUM(K63),2)</f>
        <v>0</v>
      </c>
      <c r="N63" s="1202"/>
      <c r="O63" s="1202">
        <v>0</v>
      </c>
      <c r="P63" s="2887"/>
      <c r="Q63" s="2880"/>
    </row>
    <row r="64" spans="2:17" s="2867" customFormat="1" ht="15.5">
      <c r="B64" s="2875">
        <v>30149</v>
      </c>
      <c r="C64" s="2839"/>
      <c r="D64" s="2876" t="s">
        <v>1459</v>
      </c>
      <c r="E64" s="2839"/>
      <c r="F64" s="1202"/>
      <c r="G64" s="1202">
        <v>0</v>
      </c>
      <c r="H64" s="1202"/>
      <c r="I64" s="1202">
        <v>0</v>
      </c>
      <c r="J64" s="1202"/>
      <c r="K64" s="1202">
        <v>0</v>
      </c>
      <c r="L64" s="1202"/>
      <c r="M64" s="1202">
        <f t="shared" si="2"/>
        <v>0</v>
      </c>
      <c r="N64" s="1202"/>
      <c r="O64" s="1202">
        <v>0</v>
      </c>
      <c r="P64" s="2887"/>
      <c r="Q64" s="2880"/>
    </row>
    <row r="65" spans="2:17" s="2867" customFormat="1" ht="15.5">
      <c r="B65" s="2875">
        <v>30150</v>
      </c>
      <c r="C65" s="2839"/>
      <c r="D65" s="2876" t="s">
        <v>1460</v>
      </c>
      <c r="E65" s="2839"/>
      <c r="F65" s="1202"/>
      <c r="G65" s="1202">
        <v>0</v>
      </c>
      <c r="H65" s="1202"/>
      <c r="I65" s="1202">
        <v>0</v>
      </c>
      <c r="J65" s="1202"/>
      <c r="K65" s="1202">
        <v>0</v>
      </c>
      <c r="L65" s="1202"/>
      <c r="M65" s="1202">
        <f t="shared" si="2"/>
        <v>0</v>
      </c>
      <c r="N65" s="1202"/>
      <c r="O65" s="1202">
        <v>0</v>
      </c>
      <c r="P65" s="2887"/>
      <c r="Q65" s="2880"/>
    </row>
    <row r="66" spans="2:17" s="2867" customFormat="1" ht="15.5">
      <c r="B66" s="2875">
        <v>30151</v>
      </c>
      <c r="C66" s="2839"/>
      <c r="D66" s="2876" t="s">
        <v>1461</v>
      </c>
      <c r="E66" s="2839"/>
      <c r="F66" s="1202"/>
      <c r="G66" s="1202">
        <v>0</v>
      </c>
      <c r="H66" s="1202"/>
      <c r="I66" s="1202">
        <v>0</v>
      </c>
      <c r="J66" s="1202"/>
      <c r="K66" s="1202">
        <v>0</v>
      </c>
      <c r="L66" s="1202"/>
      <c r="M66" s="1202">
        <f t="shared" si="2"/>
        <v>0</v>
      </c>
      <c r="N66" s="1202"/>
      <c r="O66" s="1202">
        <v>0</v>
      </c>
      <c r="P66" s="2887"/>
      <c r="Q66" s="2880"/>
    </row>
    <row r="67" spans="2:17" s="2867" customFormat="1" ht="15.5">
      <c r="B67" s="2875">
        <v>30152</v>
      </c>
      <c r="C67" s="2839"/>
      <c r="D67" s="2876" t="s">
        <v>1462</v>
      </c>
      <c r="E67" s="2839"/>
      <c r="F67" s="1202"/>
      <c r="G67" s="1202">
        <v>0</v>
      </c>
      <c r="H67" s="1202"/>
      <c r="I67" s="1202">
        <v>0</v>
      </c>
      <c r="J67" s="1202"/>
      <c r="K67" s="1202">
        <v>0</v>
      </c>
      <c r="L67" s="1202"/>
      <c r="M67" s="1202">
        <f t="shared" si="2"/>
        <v>0</v>
      </c>
      <c r="N67" s="1202"/>
      <c r="O67" s="1202">
        <v>0</v>
      </c>
      <c r="P67" s="2887"/>
      <c r="Q67" s="2880"/>
    </row>
    <row r="68" spans="2:17" s="2867" customFormat="1" ht="15.5">
      <c r="B68" s="2875">
        <v>30153</v>
      </c>
      <c r="C68" s="2839"/>
      <c r="D68" s="2876" t="s">
        <v>1463</v>
      </c>
      <c r="E68" s="2839"/>
      <c r="F68" s="1202"/>
      <c r="G68" s="1202">
        <v>0</v>
      </c>
      <c r="H68" s="1202"/>
      <c r="I68" s="1202">
        <v>0</v>
      </c>
      <c r="J68" s="1202"/>
      <c r="K68" s="1202">
        <v>0</v>
      </c>
      <c r="L68" s="1202"/>
      <c r="M68" s="1202">
        <f t="shared" si="2"/>
        <v>0</v>
      </c>
      <c r="N68" s="1202"/>
      <c r="O68" s="1202">
        <v>0</v>
      </c>
      <c r="P68" s="2887"/>
      <c r="Q68" s="2880"/>
    </row>
    <row r="69" spans="2:17" s="2867" customFormat="1" ht="15.5">
      <c r="B69" s="2875">
        <v>30154</v>
      </c>
      <c r="C69" s="2839"/>
      <c r="D69" s="2876" t="s">
        <v>1464</v>
      </c>
      <c r="E69" s="2839"/>
      <c r="F69" s="1202"/>
      <c r="G69" s="1202">
        <v>0</v>
      </c>
      <c r="H69" s="1202"/>
      <c r="I69" s="1202">
        <v>0</v>
      </c>
      <c r="J69" s="1202"/>
      <c r="K69" s="1202">
        <v>0</v>
      </c>
      <c r="L69" s="1202"/>
      <c r="M69" s="1202">
        <f t="shared" si="2"/>
        <v>0</v>
      </c>
      <c r="N69" s="1202"/>
      <c r="O69" s="1202">
        <v>0</v>
      </c>
      <c r="P69" s="2887"/>
      <c r="Q69" s="2880"/>
    </row>
    <row r="70" spans="2:17" s="2867" customFormat="1" ht="15.5">
      <c r="B70" s="2875">
        <v>30351</v>
      </c>
      <c r="C70" s="2839"/>
      <c r="D70" s="2876" t="s">
        <v>565</v>
      </c>
      <c r="E70" s="2839"/>
      <c r="F70" s="1202">
        <v>72792259.140000001</v>
      </c>
      <c r="G70" s="1202">
        <v>66042173.200000003</v>
      </c>
      <c r="H70" s="1202"/>
      <c r="I70" s="1202">
        <v>74888210.25</v>
      </c>
      <c r="J70" s="1202"/>
      <c r="K70" s="1202">
        <v>87842261.819999993</v>
      </c>
      <c r="L70" s="1202"/>
      <c r="M70" s="1202">
        <f t="shared" si="1"/>
        <v>1278509.25</v>
      </c>
      <c r="N70" s="1202"/>
      <c r="O70" s="1202">
        <v>89120771.069999993</v>
      </c>
      <c r="P70" s="2887"/>
      <c r="Q70" s="2880"/>
    </row>
    <row r="71" spans="2:17" s="2867" customFormat="1" ht="15.5">
      <c r="B71" s="2875">
        <v>30501</v>
      </c>
      <c r="C71" s="2839"/>
      <c r="D71" s="2876" t="s">
        <v>1465</v>
      </c>
      <c r="E71" s="2839"/>
      <c r="F71" s="1202"/>
      <c r="G71" s="1202">
        <v>0</v>
      </c>
      <c r="H71" s="1202"/>
      <c r="I71" s="1202">
        <v>0</v>
      </c>
      <c r="J71" s="1202"/>
      <c r="K71" s="1202">
        <v>0</v>
      </c>
      <c r="L71" s="1202"/>
      <c r="M71" s="1202">
        <f>ROUND(SUM(O71)-SUM(K71),2)</f>
        <v>0</v>
      </c>
      <c r="N71" s="1202"/>
      <c r="O71" s="1202">
        <v>0</v>
      </c>
      <c r="P71" s="2887"/>
      <c r="Q71" s="2880"/>
    </row>
    <row r="72" spans="2:17" s="2867" customFormat="1" ht="15.5">
      <c r="B72" s="2875">
        <v>30502</v>
      </c>
      <c r="C72" s="2839"/>
      <c r="D72" s="2876" t="s">
        <v>1466</v>
      </c>
      <c r="E72" s="2839"/>
      <c r="F72" s="1202"/>
      <c r="G72" s="1202">
        <v>0</v>
      </c>
      <c r="H72" s="1202"/>
      <c r="I72" s="1202">
        <v>0</v>
      </c>
      <c r="J72" s="1202"/>
      <c r="K72" s="1202">
        <v>0</v>
      </c>
      <c r="L72" s="1202"/>
      <c r="M72" s="1202">
        <f>ROUND(SUM(O72)-SUM(K72),2)</f>
        <v>0</v>
      </c>
      <c r="N72" s="1202"/>
      <c r="O72" s="1202">
        <v>0</v>
      </c>
      <c r="P72" s="2887"/>
      <c r="Q72" s="2880"/>
    </row>
    <row r="73" spans="2:17" s="2867" customFormat="1" ht="15.5">
      <c r="B73" s="2875">
        <v>30503</v>
      </c>
      <c r="C73" s="2839"/>
      <c r="D73" s="2876" t="s">
        <v>1467</v>
      </c>
      <c r="E73" s="2839"/>
      <c r="F73" s="1202"/>
      <c r="G73" s="1202">
        <v>0</v>
      </c>
      <c r="H73" s="1202"/>
      <c r="I73" s="1202">
        <v>0</v>
      </c>
      <c r="J73" s="1202"/>
      <c r="K73" s="1202">
        <v>0</v>
      </c>
      <c r="L73" s="1202"/>
      <c r="M73" s="1202">
        <f>ROUND(SUM(O73)-SUM(K73),2)</f>
        <v>0</v>
      </c>
      <c r="N73" s="1202"/>
      <c r="O73" s="1202">
        <v>0</v>
      </c>
      <c r="P73" s="2887"/>
      <c r="Q73" s="2880"/>
    </row>
    <row r="74" spans="2:17" s="2867" customFormat="1" ht="15.5">
      <c r="B74" s="2875">
        <v>30504</v>
      </c>
      <c r="C74" s="2839"/>
      <c r="D74" s="2876" t="s">
        <v>1468</v>
      </c>
      <c r="E74" s="2839"/>
      <c r="F74" s="1202"/>
      <c r="G74" s="1202">
        <v>0</v>
      </c>
      <c r="H74" s="1202"/>
      <c r="I74" s="1202">
        <v>0</v>
      </c>
      <c r="J74" s="1202"/>
      <c r="K74" s="1202">
        <v>0</v>
      </c>
      <c r="L74" s="1202"/>
      <c r="M74" s="1202">
        <f>ROUND(SUM(O74)-SUM(K74),2)</f>
        <v>0</v>
      </c>
      <c r="N74" s="1202"/>
      <c r="O74" s="1202">
        <v>0</v>
      </c>
      <c r="P74" s="2887"/>
      <c r="Q74" s="2880"/>
    </row>
    <row r="75" spans="2:17" s="2867" customFormat="1" ht="15.5">
      <c r="B75" s="2875">
        <v>31506</v>
      </c>
      <c r="C75" s="2889"/>
      <c r="D75" s="2890" t="s">
        <v>566</v>
      </c>
      <c r="E75" s="2891"/>
      <c r="F75" s="1202">
        <v>109849194.79000001</v>
      </c>
      <c r="G75" s="1202">
        <v>111388431.64</v>
      </c>
      <c r="H75" s="1202"/>
      <c r="I75" s="1202">
        <v>116843135.51000001</v>
      </c>
      <c r="J75" s="1202"/>
      <c r="K75" s="1202">
        <v>122167002.33</v>
      </c>
      <c r="L75" s="1202"/>
      <c r="M75" s="1202">
        <f t="shared" si="1"/>
        <v>8638423.7899999991</v>
      </c>
      <c r="N75" s="1202"/>
      <c r="O75" s="1202">
        <v>130805426.12</v>
      </c>
      <c r="P75" s="2887"/>
      <c r="Q75" s="2880"/>
    </row>
    <row r="76" spans="2:17" s="2867" customFormat="1" ht="15.5">
      <c r="B76" s="2875">
        <v>31701</v>
      </c>
      <c r="C76" s="2839"/>
      <c r="D76" s="2876" t="s">
        <v>567</v>
      </c>
      <c r="E76" s="2839"/>
      <c r="F76" s="1202">
        <v>7423246.6200000001</v>
      </c>
      <c r="G76" s="1202">
        <v>17477826.109999999</v>
      </c>
      <c r="H76" s="1202"/>
      <c r="I76" s="1202">
        <v>17932224.27</v>
      </c>
      <c r="J76" s="1202"/>
      <c r="K76" s="1202">
        <v>18475632.280000001</v>
      </c>
      <c r="L76" s="1202"/>
      <c r="M76" s="1202">
        <f t="shared" ref="M76:M83" si="3">ROUND(SUM(O76)-SUM(K76),2)</f>
        <v>409131.09</v>
      </c>
      <c r="N76" s="1202"/>
      <c r="O76" s="1202">
        <v>18884763.370000001</v>
      </c>
      <c r="P76" s="2887"/>
      <c r="Q76" s="2880"/>
    </row>
    <row r="77" spans="2:17" s="2867" customFormat="1" ht="15.5">
      <c r="B77" s="2875">
        <v>31801</v>
      </c>
      <c r="C77" s="2839"/>
      <c r="D77" s="2876" t="s">
        <v>568</v>
      </c>
      <c r="E77" s="2839"/>
      <c r="F77" s="1202">
        <v>13150846.050000001</v>
      </c>
      <c r="G77" s="1202">
        <v>12941967.060000001</v>
      </c>
      <c r="H77" s="1202"/>
      <c r="I77" s="1202">
        <v>12941967.060000001</v>
      </c>
      <c r="J77" s="1202"/>
      <c r="K77" s="1202">
        <v>12941967.060000001</v>
      </c>
      <c r="L77" s="1202"/>
      <c r="M77" s="1202">
        <f t="shared" si="3"/>
        <v>0</v>
      </c>
      <c r="N77" s="1202"/>
      <c r="O77" s="1202">
        <v>12941967.060000001</v>
      </c>
      <c r="P77" s="2887"/>
      <c r="Q77" s="2880"/>
    </row>
    <row r="78" spans="2:17" s="2867" customFormat="1" ht="15.5">
      <c r="B78" s="2875">
        <v>31851</v>
      </c>
      <c r="C78" s="2839"/>
      <c r="D78" s="2888" t="s">
        <v>569</v>
      </c>
      <c r="E78" s="2839"/>
      <c r="F78" s="1202">
        <v>0</v>
      </c>
      <c r="G78" s="1202">
        <v>411069568.87</v>
      </c>
      <c r="H78" s="1202"/>
      <c r="I78" s="1202">
        <v>441855811.87</v>
      </c>
      <c r="J78" s="1202"/>
      <c r="K78" s="1202">
        <v>452422178.87</v>
      </c>
      <c r="L78" s="1202"/>
      <c r="M78" s="1202">
        <f t="shared" si="3"/>
        <v>36144314</v>
      </c>
      <c r="N78" s="1202"/>
      <c r="O78" s="1202">
        <v>488566492.87</v>
      </c>
      <c r="P78" s="2887"/>
      <c r="Q78" s="2880"/>
    </row>
    <row r="79" spans="2:17" s="2867" customFormat="1" ht="15.5">
      <c r="B79" s="2875">
        <v>31852</v>
      </c>
      <c r="C79" s="2839"/>
      <c r="D79" s="2876" t="s">
        <v>570</v>
      </c>
      <c r="E79" s="2839"/>
      <c r="F79" s="1202">
        <v>40679225.310000002</v>
      </c>
      <c r="G79" s="1202">
        <v>46318347.020000003</v>
      </c>
      <c r="H79" s="1202"/>
      <c r="I79" s="1202">
        <v>46999719.020000003</v>
      </c>
      <c r="J79" s="1202"/>
      <c r="K79" s="1202">
        <v>46999719.020000003</v>
      </c>
      <c r="L79" s="1202"/>
      <c r="M79" s="1202">
        <f t="shared" si="3"/>
        <v>1005728</v>
      </c>
      <c r="N79" s="1202"/>
      <c r="O79" s="1202">
        <v>48005447.020000003</v>
      </c>
      <c r="P79" s="2887"/>
      <c r="Q79" s="2880"/>
    </row>
    <row r="80" spans="2:17" s="2867" customFormat="1" ht="15.5">
      <c r="B80" s="2875">
        <v>31853</v>
      </c>
      <c r="C80" s="2839"/>
      <c r="D80" s="2888" t="s">
        <v>571</v>
      </c>
      <c r="E80" s="2839"/>
      <c r="F80" s="1202">
        <v>76297899.909999996</v>
      </c>
      <c r="G80" s="1202">
        <v>123746517.14</v>
      </c>
      <c r="H80" s="1202"/>
      <c r="I80" s="1202">
        <v>145746517.13999999</v>
      </c>
      <c r="J80" s="1202"/>
      <c r="K80" s="1202">
        <v>145746517.13999999</v>
      </c>
      <c r="L80" s="1202"/>
      <c r="M80" s="1202">
        <f t="shared" si="3"/>
        <v>0</v>
      </c>
      <c r="N80" s="1202"/>
      <c r="O80" s="1202">
        <v>145746517.13999999</v>
      </c>
      <c r="P80" s="2887"/>
      <c r="Q80" s="2880"/>
    </row>
    <row r="81" spans="2:17" s="2867" customFormat="1" ht="15.5">
      <c r="B81" s="2875">
        <v>31854</v>
      </c>
      <c r="C81" s="2839"/>
      <c r="D81" s="2888" t="s">
        <v>1469</v>
      </c>
      <c r="E81" s="2839"/>
      <c r="F81" s="1202"/>
      <c r="G81" s="1202">
        <v>0</v>
      </c>
      <c r="H81" s="1202"/>
      <c r="I81" s="1202">
        <v>0</v>
      </c>
      <c r="J81" s="1202"/>
      <c r="K81" s="1202">
        <v>0</v>
      </c>
      <c r="L81" s="1202"/>
      <c r="M81" s="1202">
        <f t="shared" ref="M81" si="4">ROUND(SUM(O81)-SUM(K81),2)</f>
        <v>0</v>
      </c>
      <c r="N81" s="1202"/>
      <c r="O81" s="1202">
        <v>0</v>
      </c>
      <c r="P81" s="2887"/>
      <c r="Q81" s="2880"/>
    </row>
    <row r="82" spans="2:17" s="2867" customFormat="1" ht="15.5">
      <c r="B82" s="2875">
        <v>31951</v>
      </c>
      <c r="C82" s="2839"/>
      <c r="D82" s="2888" t="s">
        <v>572</v>
      </c>
      <c r="E82" s="2839"/>
      <c r="F82" s="1202">
        <v>12348115.710000001</v>
      </c>
      <c r="G82" s="1202">
        <v>11951592.859999999</v>
      </c>
      <c r="H82" s="1202"/>
      <c r="I82" s="1202">
        <v>11951595.390000001</v>
      </c>
      <c r="J82" s="1202"/>
      <c r="K82" s="1202">
        <v>11951595.390000001</v>
      </c>
      <c r="L82" s="1202"/>
      <c r="M82" s="1202">
        <f t="shared" si="3"/>
        <v>2.46</v>
      </c>
      <c r="N82" s="1202"/>
      <c r="O82" s="1202">
        <v>11951597.85</v>
      </c>
      <c r="P82" s="2887"/>
      <c r="Q82" s="2880"/>
    </row>
    <row r="83" spans="2:17" s="2867" customFormat="1" ht="15.5">
      <c r="B83" s="2875">
        <v>32213</v>
      </c>
      <c r="C83" s="2839"/>
      <c r="D83" s="2876" t="s">
        <v>573</v>
      </c>
      <c r="E83" s="2839"/>
      <c r="F83" s="1202">
        <v>153750</v>
      </c>
      <c r="G83" s="1202">
        <v>153750</v>
      </c>
      <c r="H83" s="1202"/>
      <c r="I83" s="1202">
        <v>153750</v>
      </c>
      <c r="J83" s="1202"/>
      <c r="K83" s="1202">
        <v>153750</v>
      </c>
      <c r="L83" s="1202"/>
      <c r="M83" s="1202">
        <f t="shared" si="3"/>
        <v>0</v>
      </c>
      <c r="N83" s="1202"/>
      <c r="O83" s="1202">
        <v>153750</v>
      </c>
      <c r="P83" s="2887"/>
      <c r="Q83" s="2880"/>
    </row>
    <row r="84" spans="2:17" s="2867" customFormat="1" ht="15.5">
      <c r="B84" s="2875">
        <v>32214</v>
      </c>
      <c r="C84" s="2839"/>
      <c r="D84" s="2876" t="s">
        <v>1182</v>
      </c>
      <c r="E84" s="2839"/>
      <c r="F84" s="1202"/>
      <c r="G84" s="1202">
        <v>0</v>
      </c>
      <c r="H84" s="1202"/>
      <c r="I84" s="1202">
        <v>0</v>
      </c>
      <c r="J84" s="1202"/>
      <c r="K84" s="1202">
        <v>0</v>
      </c>
      <c r="L84" s="1202"/>
      <c r="M84" s="1202">
        <f t="shared" ref="M84" si="5">ROUND(SUM(O84)-SUM(K84),2)</f>
        <v>0</v>
      </c>
      <c r="N84" s="1202"/>
      <c r="O84" s="1202">
        <v>0</v>
      </c>
      <c r="P84" s="2887"/>
      <c r="Q84" s="2880"/>
    </row>
    <row r="85" spans="2:17" s="2867" customFormat="1" ht="15.5">
      <c r="B85" s="2875">
        <v>32215</v>
      </c>
      <c r="C85" s="2839"/>
      <c r="D85" s="2876" t="s">
        <v>1156</v>
      </c>
      <c r="E85" s="2839"/>
      <c r="F85" s="1202"/>
      <c r="G85" s="1202">
        <v>6528054.8700000001</v>
      </c>
      <c r="H85" s="1202"/>
      <c r="I85" s="1202">
        <v>6609496.9699999997</v>
      </c>
      <c r="J85" s="1202"/>
      <c r="K85" s="1202">
        <v>6715162.9000000004</v>
      </c>
      <c r="L85" s="1202"/>
      <c r="M85" s="1202">
        <f>ROUND(SUM(O85)-SUM(K85),2)</f>
        <v>824667.95</v>
      </c>
      <c r="N85" s="1202"/>
      <c r="O85" s="1202">
        <v>7539830.8499999996</v>
      </c>
      <c r="P85" s="2887"/>
      <c r="Q85" s="2880"/>
    </row>
    <row r="86" spans="2:17" s="2867" customFormat="1" ht="15.5">
      <c r="B86" s="2875">
        <v>32219</v>
      </c>
      <c r="C86" s="2839"/>
      <c r="D86" s="2876" t="s">
        <v>1214</v>
      </c>
      <c r="E86" s="2839"/>
      <c r="F86" s="1202"/>
      <c r="G86" s="1202">
        <v>0</v>
      </c>
      <c r="H86" s="1202"/>
      <c r="I86" s="1202">
        <v>0</v>
      </c>
      <c r="J86" s="1202"/>
      <c r="K86" s="1202">
        <v>0</v>
      </c>
      <c r="L86" s="1202"/>
      <c r="M86" s="1202">
        <f>ROUND(SUM(O86)-SUM(K86),2)</f>
        <v>281.25</v>
      </c>
      <c r="N86" s="1202"/>
      <c r="O86" s="1202">
        <v>281.25</v>
      </c>
      <c r="P86" s="2887"/>
      <c r="Q86" s="2880"/>
    </row>
    <row r="87" spans="2:17" s="2867" customFormat="1" ht="15.5">
      <c r="B87" s="2875">
        <v>32301</v>
      </c>
      <c r="C87" s="2839"/>
      <c r="D87" s="2876" t="s">
        <v>1470</v>
      </c>
      <c r="E87" s="2839"/>
      <c r="F87" s="1202"/>
      <c r="G87" s="1202">
        <v>0</v>
      </c>
      <c r="H87" s="1202"/>
      <c r="I87" s="1202">
        <v>0</v>
      </c>
      <c r="J87" s="1202"/>
      <c r="K87" s="1202">
        <v>0</v>
      </c>
      <c r="L87" s="1202"/>
      <c r="M87" s="1202">
        <f t="shared" ref="M87:M88" si="6">ROUND(SUM(O87)-SUM(K87),2)</f>
        <v>0</v>
      </c>
      <c r="N87" s="1202"/>
      <c r="O87" s="1202">
        <v>0</v>
      </c>
      <c r="P87" s="2887"/>
      <c r="Q87" s="2880"/>
    </row>
    <row r="88" spans="2:17" s="2867" customFormat="1" ht="15.5">
      <c r="B88" s="2875">
        <v>32302</v>
      </c>
      <c r="C88" s="2839"/>
      <c r="D88" s="2876" t="s">
        <v>1471</v>
      </c>
      <c r="E88" s="2839"/>
      <c r="F88" s="1202"/>
      <c r="G88" s="1202">
        <v>0</v>
      </c>
      <c r="H88" s="1202"/>
      <c r="I88" s="1202">
        <v>0</v>
      </c>
      <c r="J88" s="1202"/>
      <c r="K88" s="1202">
        <v>0</v>
      </c>
      <c r="L88" s="1202"/>
      <c r="M88" s="1202">
        <f t="shared" si="6"/>
        <v>0</v>
      </c>
      <c r="N88" s="1202"/>
      <c r="O88" s="1202">
        <v>0</v>
      </c>
      <c r="P88" s="2887"/>
      <c r="Q88" s="2880"/>
    </row>
    <row r="89" spans="2:17" s="2867" customFormat="1" ht="15.5">
      <c r="B89" s="2875">
        <v>32303</v>
      </c>
      <c r="C89" s="2839"/>
      <c r="D89" s="2876" t="s">
        <v>574</v>
      </c>
      <c r="E89" s="2891"/>
      <c r="F89" s="1202">
        <v>87723047.260000005</v>
      </c>
      <c r="G89" s="1202">
        <v>74666090.730000004</v>
      </c>
      <c r="H89" s="1202"/>
      <c r="I89" s="1202">
        <v>75303599.040000007</v>
      </c>
      <c r="J89" s="1202"/>
      <c r="K89" s="1202">
        <v>76919643.680000007</v>
      </c>
      <c r="L89" s="1202"/>
      <c r="M89" s="1202">
        <f>ROUND(SUM(O89)-SUM(K89),2)</f>
        <v>1872858.56</v>
      </c>
      <c r="N89" s="1202"/>
      <c r="O89" s="1202">
        <v>78792502.239999995</v>
      </c>
      <c r="P89" s="2887"/>
      <c r="Q89" s="2880"/>
    </row>
    <row r="90" spans="2:17" s="2867" customFormat="1" ht="15.5">
      <c r="B90" s="2875">
        <v>32304</v>
      </c>
      <c r="C90" s="2839"/>
      <c r="D90" s="2876" t="s">
        <v>1472</v>
      </c>
      <c r="E90" s="2891"/>
      <c r="F90" s="1202"/>
      <c r="G90" s="1202">
        <v>0</v>
      </c>
      <c r="H90" s="1202"/>
      <c r="I90" s="1202">
        <v>0</v>
      </c>
      <c r="J90" s="1202"/>
      <c r="K90" s="1202">
        <v>0</v>
      </c>
      <c r="L90" s="1202"/>
      <c r="M90" s="1202">
        <f>ROUND(SUM(O90)-SUM(K90),2)</f>
        <v>0</v>
      </c>
      <c r="N90" s="1202"/>
      <c r="O90" s="1202">
        <v>0</v>
      </c>
      <c r="P90" s="2887"/>
      <c r="Q90" s="2880"/>
    </row>
    <row r="91" spans="2:17" s="2867" customFormat="1" ht="15.5">
      <c r="B91" s="2875">
        <v>32305</v>
      </c>
      <c r="C91" s="2839"/>
      <c r="D91" s="2876" t="s">
        <v>924</v>
      </c>
      <c r="E91" s="2891"/>
      <c r="F91" s="1202">
        <v>172362230.61000001</v>
      </c>
      <c r="G91" s="1202">
        <v>187964640.21000001</v>
      </c>
      <c r="H91" s="1202"/>
      <c r="I91" s="1202">
        <v>187046790.09</v>
      </c>
      <c r="J91" s="1202"/>
      <c r="K91" s="1202">
        <v>187354499.77000001</v>
      </c>
      <c r="L91" s="1202"/>
      <c r="M91" s="1202">
        <f t="shared" ref="M91:M101" si="7">ROUND(SUM(O91)-SUM(K91),2)</f>
        <v>600000</v>
      </c>
      <c r="N91" s="1202"/>
      <c r="O91" s="1202">
        <v>187954499.77000001</v>
      </c>
      <c r="P91" s="2887"/>
      <c r="Q91" s="2880"/>
    </row>
    <row r="92" spans="2:17" s="2867" customFormat="1" ht="15.5">
      <c r="B92" s="2875">
        <v>32306</v>
      </c>
      <c r="C92" s="2839"/>
      <c r="D92" s="2876" t="s">
        <v>1473</v>
      </c>
      <c r="E92" s="2891"/>
      <c r="F92" s="1202"/>
      <c r="G92" s="1202">
        <v>0</v>
      </c>
      <c r="H92" s="1202"/>
      <c r="I92" s="1202">
        <v>0</v>
      </c>
      <c r="J92" s="1202"/>
      <c r="K92" s="1202">
        <v>0</v>
      </c>
      <c r="L92" s="1202"/>
      <c r="M92" s="1202">
        <f t="shared" ref="M92" si="8">ROUND(SUM(O92)-SUM(K92),2)</f>
        <v>0</v>
      </c>
      <c r="N92" s="1202"/>
      <c r="O92" s="1202">
        <v>0</v>
      </c>
      <c r="P92" s="2887"/>
      <c r="Q92" s="2880"/>
    </row>
    <row r="93" spans="2:17" s="2867" customFormat="1" ht="15.5">
      <c r="B93" s="2875">
        <v>32307</v>
      </c>
      <c r="C93" s="2839"/>
      <c r="D93" s="2888" t="s">
        <v>575</v>
      </c>
      <c r="E93" s="2891"/>
      <c r="F93" s="1202">
        <v>5430710.0300000003</v>
      </c>
      <c r="G93" s="1202">
        <v>7893352.3200000003</v>
      </c>
      <c r="H93" s="1202"/>
      <c r="I93" s="1202">
        <v>7893352.3200000003</v>
      </c>
      <c r="J93" s="1202"/>
      <c r="K93" s="1202">
        <v>7893352.3200000003</v>
      </c>
      <c r="L93" s="1202"/>
      <c r="M93" s="1202">
        <f t="shared" si="7"/>
        <v>0</v>
      </c>
      <c r="N93" s="1202"/>
      <c r="O93" s="1202">
        <v>7893352.3200000003</v>
      </c>
      <c r="P93" s="2887"/>
      <c r="Q93" s="2880"/>
    </row>
    <row r="94" spans="2:17" s="2867" customFormat="1" ht="15.5">
      <c r="B94" s="2875">
        <v>32308</v>
      </c>
      <c r="C94" s="2839"/>
      <c r="D94" s="2888" t="s">
        <v>576</v>
      </c>
      <c r="E94" s="2891"/>
      <c r="F94" s="1202">
        <v>539890.44999999995</v>
      </c>
      <c r="G94" s="1202">
        <v>2089088.09</v>
      </c>
      <c r="H94" s="1202"/>
      <c r="I94" s="1202">
        <v>2089088.09</v>
      </c>
      <c r="J94" s="1202"/>
      <c r="K94" s="1202">
        <v>2089088.09</v>
      </c>
      <c r="L94" s="1202"/>
      <c r="M94" s="1202">
        <f t="shared" si="7"/>
        <v>0</v>
      </c>
      <c r="N94" s="1202"/>
      <c r="O94" s="1202">
        <v>2089088.09</v>
      </c>
      <c r="P94" s="2887"/>
      <c r="Q94" s="2880"/>
    </row>
    <row r="95" spans="2:17" s="2867" customFormat="1" ht="15.5">
      <c r="B95" s="2875">
        <v>32309</v>
      </c>
      <c r="C95" s="2839"/>
      <c r="D95" s="2888" t="s">
        <v>577</v>
      </c>
      <c r="E95" s="2891"/>
      <c r="F95" s="1202">
        <v>104401100.42</v>
      </c>
      <c r="G95" s="1202">
        <v>109095443.81999999</v>
      </c>
      <c r="H95" s="1202"/>
      <c r="I95" s="1202">
        <v>117159978</v>
      </c>
      <c r="J95" s="1202"/>
      <c r="K95" s="1202">
        <v>124880253.73999999</v>
      </c>
      <c r="L95" s="1202"/>
      <c r="M95" s="1202">
        <f t="shared" si="7"/>
        <v>18244198.719999999</v>
      </c>
      <c r="N95" s="1202"/>
      <c r="O95" s="1202">
        <v>143124452.46000001</v>
      </c>
      <c r="P95" s="2887"/>
      <c r="Q95" s="2880"/>
    </row>
    <row r="96" spans="2:17" s="2867" customFormat="1" ht="15.5">
      <c r="B96" s="2875">
        <v>32310</v>
      </c>
      <c r="C96" s="2839"/>
      <c r="D96" s="2888" t="s">
        <v>578</v>
      </c>
      <c r="E96" s="2891"/>
      <c r="F96" s="1202">
        <v>0</v>
      </c>
      <c r="G96" s="1202">
        <v>29210987.120000001</v>
      </c>
      <c r="H96" s="1202"/>
      <c r="I96" s="1202">
        <v>29296905.34</v>
      </c>
      <c r="J96" s="1202"/>
      <c r="K96" s="1202">
        <v>32257758.34</v>
      </c>
      <c r="L96" s="1202"/>
      <c r="M96" s="1202">
        <f t="shared" si="7"/>
        <v>6923342.2699999996</v>
      </c>
      <c r="N96" s="1202"/>
      <c r="O96" s="1202">
        <v>39181100.609999999</v>
      </c>
      <c r="P96" s="2887"/>
      <c r="Q96" s="2880"/>
    </row>
    <row r="97" spans="2:17" s="2867" customFormat="1" ht="15.5">
      <c r="B97" s="2875">
        <v>32311</v>
      </c>
      <c r="C97" s="2839"/>
      <c r="D97" s="3847" t="s">
        <v>579</v>
      </c>
      <c r="E97" s="2891"/>
      <c r="F97" s="1202">
        <v>2486315.4700000002</v>
      </c>
      <c r="G97" s="1202">
        <v>2572582.7799999998</v>
      </c>
      <c r="H97" s="1202"/>
      <c r="I97" s="1202">
        <v>2572582.7799999998</v>
      </c>
      <c r="J97" s="1202"/>
      <c r="K97" s="1202">
        <v>2604621.98</v>
      </c>
      <c r="L97" s="1202"/>
      <c r="M97" s="1202">
        <f t="shared" si="7"/>
        <v>1067921.95</v>
      </c>
      <c r="N97" s="1202"/>
      <c r="O97" s="1202">
        <v>3672543.93</v>
      </c>
      <c r="P97" s="2887"/>
      <c r="Q97" s="2880"/>
    </row>
    <row r="98" spans="2:17" s="2867" customFormat="1" ht="15.5">
      <c r="B98" s="2875">
        <v>32351</v>
      </c>
      <c r="C98" s="3842"/>
      <c r="D98" s="2888" t="s">
        <v>580</v>
      </c>
      <c r="E98" s="2891"/>
      <c r="F98" s="1202"/>
      <c r="G98" s="1202">
        <v>0</v>
      </c>
      <c r="H98" s="1202"/>
      <c r="I98" s="1202">
        <v>0</v>
      </c>
      <c r="J98" s="1202"/>
      <c r="K98" s="1202">
        <v>0</v>
      </c>
      <c r="L98" s="1202"/>
      <c r="M98" s="1202">
        <f t="shared" si="7"/>
        <v>0</v>
      </c>
      <c r="N98" s="1202"/>
      <c r="O98" s="1202">
        <v>0</v>
      </c>
      <c r="P98" s="2887"/>
      <c r="Q98" s="2880"/>
    </row>
    <row r="99" spans="2:17" s="2867" customFormat="1" ht="15.5">
      <c r="B99" s="2892">
        <v>32352</v>
      </c>
      <c r="C99" s="2893"/>
      <c r="D99" s="2894" t="s">
        <v>581</v>
      </c>
      <c r="E99" s="2895"/>
      <c r="F99" s="1202">
        <v>65245293.57</v>
      </c>
      <c r="G99" s="1202">
        <v>249072740.97999999</v>
      </c>
      <c r="H99" s="1202"/>
      <c r="I99" s="1202">
        <v>279292954.06999999</v>
      </c>
      <c r="J99" s="1202"/>
      <c r="K99" s="1202">
        <v>300095112.76999998</v>
      </c>
      <c r="L99" s="1202"/>
      <c r="M99" s="1202">
        <f t="shared" ref="M99" si="9">ROUND(SUM(O99)-SUM(K99),2)</f>
        <v>36913945.75</v>
      </c>
      <c r="N99" s="1202"/>
      <c r="O99" s="1202">
        <v>337009058.51999998</v>
      </c>
      <c r="P99" s="2896"/>
      <c r="Q99" s="2880"/>
    </row>
    <row r="100" spans="2:17" s="2867" customFormat="1" ht="15.5">
      <c r="B100" s="2892">
        <v>32353</v>
      </c>
      <c r="C100" s="3843"/>
      <c r="D100" s="2894" t="s">
        <v>1474</v>
      </c>
      <c r="E100" s="2895"/>
      <c r="F100" s="1202"/>
      <c r="G100" s="1202">
        <v>0</v>
      </c>
      <c r="H100" s="1202"/>
      <c r="I100" s="1202">
        <v>0</v>
      </c>
      <c r="J100" s="1202"/>
      <c r="K100" s="1202">
        <v>0</v>
      </c>
      <c r="L100" s="1202"/>
      <c r="M100" s="1202">
        <f t="shared" ref="M100" si="10">ROUND(SUM(O100)-SUM(K100),2)</f>
        <v>0</v>
      </c>
      <c r="N100" s="1202"/>
      <c r="O100" s="1202">
        <v>0</v>
      </c>
      <c r="P100" s="2896"/>
      <c r="Q100" s="2880"/>
    </row>
    <row r="101" spans="2:17" s="2867" customFormat="1" ht="15.5">
      <c r="B101" s="2875">
        <v>33001</v>
      </c>
      <c r="C101" s="2839"/>
      <c r="D101" s="2876" t="s">
        <v>582</v>
      </c>
      <c r="E101" s="2891"/>
      <c r="F101" s="1202">
        <v>10000000</v>
      </c>
      <c r="G101" s="1202">
        <v>61263748.100000001</v>
      </c>
      <c r="H101" s="1202"/>
      <c r="I101" s="1202">
        <v>61877918.200000003</v>
      </c>
      <c r="J101" s="1202"/>
      <c r="K101" s="1202">
        <v>63092260.560000002</v>
      </c>
      <c r="L101" s="1202"/>
      <c r="M101" s="1202">
        <f t="shared" si="7"/>
        <v>-5688704.46</v>
      </c>
      <c r="N101" s="1202"/>
      <c r="O101" s="1202">
        <v>57403556.100000001</v>
      </c>
      <c r="P101" s="2887"/>
      <c r="Q101" s="2880"/>
    </row>
    <row r="102" spans="2:17" s="2867" customFormat="1" ht="16" thickBot="1">
      <c r="B102" s="2897"/>
      <c r="C102" s="2898"/>
      <c r="D102" s="2882" t="s">
        <v>583</v>
      </c>
      <c r="E102" s="2871"/>
      <c r="F102" s="2871"/>
      <c r="G102" s="1566">
        <f>ROUND(SUM(G14:G101),2)</f>
        <v>1531446902.9200001</v>
      </c>
      <c r="H102" s="2110"/>
      <c r="I102" s="1566">
        <f>ROUND(SUM(I14:I101),2)</f>
        <v>1638455595.4100001</v>
      </c>
      <c r="J102" s="2110"/>
      <c r="K102" s="1566">
        <f>ROUND(SUM(K14:K101),2)</f>
        <v>1702602378.0599999</v>
      </c>
      <c r="L102" s="2515"/>
      <c r="M102" s="1204">
        <f>ROUND(SUM(M14:M101),2)</f>
        <v>152961204.96000001</v>
      </c>
      <c r="N102" s="2515"/>
      <c r="O102" s="1566">
        <f>ROUND(SUM(O14:O101),2)</f>
        <v>1855563583.02</v>
      </c>
      <c r="P102" s="2887"/>
      <c r="Q102" s="2880"/>
    </row>
    <row r="103" spans="2:17" s="2867" customFormat="1" ht="16" thickTop="1">
      <c r="B103" s="2899"/>
      <c r="C103" s="2899"/>
      <c r="D103" s="2900"/>
      <c r="E103" s="2874"/>
      <c r="F103" s="2874"/>
      <c r="G103" s="797"/>
      <c r="H103" s="798"/>
      <c r="I103" s="2901"/>
      <c r="J103" s="798"/>
      <c r="K103" s="2901"/>
      <c r="L103" s="798"/>
      <c r="M103" s="797"/>
      <c r="N103" s="798"/>
      <c r="O103" s="3585"/>
      <c r="P103" s="2902"/>
      <c r="Q103" s="2880"/>
    </row>
    <row r="104" spans="2:17" s="2867" customFormat="1" ht="15.5">
      <c r="B104" s="2868"/>
      <c r="C104" s="2898"/>
      <c r="D104" s="2903" t="s">
        <v>584</v>
      </c>
      <c r="E104" s="2904"/>
      <c r="F104" s="2904"/>
      <c r="G104" s="2905"/>
      <c r="H104" s="2905"/>
      <c r="I104" s="2906"/>
      <c r="J104" s="2905"/>
      <c r="K104" s="2906"/>
      <c r="L104" s="2905"/>
      <c r="M104" s="1473"/>
      <c r="N104" s="1473"/>
      <c r="O104" s="3586"/>
      <c r="P104" s="2874"/>
      <c r="Q104" s="2880"/>
    </row>
    <row r="105" spans="2:17" s="3056" customFormat="1" ht="15.5">
      <c r="B105" s="2875">
        <v>20401</v>
      </c>
      <c r="C105" s="3476"/>
      <c r="D105" s="2894" t="s">
        <v>1270</v>
      </c>
      <c r="E105" s="3477"/>
      <c r="F105" s="3477"/>
      <c r="G105" s="1202">
        <v>0</v>
      </c>
      <c r="H105" s="3077"/>
      <c r="I105" s="1202">
        <v>0</v>
      </c>
      <c r="J105" s="3077"/>
      <c r="K105" s="1202">
        <v>0</v>
      </c>
      <c r="L105" s="3077"/>
      <c r="M105" s="1202">
        <f t="shared" ref="M105:M165" si="11">ROUND(SUM(O105)-SUM(K105),2)</f>
        <v>0</v>
      </c>
      <c r="N105" s="3478"/>
      <c r="O105" s="1202">
        <v>0</v>
      </c>
      <c r="P105" s="3479"/>
      <c r="Q105" s="3055"/>
    </row>
    <row r="106" spans="2:17" s="2867" customFormat="1" ht="15.5">
      <c r="B106" s="2875">
        <v>20501</v>
      </c>
      <c r="C106" s="2907"/>
      <c r="D106" s="2876" t="s">
        <v>585</v>
      </c>
      <c r="E106" s="2908"/>
      <c r="F106" s="2908"/>
      <c r="G106" s="1202">
        <v>0</v>
      </c>
      <c r="H106" s="1202"/>
      <c r="I106" s="1202">
        <v>0</v>
      </c>
      <c r="J106" s="1202"/>
      <c r="K106" s="1202">
        <v>0</v>
      </c>
      <c r="L106" s="1202"/>
      <c r="M106" s="1202">
        <f t="shared" si="11"/>
        <v>0</v>
      </c>
      <c r="N106" s="1202"/>
      <c r="O106" s="1202">
        <v>0</v>
      </c>
      <c r="P106" s="2887"/>
      <c r="Q106" s="2880"/>
    </row>
    <row r="107" spans="2:17" s="2867" customFormat="1" ht="15.5">
      <c r="B107" s="2875">
        <v>20810</v>
      </c>
      <c r="C107" s="2889"/>
      <c r="D107" s="2909" t="s">
        <v>586</v>
      </c>
      <c r="E107" s="2891"/>
      <c r="F107" s="2891"/>
      <c r="G107" s="1202">
        <v>0</v>
      </c>
      <c r="H107" s="1202"/>
      <c r="I107" s="1202">
        <v>2010736.06</v>
      </c>
      <c r="J107" s="1202"/>
      <c r="K107" s="1202">
        <v>40292806.600000001</v>
      </c>
      <c r="L107" s="1202"/>
      <c r="M107" s="1202">
        <f t="shared" si="11"/>
        <v>-33328511.920000002</v>
      </c>
      <c r="N107" s="1202"/>
      <c r="O107" s="1202">
        <v>6964294.6799999997</v>
      </c>
      <c r="P107" s="2140"/>
      <c r="Q107" s="2880"/>
    </row>
    <row r="108" spans="2:17" s="2867" customFormat="1" ht="15.5">
      <c r="B108" s="2875">
        <v>20818</v>
      </c>
      <c r="C108" s="2889"/>
      <c r="D108" s="2909" t="s">
        <v>587</v>
      </c>
      <c r="E108" s="2891"/>
      <c r="F108" s="2891"/>
      <c r="G108" s="1202">
        <v>0</v>
      </c>
      <c r="H108" s="1202"/>
      <c r="I108" s="1202">
        <v>0</v>
      </c>
      <c r="J108" s="1202"/>
      <c r="K108" s="1202">
        <v>1431414.76</v>
      </c>
      <c r="L108" s="1202"/>
      <c r="M108" s="1202">
        <f t="shared" si="11"/>
        <v>-1431414.76</v>
      </c>
      <c r="N108" s="1202"/>
      <c r="O108" s="1202">
        <v>0</v>
      </c>
      <c r="P108" s="2140"/>
      <c r="Q108" s="2880"/>
    </row>
    <row r="109" spans="2:17" s="2867" customFormat="1" ht="15.5">
      <c r="B109" s="2875">
        <v>20901</v>
      </c>
      <c r="C109" s="2889"/>
      <c r="D109" s="2909" t="s">
        <v>588</v>
      </c>
      <c r="E109" s="2891"/>
      <c r="F109" s="2891"/>
      <c r="G109" s="1202">
        <v>0</v>
      </c>
      <c r="H109" s="1202"/>
      <c r="I109" s="1202">
        <v>0</v>
      </c>
      <c r="J109" s="1202"/>
      <c r="K109" s="1202">
        <v>0</v>
      </c>
      <c r="L109" s="1202"/>
      <c r="M109" s="1202">
        <f t="shared" si="11"/>
        <v>1475516971.8299999</v>
      </c>
      <c r="N109" s="1202"/>
      <c r="O109" s="1202">
        <v>1475516971.8299999</v>
      </c>
      <c r="P109" s="2140"/>
      <c r="Q109" s="2880"/>
    </row>
    <row r="110" spans="2:17" s="2867" customFormat="1" ht="15.5">
      <c r="B110" s="2875">
        <v>20904</v>
      </c>
      <c r="C110" s="2910"/>
      <c r="D110" s="2911" t="s">
        <v>589</v>
      </c>
      <c r="E110" s="2895"/>
      <c r="F110" s="2895"/>
      <c r="G110" s="1202">
        <v>0</v>
      </c>
      <c r="H110" s="1202"/>
      <c r="I110" s="1202">
        <v>0</v>
      </c>
      <c r="J110" s="1202"/>
      <c r="K110" s="1202">
        <v>0</v>
      </c>
      <c r="L110" s="1202"/>
      <c r="M110" s="1202">
        <f t="shared" si="11"/>
        <v>0</v>
      </c>
      <c r="N110" s="1202"/>
      <c r="O110" s="1202">
        <v>0</v>
      </c>
      <c r="P110" s="2140"/>
      <c r="Q110" s="2880"/>
    </row>
    <row r="111" spans="2:17" s="2867" customFormat="1" ht="15.5">
      <c r="B111" s="2875">
        <v>21001</v>
      </c>
      <c r="C111" s="2910"/>
      <c r="D111" s="2911" t="s">
        <v>1475</v>
      </c>
      <c r="E111" s="2895"/>
      <c r="F111" s="2895"/>
      <c r="G111" s="1202">
        <v>0</v>
      </c>
      <c r="H111" s="1202"/>
      <c r="I111" s="1202">
        <v>0</v>
      </c>
      <c r="J111" s="1202"/>
      <c r="K111" s="1202">
        <v>0</v>
      </c>
      <c r="L111" s="1202"/>
      <c r="M111" s="1202">
        <f>ROUND(SUM(O111)-SUM(K111),2)</f>
        <v>0</v>
      </c>
      <c r="N111" s="1202"/>
      <c r="O111" s="1202">
        <v>0</v>
      </c>
      <c r="P111" s="2140"/>
      <c r="Q111" s="2880"/>
    </row>
    <row r="112" spans="2:17" s="2867" customFormat="1" ht="15.5">
      <c r="B112" s="2875">
        <v>21002</v>
      </c>
      <c r="C112" s="2889"/>
      <c r="D112" s="2909" t="s">
        <v>1226</v>
      </c>
      <c r="E112" s="2891"/>
      <c r="F112" s="2891"/>
      <c r="G112" s="1202">
        <v>3370147.32</v>
      </c>
      <c r="H112" s="1202"/>
      <c r="I112" s="1202">
        <v>3404514.02</v>
      </c>
      <c r="J112" s="1202"/>
      <c r="K112" s="1202">
        <v>3438880.72</v>
      </c>
      <c r="L112" s="1202"/>
      <c r="M112" s="1202">
        <f t="shared" si="11"/>
        <v>62201.23</v>
      </c>
      <c r="N112" s="1202"/>
      <c r="O112" s="1202">
        <v>3501081.95</v>
      </c>
      <c r="P112" s="2140"/>
      <c r="Q112" s="2880"/>
    </row>
    <row r="113" spans="2:17" s="2867" customFormat="1" ht="15.5">
      <c r="B113" s="2875">
        <v>21061</v>
      </c>
      <c r="C113" s="2889"/>
      <c r="D113" s="2909" t="s">
        <v>590</v>
      </c>
      <c r="E113" s="2891"/>
      <c r="F113" s="2891"/>
      <c r="G113" s="1202">
        <v>0</v>
      </c>
      <c r="H113" s="1202"/>
      <c r="I113" s="1202">
        <v>0</v>
      </c>
      <c r="J113" s="1202"/>
      <c r="K113" s="1202">
        <v>0</v>
      </c>
      <c r="L113" s="1202"/>
      <c r="M113" s="1202">
        <f t="shared" si="11"/>
        <v>0</v>
      </c>
      <c r="N113" s="1202"/>
      <c r="O113" s="1202">
        <v>0</v>
      </c>
      <c r="P113" s="2140"/>
      <c r="Q113" s="2880"/>
    </row>
    <row r="114" spans="2:17" s="2867" customFormat="1" ht="15.5">
      <c r="B114" s="2875">
        <v>21064</v>
      </c>
      <c r="C114" s="2889"/>
      <c r="D114" s="2909" t="s">
        <v>1215</v>
      </c>
      <c r="E114" s="2891"/>
      <c r="F114" s="2891"/>
      <c r="G114" s="1202">
        <v>199.99</v>
      </c>
      <c r="H114" s="1202"/>
      <c r="I114" s="1202">
        <v>199.99</v>
      </c>
      <c r="J114" s="1202"/>
      <c r="K114" s="1202">
        <v>199.99</v>
      </c>
      <c r="L114" s="1202"/>
      <c r="M114" s="1202">
        <f t="shared" ref="M114" si="12">ROUND(SUM(O114)-SUM(K114),2)</f>
        <v>0</v>
      </c>
      <c r="N114" s="1202"/>
      <c r="O114" s="1202">
        <v>199.99</v>
      </c>
      <c r="P114" s="2140"/>
      <c r="Q114" s="2880"/>
    </row>
    <row r="115" spans="2:17" s="2867" customFormat="1" ht="15.5">
      <c r="B115" s="2875">
        <v>21065</v>
      </c>
      <c r="C115" s="2889"/>
      <c r="D115" s="2909" t="s">
        <v>591</v>
      </c>
      <c r="E115" s="2891"/>
      <c r="F115" s="2891"/>
      <c r="G115" s="1202">
        <v>2215821.04</v>
      </c>
      <c r="H115" s="1202"/>
      <c r="I115" s="1202">
        <v>3047075.61</v>
      </c>
      <c r="J115" s="1202"/>
      <c r="K115" s="1202">
        <v>377344.16</v>
      </c>
      <c r="L115" s="1202"/>
      <c r="M115" s="1202">
        <f t="shared" si="11"/>
        <v>893966.44</v>
      </c>
      <c r="N115" s="1202"/>
      <c r="O115" s="1202">
        <v>1271310.6000000001</v>
      </c>
      <c r="P115" s="2140"/>
      <c r="Q115" s="2880"/>
    </row>
    <row r="116" spans="2:17" s="2867" customFormat="1" ht="15.5">
      <c r="B116" s="2875">
        <v>21066</v>
      </c>
      <c r="C116" s="2889"/>
      <c r="D116" s="2890" t="s">
        <v>592</v>
      </c>
      <c r="E116" s="2891"/>
      <c r="F116" s="2891"/>
      <c r="G116" s="1202">
        <v>3845719.6</v>
      </c>
      <c r="H116" s="1202"/>
      <c r="I116" s="1202">
        <v>4011022.45</v>
      </c>
      <c r="J116" s="1202"/>
      <c r="K116" s="1202">
        <v>3623489.57</v>
      </c>
      <c r="L116" s="1202"/>
      <c r="M116" s="1202">
        <f t="shared" si="11"/>
        <v>284803.32</v>
      </c>
      <c r="N116" s="1202"/>
      <c r="O116" s="1202">
        <v>3908292.89</v>
      </c>
      <c r="P116" s="2140"/>
      <c r="Q116" s="2880"/>
    </row>
    <row r="117" spans="2:17" s="2867" customFormat="1" ht="15.5">
      <c r="B117" s="2875">
        <v>21067</v>
      </c>
      <c r="C117" s="2889"/>
      <c r="D117" s="2890" t="s">
        <v>593</v>
      </c>
      <c r="E117" s="2891"/>
      <c r="F117" s="2891"/>
      <c r="G117" s="1202">
        <v>0</v>
      </c>
      <c r="H117" s="1202"/>
      <c r="I117" s="1202">
        <v>0</v>
      </c>
      <c r="J117" s="1202"/>
      <c r="K117" s="1202">
        <v>0</v>
      </c>
      <c r="L117" s="1202"/>
      <c r="M117" s="1202">
        <f t="shared" si="11"/>
        <v>0</v>
      </c>
      <c r="N117" s="1202"/>
      <c r="O117" s="1202">
        <v>0</v>
      </c>
      <c r="P117" s="2140"/>
      <c r="Q117" s="2880"/>
    </row>
    <row r="118" spans="2:17" s="2867" customFormat="1" ht="15.5">
      <c r="B118" s="2875">
        <v>21077</v>
      </c>
      <c r="C118" s="2889"/>
      <c r="D118" s="2909" t="s">
        <v>594</v>
      </c>
      <c r="E118" s="2891"/>
      <c r="F118" s="2891"/>
      <c r="G118" s="1202">
        <v>0</v>
      </c>
      <c r="H118" s="1202"/>
      <c r="I118" s="1202">
        <v>0</v>
      </c>
      <c r="J118" s="1202"/>
      <c r="K118" s="1202">
        <v>0</v>
      </c>
      <c r="L118" s="1202"/>
      <c r="M118" s="1202">
        <f t="shared" si="11"/>
        <v>0</v>
      </c>
      <c r="N118" s="1202"/>
      <c r="O118" s="1202">
        <v>0</v>
      </c>
      <c r="P118" s="2140"/>
      <c r="Q118" s="2880"/>
    </row>
    <row r="119" spans="2:17" s="2867" customFormat="1" ht="15.5">
      <c r="B119" s="2875">
        <v>21081</v>
      </c>
      <c r="C119" s="2889"/>
      <c r="D119" s="2890" t="s">
        <v>595</v>
      </c>
      <c r="E119" s="2891"/>
      <c r="F119" s="2891"/>
      <c r="G119" s="1202">
        <v>67530934.739999995</v>
      </c>
      <c r="H119" s="1202"/>
      <c r="I119" s="1202">
        <v>71429506.640000001</v>
      </c>
      <c r="J119" s="1202"/>
      <c r="K119" s="1202">
        <v>72218494.079999998</v>
      </c>
      <c r="L119" s="1202"/>
      <c r="M119" s="1202">
        <f t="shared" si="11"/>
        <v>2136381.5299999998</v>
      </c>
      <c r="N119" s="1202"/>
      <c r="O119" s="1202">
        <v>74354875.609999999</v>
      </c>
      <c r="P119" s="2140"/>
      <c r="Q119" s="2880"/>
    </row>
    <row r="120" spans="2:17" s="2867" customFormat="1" ht="15.5">
      <c r="B120" s="2875">
        <v>21082</v>
      </c>
      <c r="C120" s="2889"/>
      <c r="D120" s="2909" t="s">
        <v>596</v>
      </c>
      <c r="E120" s="2891"/>
      <c r="F120" s="2891"/>
      <c r="G120" s="1202">
        <v>15847704.98</v>
      </c>
      <c r="H120" s="1202"/>
      <c r="I120" s="1202">
        <v>15598236.07</v>
      </c>
      <c r="J120" s="1202"/>
      <c r="K120" s="1202">
        <v>15331378.939999999</v>
      </c>
      <c r="L120" s="1202"/>
      <c r="M120" s="1202">
        <f t="shared" si="11"/>
        <v>260332.09</v>
      </c>
      <c r="N120" s="1202"/>
      <c r="O120" s="1202">
        <v>15591711.029999999</v>
      </c>
      <c r="P120" s="2140"/>
      <c r="Q120" s="2880"/>
    </row>
    <row r="121" spans="2:17" s="2867" customFormat="1" ht="15.5">
      <c r="B121" s="2875">
        <v>21084</v>
      </c>
      <c r="C121" s="2889"/>
      <c r="D121" s="2909" t="s">
        <v>597</v>
      </c>
      <c r="E121" s="2891"/>
      <c r="F121" s="2891"/>
      <c r="G121" s="1202">
        <v>0</v>
      </c>
      <c r="H121" s="1202"/>
      <c r="I121" s="1202">
        <v>0</v>
      </c>
      <c r="J121" s="1202"/>
      <c r="K121" s="1202">
        <v>0</v>
      </c>
      <c r="L121" s="1202"/>
      <c r="M121" s="1202">
        <f t="shared" si="11"/>
        <v>0</v>
      </c>
      <c r="N121" s="1202"/>
      <c r="O121" s="1202">
        <v>0</v>
      </c>
      <c r="P121" s="2140"/>
      <c r="Q121" s="2880"/>
    </row>
    <row r="122" spans="2:17" s="2867" customFormat="1" ht="15.5">
      <c r="B122" s="2875">
        <v>21087</v>
      </c>
      <c r="C122" s="2889"/>
      <c r="D122" s="2909" t="s">
        <v>598</v>
      </c>
      <c r="E122" s="2891"/>
      <c r="F122" s="2891"/>
      <c r="G122" s="1202">
        <v>0</v>
      </c>
      <c r="H122" s="1202"/>
      <c r="I122" s="1202">
        <v>0</v>
      </c>
      <c r="J122" s="1202"/>
      <c r="K122" s="1202">
        <v>0</v>
      </c>
      <c r="L122" s="1202"/>
      <c r="M122" s="1202">
        <f t="shared" si="11"/>
        <v>0</v>
      </c>
      <c r="N122" s="1202"/>
      <c r="O122" s="1202">
        <v>0</v>
      </c>
      <c r="P122" s="2140"/>
      <c r="Q122" s="2880"/>
    </row>
    <row r="123" spans="2:17" s="2867" customFormat="1" ht="15.5">
      <c r="B123" s="2875">
        <v>21201</v>
      </c>
      <c r="C123" s="2889"/>
      <c r="D123" s="2909" t="s">
        <v>599</v>
      </c>
      <c r="E123" s="2891"/>
      <c r="F123" s="2891"/>
      <c r="G123" s="1202">
        <v>11279.96</v>
      </c>
      <c r="H123" s="1202"/>
      <c r="I123" s="1202">
        <v>0</v>
      </c>
      <c r="J123" s="1202"/>
      <c r="K123" s="1202">
        <v>64.25</v>
      </c>
      <c r="L123" s="1202"/>
      <c r="M123" s="1202">
        <f t="shared" si="11"/>
        <v>-64.25</v>
      </c>
      <c r="N123" s="1202"/>
      <c r="O123" s="1202">
        <v>0</v>
      </c>
      <c r="P123" s="2140"/>
      <c r="Q123" s="2880"/>
    </row>
    <row r="124" spans="2:17" s="2867" customFormat="1" ht="15.5">
      <c r="B124" s="2875">
        <v>21202</v>
      </c>
      <c r="C124" s="2889"/>
      <c r="D124" s="2909" t="s">
        <v>600</v>
      </c>
      <c r="E124" s="2891"/>
      <c r="F124" s="2891"/>
      <c r="G124" s="1202">
        <v>0</v>
      </c>
      <c r="H124" s="1202"/>
      <c r="I124" s="1202">
        <v>0</v>
      </c>
      <c r="J124" s="1202"/>
      <c r="K124" s="1202">
        <v>0</v>
      </c>
      <c r="L124" s="1202"/>
      <c r="M124" s="1202">
        <f t="shared" si="11"/>
        <v>0</v>
      </c>
      <c r="N124" s="1202"/>
      <c r="O124" s="1202">
        <v>0</v>
      </c>
      <c r="P124" s="2140"/>
      <c r="Q124" s="2880"/>
    </row>
    <row r="125" spans="2:17" s="2867" customFormat="1" ht="15.5">
      <c r="B125" s="2875">
        <v>21203</v>
      </c>
      <c r="C125" s="2889"/>
      <c r="D125" s="2909" t="s">
        <v>601</v>
      </c>
      <c r="E125" s="2891"/>
      <c r="F125" s="2891"/>
      <c r="G125" s="1202">
        <v>46785.85</v>
      </c>
      <c r="H125" s="1202"/>
      <c r="I125" s="1202">
        <v>5365.85</v>
      </c>
      <c r="J125" s="1202"/>
      <c r="K125" s="1202">
        <v>0</v>
      </c>
      <c r="L125" s="1202"/>
      <c r="M125" s="1202">
        <f t="shared" si="11"/>
        <v>574</v>
      </c>
      <c r="N125" s="1202"/>
      <c r="O125" s="1202">
        <v>574.00000000010198</v>
      </c>
      <c r="P125" s="2140"/>
      <c r="Q125" s="2880"/>
    </row>
    <row r="126" spans="2:17" s="2867" customFormat="1" ht="15.5">
      <c r="B126" s="2875">
        <v>21204</v>
      </c>
      <c r="C126" s="2889"/>
      <c r="D126" s="2909" t="s">
        <v>1476</v>
      </c>
      <c r="E126" s="2891"/>
      <c r="F126" s="2891"/>
      <c r="G126" s="1202">
        <v>0</v>
      </c>
      <c r="H126" s="1202"/>
      <c r="I126" s="1202">
        <v>0</v>
      </c>
      <c r="J126" s="1202"/>
      <c r="K126" s="1202">
        <v>0</v>
      </c>
      <c r="L126" s="1202"/>
      <c r="M126" s="1202">
        <f t="shared" ref="M126:M127" si="13">ROUND(SUM(O126)-SUM(K126),2)</f>
        <v>0</v>
      </c>
      <c r="N126" s="1202"/>
      <c r="O126" s="1202">
        <v>0</v>
      </c>
      <c r="P126" s="2140"/>
      <c r="Q126" s="2880"/>
    </row>
    <row r="127" spans="2:17" s="2867" customFormat="1" ht="15.5">
      <c r="B127" s="2875">
        <v>21205</v>
      </c>
      <c r="C127" s="2889"/>
      <c r="D127" s="2909" t="s">
        <v>1477</v>
      </c>
      <c r="E127" s="2891"/>
      <c r="F127" s="2891"/>
      <c r="G127" s="1202">
        <v>0</v>
      </c>
      <c r="H127" s="1202"/>
      <c r="I127" s="1202">
        <v>0</v>
      </c>
      <c r="J127" s="1202"/>
      <c r="K127" s="1202">
        <v>0</v>
      </c>
      <c r="L127" s="1202"/>
      <c r="M127" s="1202">
        <f t="shared" si="13"/>
        <v>0</v>
      </c>
      <c r="N127" s="1202"/>
      <c r="O127" s="1202">
        <v>0</v>
      </c>
      <c r="P127" s="2140"/>
      <c r="Q127" s="2880"/>
    </row>
    <row r="128" spans="2:17" s="2867" customFormat="1" ht="15.5">
      <c r="B128" s="2892">
        <v>21401</v>
      </c>
      <c r="C128" s="2910"/>
      <c r="D128" s="2912" t="s">
        <v>602</v>
      </c>
      <c r="E128" s="2895"/>
      <c r="F128" s="2895"/>
      <c r="G128" s="1202">
        <v>0</v>
      </c>
      <c r="H128" s="1202"/>
      <c r="I128" s="1202">
        <v>0</v>
      </c>
      <c r="J128" s="1202"/>
      <c r="K128" s="1202">
        <v>0</v>
      </c>
      <c r="L128" s="1202"/>
      <c r="M128" s="1202">
        <f t="shared" si="11"/>
        <v>0</v>
      </c>
      <c r="N128" s="1202"/>
      <c r="O128" s="1202">
        <v>0</v>
      </c>
      <c r="P128" s="2140"/>
      <c r="Q128" s="2880"/>
    </row>
    <row r="129" spans="2:17" s="2867" customFormat="1" ht="15.5">
      <c r="B129" s="2892">
        <v>21402</v>
      </c>
      <c r="C129" s="2910"/>
      <c r="D129" s="2912" t="s">
        <v>603</v>
      </c>
      <c r="E129" s="2895"/>
      <c r="F129" s="2895"/>
      <c r="G129" s="1202">
        <v>0</v>
      </c>
      <c r="H129" s="1202"/>
      <c r="I129" s="1202">
        <v>0</v>
      </c>
      <c r="J129" s="1202"/>
      <c r="K129" s="1202">
        <v>0</v>
      </c>
      <c r="L129" s="1202"/>
      <c r="M129" s="1202">
        <f t="shared" si="11"/>
        <v>0</v>
      </c>
      <c r="N129" s="1202"/>
      <c r="O129" s="1202">
        <v>0</v>
      </c>
      <c r="P129" s="2140"/>
      <c r="Q129" s="2880"/>
    </row>
    <row r="130" spans="2:17" s="2867" customFormat="1" ht="15.5">
      <c r="B130" s="2875">
        <v>21451</v>
      </c>
      <c r="C130" s="2889"/>
      <c r="D130" s="2890" t="s">
        <v>604</v>
      </c>
      <c r="E130" s="2891"/>
      <c r="F130" s="2891"/>
      <c r="G130" s="1202">
        <v>36121060.759999998</v>
      </c>
      <c r="H130" s="1202"/>
      <c r="I130" s="1202">
        <v>36621804.170000002</v>
      </c>
      <c r="J130" s="1202"/>
      <c r="K130" s="1202">
        <v>37068640.450000003</v>
      </c>
      <c r="L130" s="1202"/>
      <c r="M130" s="1202">
        <f t="shared" si="11"/>
        <v>650953.94999999995</v>
      </c>
      <c r="N130" s="1202"/>
      <c r="O130" s="1202">
        <v>37719594.399999999</v>
      </c>
      <c r="P130" s="2140"/>
      <c r="Q130" s="2880"/>
    </row>
    <row r="131" spans="2:17" s="2867" customFormat="1" ht="15.5">
      <c r="B131" s="2875">
        <v>21452</v>
      </c>
      <c r="C131" s="2889"/>
      <c r="D131" s="2909" t="s">
        <v>605</v>
      </c>
      <c r="E131" s="2891"/>
      <c r="F131" s="2891"/>
      <c r="G131" s="1202">
        <v>31799.56</v>
      </c>
      <c r="H131" s="1202"/>
      <c r="I131" s="1202">
        <v>0</v>
      </c>
      <c r="J131" s="1202"/>
      <c r="K131" s="1202">
        <v>0</v>
      </c>
      <c r="L131" s="1202"/>
      <c r="M131" s="1202">
        <f t="shared" si="11"/>
        <v>0</v>
      </c>
      <c r="N131" s="1202"/>
      <c r="O131" s="1202">
        <v>0</v>
      </c>
      <c r="P131" s="2140"/>
      <c r="Q131" s="2880"/>
    </row>
    <row r="132" spans="2:17" s="2867" customFormat="1" ht="15.5">
      <c r="B132" s="2875">
        <v>21902</v>
      </c>
      <c r="C132" s="2889"/>
      <c r="D132" s="2890" t="s">
        <v>1157</v>
      </c>
      <c r="E132" s="2891"/>
      <c r="F132" s="2891"/>
      <c r="G132" s="1202">
        <v>0</v>
      </c>
      <c r="H132" s="1202"/>
      <c r="I132" s="1202">
        <v>0</v>
      </c>
      <c r="J132" s="1202"/>
      <c r="K132" s="1202">
        <v>0</v>
      </c>
      <c r="L132" s="1202"/>
      <c r="M132" s="1202">
        <f t="shared" si="11"/>
        <v>0</v>
      </c>
      <c r="N132" s="1202"/>
      <c r="O132" s="1202">
        <v>0</v>
      </c>
      <c r="P132" s="2140"/>
      <c r="Q132" s="2880"/>
    </row>
    <row r="133" spans="2:17" s="2867" customFormat="1" ht="15.5">
      <c r="B133" s="2875">
        <v>21905</v>
      </c>
      <c r="C133" s="2889"/>
      <c r="D133" s="3067" t="s">
        <v>1160</v>
      </c>
      <c r="E133" s="2891"/>
      <c r="F133" s="2891"/>
      <c r="G133" s="1202">
        <v>9386771.5500000007</v>
      </c>
      <c r="H133" s="1202"/>
      <c r="I133" s="1202">
        <v>1949428.6500000099</v>
      </c>
      <c r="J133" s="1202"/>
      <c r="K133" s="1202">
        <v>6242917.6600000001</v>
      </c>
      <c r="L133" s="1202"/>
      <c r="M133" s="1202">
        <f t="shared" si="11"/>
        <v>1516761.26</v>
      </c>
      <c r="N133" s="1202"/>
      <c r="O133" s="1202">
        <v>7759678.9199999999</v>
      </c>
      <c r="P133" s="2140"/>
      <c r="Q133" s="2880"/>
    </row>
    <row r="134" spans="2:17" s="2867" customFormat="1" ht="15.5">
      <c r="B134" s="2875">
        <v>21907</v>
      </c>
      <c r="C134" s="2889"/>
      <c r="D134" s="2909" t="s">
        <v>606</v>
      </c>
      <c r="E134" s="2891"/>
      <c r="F134" s="2891"/>
      <c r="G134" s="1202">
        <v>0</v>
      </c>
      <c r="H134" s="1202"/>
      <c r="I134" s="1202">
        <v>0</v>
      </c>
      <c r="J134" s="1202"/>
      <c r="K134" s="1202">
        <v>0</v>
      </c>
      <c r="L134" s="1202"/>
      <c r="M134" s="1202">
        <f t="shared" si="11"/>
        <v>0</v>
      </c>
      <c r="N134" s="1202"/>
      <c r="O134" s="1202">
        <v>0</v>
      </c>
      <c r="P134" s="2140"/>
      <c r="Q134" s="2880"/>
    </row>
    <row r="135" spans="2:17" s="2867" customFormat="1" ht="15.5">
      <c r="B135" s="2875">
        <v>21909</v>
      </c>
      <c r="C135" s="2889"/>
      <c r="D135" s="2909" t="s">
        <v>607</v>
      </c>
      <c r="E135" s="2891"/>
      <c r="F135" s="2891"/>
      <c r="G135" s="1202">
        <v>0</v>
      </c>
      <c r="H135" s="1202"/>
      <c r="I135" s="1202">
        <v>0</v>
      </c>
      <c r="J135" s="1202"/>
      <c r="K135" s="1202">
        <v>0</v>
      </c>
      <c r="L135" s="1202"/>
      <c r="M135" s="1202">
        <f t="shared" si="11"/>
        <v>0</v>
      </c>
      <c r="N135" s="1202"/>
      <c r="O135" s="1202">
        <v>0</v>
      </c>
      <c r="P135" s="2140"/>
      <c r="Q135" s="2880"/>
    </row>
    <row r="136" spans="2:17" s="2867" customFormat="1" ht="15.5">
      <c r="B136" s="2875">
        <v>21911</v>
      </c>
      <c r="C136" s="2889"/>
      <c r="D136" s="2909" t="s">
        <v>608</v>
      </c>
      <c r="E136" s="2891"/>
      <c r="F136" s="2891"/>
      <c r="G136" s="1202">
        <v>509423.54</v>
      </c>
      <c r="H136" s="1202"/>
      <c r="I136" s="1202">
        <v>203123.27</v>
      </c>
      <c r="J136" s="1202"/>
      <c r="K136" s="1202">
        <v>313183.21000000002</v>
      </c>
      <c r="L136" s="1202"/>
      <c r="M136" s="1202">
        <f t="shared" si="11"/>
        <v>193119.16</v>
      </c>
      <c r="N136" s="1202"/>
      <c r="O136" s="1202">
        <v>506302.37</v>
      </c>
      <c r="P136" s="2140"/>
      <c r="Q136" s="2880"/>
    </row>
    <row r="137" spans="2:17" s="2867" customFormat="1" ht="15.5">
      <c r="B137" s="2875">
        <v>21912</v>
      </c>
      <c r="C137" s="2889"/>
      <c r="D137" s="2890" t="s">
        <v>609</v>
      </c>
      <c r="E137" s="2891"/>
      <c r="F137" s="2891"/>
      <c r="G137" s="1202">
        <v>4973721.5999999996</v>
      </c>
      <c r="H137" s="1202"/>
      <c r="I137" s="1202">
        <v>3947736.54</v>
      </c>
      <c r="J137" s="1202"/>
      <c r="K137" s="1202">
        <v>4649675.16</v>
      </c>
      <c r="L137" s="1202"/>
      <c r="M137" s="1202">
        <f t="shared" si="11"/>
        <v>-240624.75</v>
      </c>
      <c r="N137" s="1202"/>
      <c r="O137" s="1202">
        <v>4409050.41</v>
      </c>
      <c r="P137" s="2140"/>
      <c r="Q137" s="2880"/>
    </row>
    <row r="138" spans="2:17" s="2867" customFormat="1" ht="15.5">
      <c r="B138" s="2875">
        <v>21937</v>
      </c>
      <c r="C138" s="2889"/>
      <c r="D138" s="2909" t="s">
        <v>610</v>
      </c>
      <c r="E138" s="2891"/>
      <c r="F138" s="2891"/>
      <c r="G138" s="1202">
        <v>215711.72</v>
      </c>
      <c r="H138" s="1202"/>
      <c r="I138" s="1202">
        <v>597460.05000000005</v>
      </c>
      <c r="J138" s="1202"/>
      <c r="K138" s="1202">
        <v>189699.51</v>
      </c>
      <c r="L138" s="1202"/>
      <c r="M138" s="1202">
        <f t="shared" si="11"/>
        <v>102259.42</v>
      </c>
      <c r="N138" s="1202"/>
      <c r="O138" s="1202">
        <v>291958.93</v>
      </c>
      <c r="P138" s="2140"/>
      <c r="Q138" s="2880"/>
    </row>
    <row r="139" spans="2:17" s="2867" customFormat="1" ht="15.5">
      <c r="B139" s="2875">
        <v>21945</v>
      </c>
      <c r="C139" s="2889"/>
      <c r="D139" s="2890" t="s">
        <v>611</v>
      </c>
      <c r="E139" s="2891"/>
      <c r="F139" s="2891"/>
      <c r="G139" s="1202">
        <v>0</v>
      </c>
      <c r="H139" s="1202"/>
      <c r="I139" s="1202">
        <v>0</v>
      </c>
      <c r="J139" s="1202"/>
      <c r="K139" s="1202">
        <v>0</v>
      </c>
      <c r="L139" s="1202"/>
      <c r="M139" s="1202">
        <f t="shared" si="11"/>
        <v>0</v>
      </c>
      <c r="N139" s="1202"/>
      <c r="O139" s="1202">
        <v>0</v>
      </c>
      <c r="P139" s="2140"/>
      <c r="Q139" s="2880"/>
    </row>
    <row r="140" spans="2:17" s="2867" customFormat="1" ht="15.5">
      <c r="B140" s="2875">
        <v>21959</v>
      </c>
      <c r="C140" s="2889"/>
      <c r="D140" s="2909" t="s">
        <v>612</v>
      </c>
      <c r="E140" s="2891"/>
      <c r="F140" s="2891"/>
      <c r="G140" s="1202">
        <v>0</v>
      </c>
      <c r="H140" s="1202"/>
      <c r="I140" s="1202">
        <v>0</v>
      </c>
      <c r="J140" s="1202"/>
      <c r="K140" s="1202">
        <v>0</v>
      </c>
      <c r="L140" s="1202"/>
      <c r="M140" s="1202">
        <f t="shared" si="11"/>
        <v>0</v>
      </c>
      <c r="N140" s="1202"/>
      <c r="O140" s="1202">
        <v>0</v>
      </c>
      <c r="P140" s="2140"/>
      <c r="Q140" s="2880"/>
    </row>
    <row r="141" spans="2:17" s="3056" customFormat="1" ht="15.5">
      <c r="B141" s="2892">
        <v>21961</v>
      </c>
      <c r="C141" s="2910"/>
      <c r="D141" s="2911" t="s">
        <v>1271</v>
      </c>
      <c r="E141" s="2895"/>
      <c r="F141" s="2895"/>
      <c r="G141" s="1202">
        <v>540292.31000000006</v>
      </c>
      <c r="H141" s="1202"/>
      <c r="I141" s="1202">
        <v>450383.72</v>
      </c>
      <c r="J141" s="1202"/>
      <c r="K141" s="1202">
        <v>223940.2</v>
      </c>
      <c r="L141" s="1202"/>
      <c r="M141" s="1202">
        <f t="shared" si="11"/>
        <v>7290.01</v>
      </c>
      <c r="N141" s="1202"/>
      <c r="O141" s="1202">
        <v>231230.21</v>
      </c>
      <c r="P141" s="2140"/>
      <c r="Q141" s="3055"/>
    </row>
    <row r="142" spans="2:17" s="2867" customFormat="1" ht="15.5">
      <c r="B142" s="2875">
        <v>21962</v>
      </c>
      <c r="C142" s="2889"/>
      <c r="D142" s="2909" t="s">
        <v>613</v>
      </c>
      <c r="E142" s="2891"/>
      <c r="F142" s="2891"/>
      <c r="G142" s="1202">
        <v>9993560</v>
      </c>
      <c r="H142" s="1202"/>
      <c r="I142" s="1202">
        <v>10272852.75</v>
      </c>
      <c r="J142" s="1202"/>
      <c r="K142" s="1202">
        <v>8340403.8499999996</v>
      </c>
      <c r="L142" s="1202"/>
      <c r="M142" s="1202">
        <f t="shared" si="11"/>
        <v>-397868.32</v>
      </c>
      <c r="N142" s="1202"/>
      <c r="O142" s="1202">
        <v>7942535.5300000003</v>
      </c>
      <c r="P142" s="2140"/>
      <c r="Q142" s="2880"/>
    </row>
    <row r="143" spans="2:17" s="2867" customFormat="1" ht="15.5">
      <c r="B143" s="2875">
        <v>21978</v>
      </c>
      <c r="C143" s="2889"/>
      <c r="D143" s="2890" t="s">
        <v>614</v>
      </c>
      <c r="E143" s="2891"/>
      <c r="F143" s="2891"/>
      <c r="G143" s="1202">
        <v>35364.339999999997</v>
      </c>
      <c r="H143" s="1202"/>
      <c r="I143" s="1202">
        <v>0</v>
      </c>
      <c r="J143" s="1202"/>
      <c r="K143" s="1202">
        <v>0</v>
      </c>
      <c r="L143" s="1202"/>
      <c r="M143" s="1202">
        <f t="shared" si="11"/>
        <v>2870703.12</v>
      </c>
      <c r="N143" s="1202"/>
      <c r="O143" s="1202">
        <v>2870703.12</v>
      </c>
      <c r="P143" s="2140"/>
      <c r="Q143" s="2880"/>
    </row>
    <row r="144" spans="2:17" s="2867" customFormat="1" ht="15.5">
      <c r="B144" s="2875">
        <v>21989</v>
      </c>
      <c r="C144" s="2889"/>
      <c r="D144" s="2890" t="s">
        <v>615</v>
      </c>
      <c r="E144" s="2891"/>
      <c r="F144" s="2891"/>
      <c r="G144" s="1202">
        <v>0</v>
      </c>
      <c r="H144" s="1202"/>
      <c r="I144" s="1202">
        <v>0</v>
      </c>
      <c r="J144" s="1202"/>
      <c r="K144" s="1202">
        <v>0</v>
      </c>
      <c r="L144" s="1202"/>
      <c r="M144" s="1202">
        <f t="shared" si="11"/>
        <v>0</v>
      </c>
      <c r="N144" s="1202"/>
      <c r="O144" s="1202">
        <v>0</v>
      </c>
      <c r="P144" s="2140"/>
      <c r="Q144" s="2880"/>
    </row>
    <row r="145" spans="2:17" s="2867" customFormat="1" ht="15.5">
      <c r="B145" s="2875">
        <v>22003</v>
      </c>
      <c r="C145" s="2889"/>
      <c r="D145" s="2890" t="s">
        <v>616</v>
      </c>
      <c r="E145" s="2891"/>
      <c r="F145" s="2891"/>
      <c r="G145" s="1202">
        <v>0</v>
      </c>
      <c r="H145" s="1202"/>
      <c r="I145" s="1202">
        <v>0</v>
      </c>
      <c r="J145" s="1202"/>
      <c r="K145" s="1202">
        <v>0</v>
      </c>
      <c r="L145" s="1202"/>
      <c r="M145" s="1202">
        <f t="shared" si="11"/>
        <v>0</v>
      </c>
      <c r="N145" s="1202"/>
      <c r="O145" s="1202">
        <v>0</v>
      </c>
      <c r="P145" s="2140"/>
      <c r="Q145" s="2880"/>
    </row>
    <row r="146" spans="2:17" s="2867" customFormat="1" ht="15.5">
      <c r="B146" s="2875">
        <v>22004</v>
      </c>
      <c r="C146" s="2889"/>
      <c r="D146" s="2909" t="s">
        <v>617</v>
      </c>
      <c r="E146" s="2891"/>
      <c r="F146" s="2891"/>
      <c r="G146" s="1202">
        <v>0</v>
      </c>
      <c r="H146" s="1202"/>
      <c r="I146" s="1202">
        <v>0</v>
      </c>
      <c r="J146" s="1202"/>
      <c r="K146" s="1202">
        <v>0</v>
      </c>
      <c r="L146" s="1202"/>
      <c r="M146" s="1202">
        <f t="shared" si="11"/>
        <v>0</v>
      </c>
      <c r="N146" s="1202"/>
      <c r="O146" s="1202">
        <v>0</v>
      </c>
      <c r="P146" s="2140"/>
      <c r="Q146" s="2880"/>
    </row>
    <row r="147" spans="2:17" s="2867" customFormat="1" ht="15.5">
      <c r="B147" s="2875">
        <v>22006</v>
      </c>
      <c r="C147" s="2889"/>
      <c r="D147" s="2890" t="s">
        <v>618</v>
      </c>
      <c r="E147" s="2891"/>
      <c r="F147" s="2891"/>
      <c r="G147" s="1202">
        <v>0</v>
      </c>
      <c r="H147" s="1202"/>
      <c r="I147" s="1202">
        <v>0</v>
      </c>
      <c r="J147" s="1202"/>
      <c r="K147" s="1202">
        <v>0</v>
      </c>
      <c r="L147" s="1202"/>
      <c r="M147" s="1202">
        <f t="shared" si="11"/>
        <v>0</v>
      </c>
      <c r="N147" s="1202"/>
      <c r="O147" s="1202">
        <v>0</v>
      </c>
      <c r="P147" s="2140"/>
      <c r="Q147" s="2880"/>
    </row>
    <row r="148" spans="2:17" s="2867" customFormat="1" ht="15.5">
      <c r="B148" s="2875">
        <v>22007</v>
      </c>
      <c r="C148" s="2889"/>
      <c r="D148" s="2909" t="s">
        <v>619</v>
      </c>
      <c r="E148" s="2891"/>
      <c r="F148" s="2891"/>
      <c r="G148" s="1202">
        <v>610893.4</v>
      </c>
      <c r="H148" s="1202"/>
      <c r="I148" s="1202">
        <v>444888.42</v>
      </c>
      <c r="J148" s="1202"/>
      <c r="K148" s="1202">
        <v>520924.14</v>
      </c>
      <c r="L148" s="1202"/>
      <c r="M148" s="1202">
        <f t="shared" si="11"/>
        <v>-139144.5</v>
      </c>
      <c r="N148" s="1202"/>
      <c r="O148" s="1202">
        <v>381779.64</v>
      </c>
      <c r="P148" s="2140"/>
      <c r="Q148" s="2880"/>
    </row>
    <row r="149" spans="2:17" s="2867" customFormat="1" ht="15.5">
      <c r="B149" s="2875">
        <v>22008</v>
      </c>
      <c r="C149" s="2889"/>
      <c r="D149" s="2909" t="s">
        <v>1216</v>
      </c>
      <c r="E149" s="2891"/>
      <c r="F149" s="2891"/>
      <c r="G149" s="1202">
        <v>0</v>
      </c>
      <c r="H149" s="1202"/>
      <c r="I149" s="1202">
        <v>0</v>
      </c>
      <c r="J149" s="1202"/>
      <c r="K149" s="1202">
        <v>0</v>
      </c>
      <c r="L149" s="1202"/>
      <c r="M149" s="1202">
        <f t="shared" ref="M149" si="14">ROUND(SUM(O149)-SUM(K149),2)</f>
        <v>0</v>
      </c>
      <c r="N149" s="1202"/>
      <c r="O149" s="1202">
        <v>0</v>
      </c>
      <c r="P149" s="2140"/>
      <c r="Q149" s="2880"/>
    </row>
    <row r="150" spans="2:17" s="2867" customFormat="1" ht="15.5">
      <c r="B150" s="2875">
        <v>22009</v>
      </c>
      <c r="C150" s="2889"/>
      <c r="D150" s="2909" t="s">
        <v>620</v>
      </c>
      <c r="E150" s="2891"/>
      <c r="F150" s="2891"/>
      <c r="G150" s="1202">
        <v>18000.509999999998</v>
      </c>
      <c r="H150" s="1202"/>
      <c r="I150" s="1202">
        <v>15581.59</v>
      </c>
      <c r="J150" s="1202"/>
      <c r="K150" s="1202">
        <v>29810.04</v>
      </c>
      <c r="L150" s="1202"/>
      <c r="M150" s="1202">
        <f t="shared" si="11"/>
        <v>4582.9399999999996</v>
      </c>
      <c r="N150" s="1202"/>
      <c r="O150" s="1202">
        <v>34392.980000000003</v>
      </c>
      <c r="P150" s="2140"/>
      <c r="Q150" s="2880"/>
    </row>
    <row r="151" spans="2:17" s="3056" customFormat="1" ht="15.5">
      <c r="B151" s="2892">
        <v>22017</v>
      </c>
      <c r="C151" s="2910"/>
      <c r="D151" s="2911" t="s">
        <v>1272</v>
      </c>
      <c r="E151" s="2895"/>
      <c r="F151" s="2895"/>
      <c r="G151" s="1202">
        <v>0</v>
      </c>
      <c r="H151" s="1202"/>
      <c r="I151" s="1202">
        <v>0</v>
      </c>
      <c r="J151" s="1202"/>
      <c r="K151" s="1202">
        <v>0</v>
      </c>
      <c r="L151" s="1202"/>
      <c r="M151" s="1202">
        <f t="shared" si="11"/>
        <v>0</v>
      </c>
      <c r="N151" s="1202"/>
      <c r="O151" s="1202">
        <v>0</v>
      </c>
      <c r="P151" s="2140"/>
      <c r="Q151" s="3055"/>
    </row>
    <row r="152" spans="2:17" s="2867" customFormat="1" ht="15.5">
      <c r="B152" s="2875">
        <v>22032</v>
      </c>
      <c r="C152" s="2889"/>
      <c r="D152" s="2909" t="s">
        <v>621</v>
      </c>
      <c r="E152" s="2891"/>
      <c r="F152" s="2891"/>
      <c r="G152" s="1202">
        <v>7665544.0099999998</v>
      </c>
      <c r="H152" s="1202"/>
      <c r="I152" s="1202">
        <v>6012558.0599999996</v>
      </c>
      <c r="J152" s="1202"/>
      <c r="K152" s="1202">
        <v>6510690.9400000004</v>
      </c>
      <c r="L152" s="1202"/>
      <c r="M152" s="1202">
        <f t="shared" si="11"/>
        <v>799798.62</v>
      </c>
      <c r="N152" s="1202"/>
      <c r="O152" s="1202">
        <v>7310489.5599999996</v>
      </c>
      <c r="P152" s="2140"/>
      <c r="Q152" s="2880"/>
    </row>
    <row r="153" spans="2:17" s="2867" customFormat="1" ht="15.5">
      <c r="B153" s="2875">
        <v>22034</v>
      </c>
      <c r="C153" s="2889"/>
      <c r="D153" s="2909" t="s">
        <v>622</v>
      </c>
      <c r="E153" s="2891"/>
      <c r="F153" s="2891"/>
      <c r="G153" s="1202">
        <v>0</v>
      </c>
      <c r="H153" s="1202"/>
      <c r="I153" s="1202">
        <v>0</v>
      </c>
      <c r="J153" s="1202"/>
      <c r="K153" s="1202">
        <v>0</v>
      </c>
      <c r="L153" s="1202"/>
      <c r="M153" s="1202">
        <f t="shared" si="11"/>
        <v>0</v>
      </c>
      <c r="N153" s="1202"/>
      <c r="O153" s="1202">
        <v>0</v>
      </c>
      <c r="P153" s="2140"/>
      <c r="Q153" s="2880"/>
    </row>
    <row r="154" spans="2:17" s="2867" customFormat="1" ht="15.5">
      <c r="B154" s="2875">
        <v>22036</v>
      </c>
      <c r="C154" s="2889"/>
      <c r="D154" s="2909" t="s">
        <v>623</v>
      </c>
      <c r="E154" s="2891"/>
      <c r="F154" s="2891"/>
      <c r="G154" s="1202">
        <v>0</v>
      </c>
      <c r="H154" s="1202"/>
      <c r="I154" s="1202">
        <v>0</v>
      </c>
      <c r="J154" s="1202"/>
      <c r="K154" s="1202">
        <v>0</v>
      </c>
      <c r="L154" s="1202"/>
      <c r="M154" s="1202">
        <f t="shared" si="11"/>
        <v>0</v>
      </c>
      <c r="N154" s="1202"/>
      <c r="O154" s="1202">
        <v>0</v>
      </c>
      <c r="P154" s="2140"/>
      <c r="Q154" s="2880"/>
    </row>
    <row r="155" spans="2:17" s="2867" customFormat="1" ht="15.5">
      <c r="B155" s="2875">
        <v>22039</v>
      </c>
      <c r="C155" s="2889"/>
      <c r="D155" s="2909" t="s">
        <v>624</v>
      </c>
      <c r="E155" s="2891"/>
      <c r="F155" s="2891"/>
      <c r="G155" s="1202">
        <v>930669.96</v>
      </c>
      <c r="H155" s="1202"/>
      <c r="I155" s="1202">
        <v>385341.1</v>
      </c>
      <c r="J155" s="1202"/>
      <c r="K155" s="1202">
        <v>675928.05</v>
      </c>
      <c r="L155" s="1202"/>
      <c r="M155" s="1202">
        <f t="shared" si="11"/>
        <v>447103.74</v>
      </c>
      <c r="N155" s="1202"/>
      <c r="O155" s="1202">
        <v>1123031.79</v>
      </c>
      <c r="P155" s="2140"/>
      <c r="Q155" s="2880"/>
    </row>
    <row r="156" spans="2:17" s="2867" customFormat="1" ht="15.5">
      <c r="B156" s="2875">
        <v>22046</v>
      </c>
      <c r="C156" s="2889"/>
      <c r="D156" s="2909" t="s">
        <v>625</v>
      </c>
      <c r="E156" s="2891"/>
      <c r="F156" s="2891"/>
      <c r="G156" s="1202">
        <v>100974321.14</v>
      </c>
      <c r="H156" s="1202"/>
      <c r="I156" s="1202">
        <v>101422181.41</v>
      </c>
      <c r="J156" s="1202"/>
      <c r="K156" s="1202">
        <v>101769828.62</v>
      </c>
      <c r="L156" s="1202"/>
      <c r="M156" s="1202">
        <f t="shared" si="11"/>
        <v>763626.12</v>
      </c>
      <c r="N156" s="1202"/>
      <c r="O156" s="1202">
        <v>102533454.73999999</v>
      </c>
      <c r="P156" s="2140"/>
      <c r="Q156" s="2880"/>
    </row>
    <row r="157" spans="2:17" s="2867" customFormat="1" ht="15.5">
      <c r="B157" s="2875">
        <v>22053</v>
      </c>
      <c r="C157" s="2889"/>
      <c r="D157" s="2909" t="s">
        <v>626</v>
      </c>
      <c r="E157" s="2891"/>
      <c r="F157" s="2891"/>
      <c r="G157" s="1202">
        <v>3331812.71</v>
      </c>
      <c r="H157" s="1202"/>
      <c r="I157" s="1202">
        <v>2627388.2400000002</v>
      </c>
      <c r="J157" s="1202"/>
      <c r="K157" s="1202">
        <v>3092914.19</v>
      </c>
      <c r="L157" s="1202"/>
      <c r="M157" s="1202">
        <f t="shared" si="11"/>
        <v>596348.81999999995</v>
      </c>
      <c r="N157" s="1202"/>
      <c r="O157" s="1202">
        <v>3689263.01</v>
      </c>
      <c r="P157" s="2140"/>
      <c r="Q157" s="2880"/>
    </row>
    <row r="158" spans="2:17" s="2867" customFormat="1" ht="15.5">
      <c r="B158" s="2875">
        <v>22054</v>
      </c>
      <c r="C158" s="2889"/>
      <c r="D158" s="2909" t="s">
        <v>627</v>
      </c>
      <c r="E158" s="2891"/>
      <c r="F158" s="2891"/>
      <c r="G158" s="1202">
        <v>64545.5</v>
      </c>
      <c r="H158" s="1202"/>
      <c r="I158" s="1202">
        <v>0</v>
      </c>
      <c r="J158" s="1202"/>
      <c r="K158" s="1202">
        <v>0</v>
      </c>
      <c r="L158" s="1202"/>
      <c r="M158" s="1202">
        <f t="shared" si="11"/>
        <v>0</v>
      </c>
      <c r="N158" s="1202"/>
      <c r="O158" s="1202">
        <v>0</v>
      </c>
      <c r="P158" s="2140"/>
      <c r="Q158" s="2880"/>
    </row>
    <row r="159" spans="2:17" s="2867" customFormat="1" ht="15.5">
      <c r="B159" s="2875">
        <v>22055</v>
      </c>
      <c r="C159" s="2889"/>
      <c r="D159" s="2909" t="s">
        <v>628</v>
      </c>
      <c r="E159" s="2891"/>
      <c r="F159" s="2891"/>
      <c r="G159" s="1202">
        <v>46585537.840000004</v>
      </c>
      <c r="H159" s="1202"/>
      <c r="I159" s="1202">
        <v>46076509.549999997</v>
      </c>
      <c r="J159" s="1202"/>
      <c r="K159" s="1202">
        <v>41923286.229999997</v>
      </c>
      <c r="L159" s="1202"/>
      <c r="M159" s="1202">
        <f t="shared" si="11"/>
        <v>1168586.6000000001</v>
      </c>
      <c r="N159" s="1202"/>
      <c r="O159" s="1202">
        <v>43091872.829999998</v>
      </c>
      <c r="P159" s="2140"/>
      <c r="Q159" s="2880"/>
    </row>
    <row r="160" spans="2:17" s="2867" customFormat="1" ht="15.5">
      <c r="B160" s="2875">
        <v>22056</v>
      </c>
      <c r="C160" s="2889"/>
      <c r="D160" s="2909" t="s">
        <v>629</v>
      </c>
      <c r="E160" s="2891"/>
      <c r="F160" s="2891"/>
      <c r="G160" s="1202">
        <v>492332.4</v>
      </c>
      <c r="H160" s="1202"/>
      <c r="I160" s="1202">
        <v>603326.81999999995</v>
      </c>
      <c r="J160" s="1202"/>
      <c r="K160" s="1202">
        <v>714393.92</v>
      </c>
      <c r="L160" s="1202"/>
      <c r="M160" s="1202">
        <f t="shared" si="11"/>
        <v>144399.29</v>
      </c>
      <c r="N160" s="1202"/>
      <c r="O160" s="1202">
        <v>858793.21</v>
      </c>
      <c r="P160" s="2140"/>
      <c r="Q160" s="2880"/>
    </row>
    <row r="161" spans="2:17" s="2867" customFormat="1" ht="15.5">
      <c r="B161" s="2875">
        <v>22062</v>
      </c>
      <c r="C161" s="2889"/>
      <c r="D161" s="2909" t="s">
        <v>630</v>
      </c>
      <c r="E161" s="2891"/>
      <c r="F161" s="2891"/>
      <c r="G161" s="1202">
        <v>0</v>
      </c>
      <c r="H161" s="1202"/>
      <c r="I161" s="1202">
        <v>0</v>
      </c>
      <c r="J161" s="1202"/>
      <c r="K161" s="1202">
        <v>0</v>
      </c>
      <c r="L161" s="1202"/>
      <c r="M161" s="1202">
        <f t="shared" si="11"/>
        <v>0</v>
      </c>
      <c r="N161" s="1202"/>
      <c r="O161" s="1202">
        <v>0</v>
      </c>
      <c r="P161" s="2140"/>
      <c r="Q161" s="2880"/>
    </row>
    <row r="162" spans="2:17" s="2867" customFormat="1" ht="15.5">
      <c r="B162" s="2875">
        <v>22063</v>
      </c>
      <c r="C162" s="2889"/>
      <c r="D162" s="2909" t="s">
        <v>631</v>
      </c>
      <c r="E162" s="2891"/>
      <c r="F162" s="2891"/>
      <c r="G162" s="1202">
        <v>0</v>
      </c>
      <c r="H162" s="1202"/>
      <c r="I162" s="1202">
        <v>0</v>
      </c>
      <c r="J162" s="1202"/>
      <c r="K162" s="1202">
        <v>0</v>
      </c>
      <c r="L162" s="1202"/>
      <c r="M162" s="1202">
        <f t="shared" si="11"/>
        <v>0</v>
      </c>
      <c r="N162" s="1202"/>
      <c r="O162" s="1202">
        <v>0</v>
      </c>
      <c r="P162" s="2140"/>
      <c r="Q162" s="2880"/>
    </row>
    <row r="163" spans="2:17" s="2867" customFormat="1" ht="15.5">
      <c r="B163" s="2875">
        <v>22078</v>
      </c>
      <c r="C163" s="2889"/>
      <c r="D163" s="2909" t="s">
        <v>632</v>
      </c>
      <c r="E163" s="2891"/>
      <c r="F163" s="2891"/>
      <c r="G163" s="1202">
        <v>0</v>
      </c>
      <c r="H163" s="1202"/>
      <c r="I163" s="1202">
        <v>0</v>
      </c>
      <c r="J163" s="1202"/>
      <c r="K163" s="1202">
        <v>0</v>
      </c>
      <c r="L163" s="1202"/>
      <c r="M163" s="1202">
        <f t="shared" si="11"/>
        <v>0</v>
      </c>
      <c r="N163" s="1202"/>
      <c r="O163" s="1202">
        <v>0</v>
      </c>
      <c r="P163" s="2140"/>
      <c r="Q163" s="2880"/>
    </row>
    <row r="164" spans="2:17" s="2867" customFormat="1" ht="15.5">
      <c r="B164" s="2875">
        <v>22085</v>
      </c>
      <c r="C164" s="2889"/>
      <c r="D164" s="2909" t="s">
        <v>633</v>
      </c>
      <c r="E164" s="2891"/>
      <c r="F164" s="2891"/>
      <c r="G164" s="1202">
        <v>2713150.85</v>
      </c>
      <c r="H164" s="1202"/>
      <c r="I164" s="1202">
        <v>2901624.69</v>
      </c>
      <c r="J164" s="1202"/>
      <c r="K164" s="1202">
        <v>3087052.87</v>
      </c>
      <c r="L164" s="1202"/>
      <c r="M164" s="1202">
        <f>ROUND(SUM(O164)-SUM(K164),2)</f>
        <v>249078.86</v>
      </c>
      <c r="N164" s="1202"/>
      <c r="O164" s="1202">
        <v>3336131.73</v>
      </c>
      <c r="P164" s="2140"/>
      <c r="Q164" s="2880"/>
    </row>
    <row r="165" spans="2:17" s="2867" customFormat="1" ht="15.5">
      <c r="B165" s="2875">
        <v>22090</v>
      </c>
      <c r="C165" s="2889"/>
      <c r="D165" s="2909" t="s">
        <v>634</v>
      </c>
      <c r="E165" s="2891"/>
      <c r="F165" s="2891"/>
      <c r="G165" s="1202">
        <v>0</v>
      </c>
      <c r="H165" s="1202"/>
      <c r="I165" s="1202">
        <v>0</v>
      </c>
      <c r="J165" s="1202"/>
      <c r="K165" s="1202">
        <v>0</v>
      </c>
      <c r="L165" s="1202"/>
      <c r="M165" s="1202">
        <f t="shared" si="11"/>
        <v>0</v>
      </c>
      <c r="N165" s="1202"/>
      <c r="O165" s="1202">
        <v>0</v>
      </c>
      <c r="P165" s="2140"/>
      <c r="Q165" s="2880"/>
    </row>
    <row r="166" spans="2:17" s="2867" customFormat="1" ht="15.5">
      <c r="B166" s="2875">
        <v>22100</v>
      </c>
      <c r="C166" s="2889"/>
      <c r="D166" s="2909" t="s">
        <v>635</v>
      </c>
      <c r="E166" s="2891"/>
      <c r="F166" s="2891"/>
      <c r="G166" s="1202">
        <v>12662667.449999999</v>
      </c>
      <c r="H166" s="1202"/>
      <c r="I166" s="1202">
        <v>12886980.34</v>
      </c>
      <c r="J166" s="1202"/>
      <c r="K166" s="1202">
        <v>13565918.5</v>
      </c>
      <c r="L166" s="1202"/>
      <c r="M166" s="1202">
        <f t="shared" ref="M166:M182" si="15">ROUND(SUM(O166)-SUM(K166),2)</f>
        <v>212299.78</v>
      </c>
      <c r="N166" s="1202"/>
      <c r="O166" s="1202">
        <v>13778218.279999999</v>
      </c>
      <c r="P166" s="2140"/>
      <c r="Q166" s="2880"/>
    </row>
    <row r="167" spans="2:17" s="2867" customFormat="1" ht="15.5">
      <c r="B167" s="2875">
        <v>22130</v>
      </c>
      <c r="C167" s="2889"/>
      <c r="D167" s="2890" t="s">
        <v>636</v>
      </c>
      <c r="E167" s="2891"/>
      <c r="F167" s="2891"/>
      <c r="G167" s="1202">
        <v>0</v>
      </c>
      <c r="H167" s="1202"/>
      <c r="I167" s="1202">
        <v>0</v>
      </c>
      <c r="J167" s="1202"/>
      <c r="K167" s="1202">
        <v>0</v>
      </c>
      <c r="L167" s="1202"/>
      <c r="M167" s="1202">
        <f t="shared" si="15"/>
        <v>0</v>
      </c>
      <c r="N167" s="1202"/>
      <c r="O167" s="1202">
        <v>0</v>
      </c>
      <c r="P167" s="2140"/>
      <c r="Q167" s="2880"/>
    </row>
    <row r="168" spans="2:17" s="2867" customFormat="1" ht="15.5">
      <c r="B168" s="2875">
        <v>22135</v>
      </c>
      <c r="C168" s="2889"/>
      <c r="D168" s="2890" t="s">
        <v>637</v>
      </c>
      <c r="E168" s="2891"/>
      <c r="F168" s="2891"/>
      <c r="G168" s="1202">
        <v>0</v>
      </c>
      <c r="H168" s="1202"/>
      <c r="I168" s="1202">
        <v>0</v>
      </c>
      <c r="J168" s="1202"/>
      <c r="K168" s="1202">
        <v>0</v>
      </c>
      <c r="L168" s="1202"/>
      <c r="M168" s="1202">
        <f t="shared" si="15"/>
        <v>0</v>
      </c>
      <c r="N168" s="1202"/>
      <c r="O168" s="1202">
        <v>0</v>
      </c>
      <c r="P168" s="2140"/>
      <c r="Q168" s="2880"/>
    </row>
    <row r="169" spans="2:17" s="2867" customFormat="1" ht="15.5">
      <c r="B169" s="2875">
        <v>22144</v>
      </c>
      <c r="C169" s="2889"/>
      <c r="D169" s="2909" t="s">
        <v>638</v>
      </c>
      <c r="E169" s="2891"/>
      <c r="F169" s="2891"/>
      <c r="G169" s="1202">
        <v>0</v>
      </c>
      <c r="H169" s="1202"/>
      <c r="I169" s="1202">
        <v>0</v>
      </c>
      <c r="J169" s="1202"/>
      <c r="K169" s="1202">
        <v>0</v>
      </c>
      <c r="L169" s="1202"/>
      <c r="M169" s="1202">
        <f t="shared" si="15"/>
        <v>0</v>
      </c>
      <c r="N169" s="1202"/>
      <c r="O169" s="1202">
        <v>0</v>
      </c>
      <c r="P169" s="2140"/>
      <c r="Q169" s="2880"/>
    </row>
    <row r="170" spans="2:17" s="2867" customFormat="1" ht="15.5">
      <c r="B170" s="2875">
        <v>22151</v>
      </c>
      <c r="C170" s="2889"/>
      <c r="D170" s="2890" t="s">
        <v>639</v>
      </c>
      <c r="E170" s="2891"/>
      <c r="F170" s="2891"/>
      <c r="G170" s="1202">
        <v>119000.23</v>
      </c>
      <c r="H170" s="1202"/>
      <c r="I170" s="1202">
        <v>188226.07</v>
      </c>
      <c r="J170" s="1202"/>
      <c r="K170" s="1202">
        <v>241356.09</v>
      </c>
      <c r="L170" s="1202"/>
      <c r="M170" s="1202">
        <f t="shared" si="15"/>
        <v>-97718.63</v>
      </c>
      <c r="N170" s="1202"/>
      <c r="O170" s="1202">
        <v>143637.46</v>
      </c>
      <c r="P170" s="2140"/>
      <c r="Q170" s="2880"/>
    </row>
    <row r="171" spans="2:17" s="2867" customFormat="1" ht="15.5">
      <c r="B171" s="2875">
        <v>22156</v>
      </c>
      <c r="C171" s="2889"/>
      <c r="D171" s="2890" t="s">
        <v>640</v>
      </c>
      <c r="E171" s="2891"/>
      <c r="F171" s="2891"/>
      <c r="G171" s="1202">
        <v>0</v>
      </c>
      <c r="H171" s="1202"/>
      <c r="I171" s="1202">
        <v>0</v>
      </c>
      <c r="J171" s="1202"/>
      <c r="K171" s="1202">
        <v>1154510.8600000001</v>
      </c>
      <c r="L171" s="1202"/>
      <c r="M171" s="1202">
        <f t="shared" si="15"/>
        <v>5946902.0999999996</v>
      </c>
      <c r="N171" s="1202"/>
      <c r="O171" s="1202">
        <v>7101412.96</v>
      </c>
      <c r="P171" s="2140"/>
      <c r="Q171" s="2880"/>
    </row>
    <row r="172" spans="2:17" s="2867" customFormat="1" ht="15.5">
      <c r="B172" s="2875">
        <v>22158</v>
      </c>
      <c r="C172" s="2889"/>
      <c r="D172" s="2909" t="s">
        <v>641</v>
      </c>
      <c r="E172" s="2891"/>
      <c r="F172" s="2891"/>
      <c r="G172" s="1202">
        <v>0</v>
      </c>
      <c r="H172" s="1202"/>
      <c r="I172" s="1202">
        <v>0</v>
      </c>
      <c r="J172" s="1202"/>
      <c r="K172" s="1202">
        <v>0</v>
      </c>
      <c r="L172" s="1202"/>
      <c r="M172" s="1202">
        <f t="shared" si="15"/>
        <v>0</v>
      </c>
      <c r="N172" s="1202"/>
      <c r="O172" s="1202">
        <v>0</v>
      </c>
      <c r="P172" s="2140"/>
      <c r="Q172" s="2880"/>
    </row>
    <row r="173" spans="2:17" s="2867" customFormat="1" ht="15.5">
      <c r="B173" s="2875">
        <v>22168</v>
      </c>
      <c r="C173" s="2889"/>
      <c r="D173" s="2909" t="s">
        <v>642</v>
      </c>
      <c r="E173" s="2891"/>
      <c r="F173" s="2891"/>
      <c r="G173" s="1202">
        <v>0</v>
      </c>
      <c r="H173" s="1202"/>
      <c r="I173" s="1202">
        <v>0</v>
      </c>
      <c r="J173" s="1202"/>
      <c r="K173" s="1202">
        <v>0</v>
      </c>
      <c r="L173" s="1202"/>
      <c r="M173" s="1202">
        <f t="shared" si="15"/>
        <v>0</v>
      </c>
      <c r="N173" s="1202"/>
      <c r="O173" s="1202">
        <v>0</v>
      </c>
      <c r="P173" s="2140"/>
      <c r="Q173" s="2880"/>
    </row>
    <row r="174" spans="2:17" s="3056" customFormat="1" ht="15.5">
      <c r="B174" s="2892">
        <v>22240</v>
      </c>
      <c r="C174" s="2910"/>
      <c r="D174" s="2911" t="s">
        <v>1273</v>
      </c>
      <c r="E174" s="2895"/>
      <c r="F174" s="2895"/>
      <c r="G174" s="1202">
        <v>1597471.15</v>
      </c>
      <c r="H174" s="1202">
        <v>0</v>
      </c>
      <c r="I174" s="1202">
        <v>1739009.09</v>
      </c>
      <c r="J174" s="1202">
        <v>0</v>
      </c>
      <c r="K174" s="1202">
        <v>1873300.98</v>
      </c>
      <c r="L174" s="1202">
        <v>0</v>
      </c>
      <c r="M174" s="1202">
        <f t="shared" si="15"/>
        <v>165260.34</v>
      </c>
      <c r="N174" s="1202">
        <v>0</v>
      </c>
      <c r="O174" s="1202">
        <v>2038561.32</v>
      </c>
      <c r="P174" s="2140"/>
      <c r="Q174" s="3055"/>
    </row>
    <row r="175" spans="2:17" s="3056" customFormat="1" ht="15.5">
      <c r="B175" s="2892">
        <v>22246</v>
      </c>
      <c r="C175" s="2910"/>
      <c r="D175" s="2911" t="s">
        <v>1409</v>
      </c>
      <c r="E175" s="2895"/>
      <c r="F175" s="2895"/>
      <c r="G175" s="1202">
        <v>0</v>
      </c>
      <c r="H175" s="1202">
        <v>0</v>
      </c>
      <c r="I175" s="1202">
        <v>0</v>
      </c>
      <c r="J175" s="1202">
        <v>0</v>
      </c>
      <c r="K175" s="1202">
        <v>0</v>
      </c>
      <c r="L175" s="1202">
        <v>0</v>
      </c>
      <c r="M175" s="1202">
        <v>0</v>
      </c>
      <c r="N175" s="1202">
        <v>0</v>
      </c>
      <c r="O175" s="1202">
        <v>0</v>
      </c>
      <c r="P175" s="2140"/>
      <c r="Q175" s="3055"/>
    </row>
    <row r="176" spans="2:17" s="2867" customFormat="1" ht="15.5">
      <c r="B176" s="2875">
        <v>22654</v>
      </c>
      <c r="C176" s="2889"/>
      <c r="D176" s="2890" t="s">
        <v>643</v>
      </c>
      <c r="E176" s="2891"/>
      <c r="F176" s="2891"/>
      <c r="G176" s="1202">
        <v>20681638.25</v>
      </c>
      <c r="H176" s="1202"/>
      <c r="I176" s="1202">
        <v>20682452.780000001</v>
      </c>
      <c r="J176" s="1202"/>
      <c r="K176" s="1202">
        <v>20683236.579999998</v>
      </c>
      <c r="L176" s="1202"/>
      <c r="M176" s="1202">
        <f t="shared" si="15"/>
        <v>861.53</v>
      </c>
      <c r="N176" s="1202"/>
      <c r="O176" s="1202">
        <v>20684098.109999999</v>
      </c>
      <c r="P176" s="2140"/>
      <c r="Q176" s="2880"/>
    </row>
    <row r="177" spans="2:18" s="2867" customFormat="1" ht="15.5">
      <c r="B177" s="2875">
        <v>22751</v>
      </c>
      <c r="C177" s="2889"/>
      <c r="D177" s="2890" t="s">
        <v>1174</v>
      </c>
      <c r="E177" s="2891"/>
      <c r="F177" s="2891"/>
      <c r="G177" s="1202">
        <v>0</v>
      </c>
      <c r="H177" s="1202"/>
      <c r="I177" s="1202">
        <v>0</v>
      </c>
      <c r="J177" s="1202"/>
      <c r="K177" s="1202">
        <v>0</v>
      </c>
      <c r="L177" s="1202"/>
      <c r="M177" s="1202">
        <f>ROUND(SUM(O177)-SUM(K177),2)</f>
        <v>0</v>
      </c>
      <c r="N177" s="1202"/>
      <c r="O177" s="1202">
        <v>0</v>
      </c>
      <c r="P177" s="2140"/>
      <c r="Q177" s="2880"/>
    </row>
    <row r="178" spans="2:18" s="2867" customFormat="1" ht="15.5">
      <c r="B178" s="2875">
        <v>22802</v>
      </c>
      <c r="C178" s="2889"/>
      <c r="D178" s="2909" t="s">
        <v>644</v>
      </c>
      <c r="E178" s="2891"/>
      <c r="F178" s="2891"/>
      <c r="G178" s="1202">
        <v>0</v>
      </c>
      <c r="H178" s="1202"/>
      <c r="I178" s="1202">
        <v>0</v>
      </c>
      <c r="J178" s="1202"/>
      <c r="K178" s="1202">
        <v>0</v>
      </c>
      <c r="L178" s="1202"/>
      <c r="M178" s="1202">
        <f t="shared" si="15"/>
        <v>0</v>
      </c>
      <c r="N178" s="1202"/>
      <c r="O178" s="1202">
        <v>0</v>
      </c>
      <c r="P178" s="2140"/>
      <c r="Q178" s="2880"/>
    </row>
    <row r="179" spans="2:18" s="2867" customFormat="1" ht="15.5">
      <c r="B179" s="2875">
        <v>23001</v>
      </c>
      <c r="C179" s="2889"/>
      <c r="D179" s="2890" t="s">
        <v>645</v>
      </c>
      <c r="E179" s="2891"/>
      <c r="F179" s="2891"/>
      <c r="G179" s="1202">
        <v>17373720.039999999</v>
      </c>
      <c r="H179" s="1202"/>
      <c r="I179" s="1202">
        <v>17633177.469999999</v>
      </c>
      <c r="J179" s="1202"/>
      <c r="K179" s="1202">
        <v>17859634.899999999</v>
      </c>
      <c r="L179" s="1202"/>
      <c r="M179" s="1202">
        <f t="shared" si="15"/>
        <v>345577.18</v>
      </c>
      <c r="N179" s="1202"/>
      <c r="O179" s="1202">
        <v>18205212.079999998</v>
      </c>
      <c r="P179" s="2140"/>
      <c r="Q179" s="2880"/>
    </row>
    <row r="180" spans="2:18" s="2867" customFormat="1" ht="15.5">
      <c r="B180" s="2875">
        <v>23102</v>
      </c>
      <c r="C180" s="2889"/>
      <c r="D180" s="2909" t="s">
        <v>646</v>
      </c>
      <c r="E180" s="2891"/>
      <c r="F180" s="2891"/>
      <c r="G180" s="1202">
        <v>5350949.7</v>
      </c>
      <c r="H180" s="1202"/>
      <c r="I180" s="1202">
        <v>5350949.7</v>
      </c>
      <c r="J180" s="1202"/>
      <c r="K180" s="1202">
        <v>5350949.7</v>
      </c>
      <c r="L180" s="1202"/>
      <c r="M180" s="1202">
        <f t="shared" si="15"/>
        <v>0</v>
      </c>
      <c r="N180" s="1202"/>
      <c r="O180" s="1202">
        <v>5350949.7</v>
      </c>
      <c r="P180" s="2140"/>
      <c r="Q180" s="2880"/>
    </row>
    <row r="181" spans="2:18" s="2867" customFormat="1" ht="15.5">
      <c r="B181" s="2875">
        <v>23151</v>
      </c>
      <c r="C181" s="2889"/>
      <c r="D181" s="2890" t="s">
        <v>647</v>
      </c>
      <c r="E181" s="2891"/>
      <c r="F181" s="2891"/>
      <c r="G181" s="1202">
        <v>37175468.649999999</v>
      </c>
      <c r="H181" s="1202"/>
      <c r="I181" s="1202">
        <v>39593606.090000004</v>
      </c>
      <c r="J181" s="1202"/>
      <c r="K181" s="1202">
        <v>42068515.759999998</v>
      </c>
      <c r="L181" s="1202"/>
      <c r="M181" s="1202">
        <f t="shared" si="15"/>
        <v>4271214.8099999996</v>
      </c>
      <c r="N181" s="1202"/>
      <c r="O181" s="1202">
        <v>46339730.57</v>
      </c>
      <c r="P181" s="2140"/>
      <c r="Q181" s="2880"/>
    </row>
    <row r="182" spans="2:18" s="2867" customFormat="1" ht="15.5">
      <c r="B182" s="2913">
        <v>23702</v>
      </c>
      <c r="C182" s="2889"/>
      <c r="D182" s="2909" t="s">
        <v>860</v>
      </c>
      <c r="E182" s="2891"/>
      <c r="F182" s="2891"/>
      <c r="G182" s="1202">
        <v>23330986.140000001</v>
      </c>
      <c r="H182" s="1202"/>
      <c r="I182" s="1202">
        <v>23663056.43</v>
      </c>
      <c r="J182" s="1202"/>
      <c r="K182" s="1202">
        <v>24107595.16</v>
      </c>
      <c r="L182" s="1202"/>
      <c r="M182" s="1202">
        <f t="shared" si="15"/>
        <v>408988.82</v>
      </c>
      <c r="N182" s="1202"/>
      <c r="O182" s="1202">
        <v>24516583.98</v>
      </c>
      <c r="P182" s="2140"/>
      <c r="Q182" s="2880"/>
    </row>
    <row r="183" spans="2:18" s="2867" customFormat="1" ht="15.5">
      <c r="B183" s="2913">
        <v>23801</v>
      </c>
      <c r="C183" s="2889"/>
      <c r="D183" s="2909" t="s">
        <v>1183</v>
      </c>
      <c r="E183" s="2891"/>
      <c r="F183" s="2891"/>
      <c r="G183" s="1202">
        <v>0</v>
      </c>
      <c r="H183" s="1202"/>
      <c r="I183" s="1202">
        <v>0</v>
      </c>
      <c r="J183" s="1202"/>
      <c r="K183" s="1202">
        <v>0</v>
      </c>
      <c r="L183" s="1202"/>
      <c r="M183" s="1202">
        <f>ROUND(SUM(O183)-SUM(K183),2)</f>
        <v>0</v>
      </c>
      <c r="N183" s="1202"/>
      <c r="O183" s="1202">
        <v>0</v>
      </c>
      <c r="P183" s="2887"/>
      <c r="Q183" s="2880"/>
    </row>
    <row r="184" spans="2:18" s="2867" customFormat="1" ht="15.5">
      <c r="B184" s="2913">
        <v>23806</v>
      </c>
      <c r="C184" s="2889"/>
      <c r="D184" s="2909" t="s">
        <v>1217</v>
      </c>
      <c r="E184" s="2891"/>
      <c r="F184" s="2891"/>
      <c r="G184" s="1202">
        <v>0</v>
      </c>
      <c r="H184" s="1202"/>
      <c r="I184" s="1202">
        <v>0</v>
      </c>
      <c r="J184" s="1202"/>
      <c r="K184" s="1202">
        <v>0</v>
      </c>
      <c r="L184" s="1202"/>
      <c r="M184" s="1202">
        <f t="shared" ref="M184:M185" si="16">ROUND(SUM(O184)-SUM(K184),2)</f>
        <v>0</v>
      </c>
      <c r="N184" s="1202"/>
      <c r="O184" s="1202">
        <v>0</v>
      </c>
      <c r="P184" s="2887"/>
      <c r="Q184" s="2880"/>
    </row>
    <row r="185" spans="2:18" s="2867" customFormat="1" ht="15.5">
      <c r="B185" s="2913">
        <v>24951</v>
      </c>
      <c r="C185" s="2889"/>
      <c r="D185" s="2909" t="s">
        <v>1218</v>
      </c>
      <c r="E185" s="2891"/>
      <c r="F185" s="2891"/>
      <c r="G185" s="1202">
        <v>86832.85</v>
      </c>
      <c r="H185" s="1202"/>
      <c r="I185" s="1202">
        <v>86832.85</v>
      </c>
      <c r="J185" s="1202"/>
      <c r="K185" s="1202">
        <v>123255.43</v>
      </c>
      <c r="L185" s="1202"/>
      <c r="M185" s="1202">
        <f t="shared" si="16"/>
        <v>0</v>
      </c>
      <c r="N185" s="1202"/>
      <c r="O185" s="1202">
        <v>123255.43</v>
      </c>
      <c r="P185" s="2887"/>
      <c r="Q185" s="2880"/>
    </row>
    <row r="186" spans="2:18" s="2867" customFormat="1" ht="16" thickBot="1">
      <c r="B186" s="2897"/>
      <c r="C186" s="2869"/>
      <c r="D186" s="2882" t="s">
        <v>648</v>
      </c>
      <c r="E186" s="2871"/>
      <c r="F186" s="2871"/>
      <c r="G186" s="1566">
        <f>ROUND(SUM(G105:G185),2)</f>
        <v>436441841.63999999</v>
      </c>
      <c r="H186" s="1456"/>
      <c r="I186" s="1566">
        <f>ROUND(SUM(I105:I185),2)</f>
        <v>435863136.54000002</v>
      </c>
      <c r="J186" s="2110"/>
      <c r="K186" s="1566">
        <f>ROUND(SUM(K105:K185),2)</f>
        <v>479095636.06999999</v>
      </c>
      <c r="L186" s="2503"/>
      <c r="M186" s="1566">
        <f>ROUND(SUM(M105:M185),2)</f>
        <v>1464385599.78</v>
      </c>
      <c r="N186" s="2503"/>
      <c r="O186" s="1566">
        <f>ROUND(SUM(O105:O185),2)</f>
        <v>1943481235.8499999</v>
      </c>
      <c r="P186" s="2887"/>
      <c r="Q186" s="2880"/>
    </row>
    <row r="187" spans="2:18" s="2867" customFormat="1" ht="16" thickTop="1">
      <c r="B187" s="2914"/>
      <c r="C187" s="2899"/>
      <c r="D187" s="2915"/>
      <c r="E187" s="2889"/>
      <c r="F187" s="2889"/>
      <c r="G187" s="1202"/>
      <c r="H187" s="3077"/>
      <c r="I187" s="2140"/>
      <c r="J187" s="3077"/>
      <c r="K187" s="2140"/>
      <c r="L187" s="3077"/>
      <c r="M187" s="1202"/>
      <c r="N187" s="3077"/>
      <c r="O187" s="2140"/>
      <c r="P187" s="2887"/>
      <c r="Q187" s="2880"/>
    </row>
    <row r="188" spans="2:18" s="2867" customFormat="1" ht="15.5">
      <c r="B188" s="2914"/>
      <c r="C188" s="2869"/>
      <c r="D188" s="2882" t="s">
        <v>649</v>
      </c>
      <c r="E188" s="2871"/>
      <c r="F188" s="2871"/>
      <c r="G188" s="1202"/>
      <c r="H188" s="3077"/>
      <c r="I188" s="2140"/>
      <c r="J188" s="3077"/>
      <c r="K188" s="2140"/>
      <c r="L188" s="3077"/>
      <c r="M188" s="1203"/>
      <c r="N188" s="3478"/>
      <c r="O188" s="2140"/>
      <c r="P188" s="2887"/>
      <c r="Q188" s="3055"/>
      <c r="R188" s="3056"/>
    </row>
    <row r="189" spans="2:18" s="3056" customFormat="1" ht="15.5">
      <c r="B189" s="2921" t="s">
        <v>650</v>
      </c>
      <c r="C189" s="3078"/>
      <c r="D189" s="2912" t="s">
        <v>651</v>
      </c>
      <c r="E189" s="3054"/>
      <c r="F189" s="3054"/>
      <c r="G189" s="3565">
        <v>37672612.470000006</v>
      </c>
      <c r="H189" s="1202"/>
      <c r="I189" s="3565">
        <v>133780594.05</v>
      </c>
      <c r="J189" s="1202"/>
      <c r="K189" s="3565">
        <v>33589018.049999997</v>
      </c>
      <c r="L189" s="1202"/>
      <c r="M189" s="1202">
        <f>ROUND(SUM(O189)-SUM(K189),2)</f>
        <v>1770431.56</v>
      </c>
      <c r="N189" s="1202"/>
      <c r="O189" s="3565">
        <v>35359449.609999999</v>
      </c>
      <c r="P189" s="2887"/>
      <c r="Q189" s="3055"/>
    </row>
    <row r="190" spans="2:18" s="3056" customFormat="1" ht="15.5">
      <c r="B190" s="2921" t="s">
        <v>652</v>
      </c>
      <c r="C190" s="3078"/>
      <c r="D190" s="2912" t="s">
        <v>653</v>
      </c>
      <c r="E190" s="3054"/>
      <c r="F190" s="3054"/>
      <c r="G190" s="3565">
        <v>1198046246.3900001</v>
      </c>
      <c r="H190" s="1202"/>
      <c r="I190" s="3565">
        <v>497912864.9000001</v>
      </c>
      <c r="J190" s="1202"/>
      <c r="K190" s="3565">
        <v>807030432.35000002</v>
      </c>
      <c r="L190" s="1202"/>
      <c r="M190" s="1202">
        <f t="shared" ref="M190:M194" si="17">ROUND(SUM(O190)-SUM(K190),2)</f>
        <v>-136714121.75999999</v>
      </c>
      <c r="N190" s="1202"/>
      <c r="O190" s="3565">
        <v>670316310.58999991</v>
      </c>
      <c r="P190" s="2887"/>
      <c r="Q190" s="3055"/>
    </row>
    <row r="191" spans="2:18" s="3056" customFormat="1" ht="15.5">
      <c r="B191" s="2921" t="s">
        <v>654</v>
      </c>
      <c r="C191" s="3078"/>
      <c r="D191" s="2911" t="s">
        <v>655</v>
      </c>
      <c r="E191" s="3054"/>
      <c r="F191" s="3054"/>
      <c r="G191" s="3565">
        <v>31582575.770000003</v>
      </c>
      <c r="H191" s="1202"/>
      <c r="I191" s="3565">
        <v>45834057.209999993</v>
      </c>
      <c r="J191" s="1202"/>
      <c r="K191" s="3565">
        <v>40461589.060000002</v>
      </c>
      <c r="L191" s="1202"/>
      <c r="M191" s="1202">
        <f t="shared" si="17"/>
        <v>12804962.98</v>
      </c>
      <c r="N191" s="1202"/>
      <c r="O191" s="3565">
        <v>53266552.039999992</v>
      </c>
      <c r="P191" s="2887"/>
      <c r="Q191" s="3055"/>
    </row>
    <row r="192" spans="2:18" s="3056" customFormat="1" ht="15.5">
      <c r="B192" s="2921" t="s">
        <v>1184</v>
      </c>
      <c r="C192" s="3078"/>
      <c r="D192" s="2911" t="s">
        <v>1185</v>
      </c>
      <c r="E192" s="3054"/>
      <c r="F192" s="3054"/>
      <c r="G192" s="3565">
        <v>0</v>
      </c>
      <c r="H192" s="1202"/>
      <c r="I192" s="3565">
        <v>0</v>
      </c>
      <c r="J192" s="1202"/>
      <c r="K192" s="3565">
        <v>0</v>
      </c>
      <c r="L192" s="1202"/>
      <c r="M192" s="1202">
        <f t="shared" si="17"/>
        <v>0</v>
      </c>
      <c r="N192" s="1202"/>
      <c r="O192" s="3565">
        <v>0</v>
      </c>
      <c r="P192" s="2887"/>
      <c r="Q192" s="3055"/>
    </row>
    <row r="193" spans="2:18" s="3056" customFormat="1" ht="15.5">
      <c r="B193" s="2921" t="s">
        <v>656</v>
      </c>
      <c r="C193" s="2911"/>
      <c r="D193" s="2912" t="s">
        <v>657</v>
      </c>
      <c r="E193" s="3054"/>
      <c r="F193" s="3054"/>
      <c r="G193" s="3565">
        <v>538608482.40999985</v>
      </c>
      <c r="H193" s="1202"/>
      <c r="I193" s="3565">
        <v>564479604.32999992</v>
      </c>
      <c r="J193" s="1202"/>
      <c r="K193" s="3565">
        <v>524272507.94999999</v>
      </c>
      <c r="L193" s="1202"/>
      <c r="M193" s="1202">
        <f t="shared" si="17"/>
        <v>44787732.32</v>
      </c>
      <c r="N193" s="1202"/>
      <c r="O193" s="3565">
        <v>569060240.26999998</v>
      </c>
      <c r="P193" s="2887"/>
      <c r="Q193" s="3055"/>
    </row>
    <row r="194" spans="2:18" s="3056" customFormat="1" ht="15.5">
      <c r="B194" s="2892">
        <v>31351</v>
      </c>
      <c r="C194" s="2911"/>
      <c r="D194" s="2912" t="s">
        <v>658</v>
      </c>
      <c r="E194" s="3054"/>
      <c r="F194" s="3054"/>
      <c r="G194" s="3815">
        <v>8753932.6600000001</v>
      </c>
      <c r="I194" s="3815">
        <v>8753932.6600000001</v>
      </c>
      <c r="K194" s="3815">
        <v>8753932.6600000001</v>
      </c>
      <c r="L194" s="1202"/>
      <c r="M194" s="1202">
        <f t="shared" si="17"/>
        <v>0</v>
      </c>
      <c r="N194" s="1202"/>
      <c r="O194" s="3815">
        <v>8753932.6600000001</v>
      </c>
      <c r="P194" s="2902"/>
      <c r="Q194" s="3055"/>
    </row>
    <row r="195" spans="2:18" s="3056" customFormat="1" ht="15.5">
      <c r="B195" s="2809">
        <v>31354</v>
      </c>
      <c r="C195" s="3057"/>
      <c r="D195" s="2894" t="s">
        <v>659</v>
      </c>
      <c r="E195" s="3054"/>
      <c r="F195" s="3054"/>
      <c r="G195" s="3815">
        <v>832053228.02999997</v>
      </c>
      <c r="I195" s="3815">
        <v>877883127.30700004</v>
      </c>
      <c r="K195" s="3815">
        <v>862165930.93900001</v>
      </c>
      <c r="L195" s="1202"/>
      <c r="M195" s="1202">
        <f>ROUND(SUM(O195)-SUM(K195),2)</f>
        <v>93088517.439999998</v>
      </c>
      <c r="N195" s="1202"/>
      <c r="O195" s="3815">
        <v>955254448.375</v>
      </c>
      <c r="P195" s="2916"/>
      <c r="Q195" s="3055"/>
    </row>
    <row r="196" spans="2:18" s="3056" customFormat="1" ht="15.5">
      <c r="B196" s="3058" t="s">
        <v>660</v>
      </c>
      <c r="C196" s="2910"/>
      <c r="D196" s="2912" t="s">
        <v>661</v>
      </c>
      <c r="E196" s="3054"/>
      <c r="F196" s="3054"/>
      <c r="G196" s="3815">
        <v>134776501.87999997</v>
      </c>
      <c r="H196" s="1202" t="s">
        <v>14</v>
      </c>
      <c r="I196" s="3815">
        <v>113553690.43999991</v>
      </c>
      <c r="J196" s="1202" t="s">
        <v>14</v>
      </c>
      <c r="K196" s="3815">
        <v>106505894.41</v>
      </c>
      <c r="L196" s="1202"/>
      <c r="M196" s="1202">
        <f>ROUND(SUM(O196)-SUM(K196),2)</f>
        <v>6596434.0099999998</v>
      </c>
      <c r="N196" s="1202"/>
      <c r="O196" s="3815">
        <v>113102328.42000005</v>
      </c>
      <c r="P196" s="3059"/>
      <c r="Q196" s="3055"/>
    </row>
    <row r="197" spans="2:18" s="3056" customFormat="1" ht="15.5">
      <c r="B197" s="2919" t="s">
        <v>861</v>
      </c>
      <c r="C197" s="2910"/>
      <c r="D197" s="2912" t="s">
        <v>862</v>
      </c>
      <c r="E197" s="2920"/>
      <c r="F197" s="2920"/>
      <c r="G197" s="3815">
        <v>104420129.28</v>
      </c>
      <c r="H197" s="1202"/>
      <c r="I197" s="3815">
        <v>64556111.780000001</v>
      </c>
      <c r="J197" s="1202"/>
      <c r="K197" s="3815">
        <v>53685610.899999999</v>
      </c>
      <c r="L197" s="1202"/>
      <c r="M197" s="1202">
        <f>ROUND(SUM(O197)-SUM(K197),2)</f>
        <v>-34773338.549999997</v>
      </c>
      <c r="N197" s="1202"/>
      <c r="O197" s="3815">
        <v>18912272.350000001</v>
      </c>
      <c r="P197" s="2921"/>
      <c r="Q197" s="3055"/>
    </row>
    <row r="198" spans="2:18" s="3056" customFormat="1" ht="15.5">
      <c r="B198" s="2922">
        <v>25950</v>
      </c>
      <c r="C198" s="2910"/>
      <c r="D198" s="2912" t="s">
        <v>662</v>
      </c>
      <c r="E198" s="2923"/>
      <c r="F198" s="2923"/>
      <c r="G198" s="3815">
        <v>432562.15</v>
      </c>
      <c r="I198" s="3815">
        <v>468525.14</v>
      </c>
      <c r="K198" s="3815">
        <v>490961.14</v>
      </c>
      <c r="L198" s="1202"/>
      <c r="M198" s="1202">
        <f>ROUND(SUM(O198)-SUM(K198),2)</f>
        <v>55117</v>
      </c>
      <c r="N198" s="1202"/>
      <c r="O198" s="3815">
        <v>546078.14</v>
      </c>
      <c r="P198" s="2921"/>
      <c r="Q198" s="3055"/>
    </row>
    <row r="199" spans="2:18" s="3056" customFormat="1" ht="15.5">
      <c r="B199" s="2919" t="s">
        <v>1158</v>
      </c>
      <c r="C199" s="2910"/>
      <c r="D199" s="2911" t="s">
        <v>863</v>
      </c>
      <c r="E199" s="2920"/>
      <c r="F199" s="2920"/>
      <c r="G199" s="2140">
        <v>5017803.97</v>
      </c>
      <c r="H199" s="1202"/>
      <c r="I199" s="2140">
        <v>12918019.109999999</v>
      </c>
      <c r="J199" s="1202"/>
      <c r="K199" s="2140">
        <v>5494904.4100000001</v>
      </c>
      <c r="L199" s="1202"/>
      <c r="M199" s="1202">
        <f t="shared" ref="M199" si="18">ROUND(SUM(O199)-SUM(K199),2)</f>
        <v>-3441326.58</v>
      </c>
      <c r="N199" s="1202"/>
      <c r="O199" s="2140">
        <v>2053577.83</v>
      </c>
      <c r="P199" s="2921"/>
      <c r="Q199" s="3055"/>
    </row>
    <row r="200" spans="2:18" s="2867" customFormat="1" ht="16" thickBot="1">
      <c r="B200" s="2924"/>
      <c r="C200" s="2883"/>
      <c r="D200" s="2882" t="s">
        <v>663</v>
      </c>
      <c r="E200" s="2884"/>
      <c r="F200" s="2884"/>
      <c r="G200" s="1566">
        <f>ROUND(SUM(G189:G199),2)</f>
        <v>2891364075.0100002</v>
      </c>
      <c r="H200" s="2110"/>
      <c r="I200" s="1566">
        <f>ROUND(SUM(I189:I199),2)</f>
        <v>2320140526.9299998</v>
      </c>
      <c r="J200" s="2110"/>
      <c r="K200" s="1566">
        <f>ROUND(SUM(K189:K199),2)</f>
        <v>2442450781.8699999</v>
      </c>
      <c r="L200" s="2515"/>
      <c r="M200" s="1204">
        <f>ROUND(SUM(M189:M199),2)</f>
        <v>-15825591.58</v>
      </c>
      <c r="N200" s="2515"/>
      <c r="O200" s="1566">
        <f>ROUND(SUM(O189:O199),2)</f>
        <v>2426625190.29</v>
      </c>
      <c r="P200" s="2916" t="s">
        <v>112</v>
      </c>
      <c r="Q200" s="3055"/>
      <c r="R200" s="3056"/>
    </row>
    <row r="201" spans="2:18" s="2867" customFormat="1" ht="16" thickTop="1">
      <c r="B201" s="2897"/>
      <c r="C201" s="2883"/>
      <c r="D201" s="2895"/>
      <c r="E201" s="2884"/>
      <c r="F201" s="2884"/>
      <c r="G201" s="1203"/>
      <c r="H201" s="3478"/>
      <c r="I201" s="2925"/>
      <c r="J201" s="3478"/>
      <c r="K201" s="2925"/>
      <c r="L201" s="3478"/>
      <c r="M201" s="1203"/>
      <c r="N201" s="3478"/>
      <c r="O201" s="2925"/>
      <c r="P201" s="3058"/>
      <c r="Q201" s="3055"/>
      <c r="R201" s="3056"/>
    </row>
    <row r="202" spans="2:18" s="2867" customFormat="1" ht="15.5">
      <c r="B202" s="2914"/>
      <c r="C202" s="2883"/>
      <c r="D202" s="2870" t="s">
        <v>664</v>
      </c>
      <c r="E202" s="2884"/>
      <c r="F202" s="2884"/>
      <c r="G202" s="1202"/>
      <c r="H202" s="2905"/>
      <c r="I202" s="2140"/>
      <c r="J202" s="2905"/>
      <c r="K202" s="2140"/>
      <c r="L202" s="2905"/>
      <c r="M202" s="1203"/>
      <c r="N202" s="1473"/>
      <c r="O202" s="2140"/>
      <c r="P202" s="2926"/>
      <c r="Q202" s="2880"/>
    </row>
    <row r="203" spans="2:18" s="2867" customFormat="1" ht="15.5">
      <c r="B203" s="2892">
        <v>60201</v>
      </c>
      <c r="C203" s="2869"/>
      <c r="D203" s="2890" t="s">
        <v>665</v>
      </c>
      <c r="E203" s="2884"/>
      <c r="F203" s="2884"/>
      <c r="G203" s="1202">
        <v>0</v>
      </c>
      <c r="H203" s="1202"/>
      <c r="I203" s="1202">
        <v>0</v>
      </c>
      <c r="J203" s="1202"/>
      <c r="K203" s="1202">
        <v>0</v>
      </c>
      <c r="L203" s="1202"/>
      <c r="M203" s="1202">
        <f>ROUND(SUM(O203)-SUM(K203),2)</f>
        <v>0</v>
      </c>
      <c r="N203" s="1202"/>
      <c r="O203" s="1202">
        <v>0</v>
      </c>
      <c r="P203" s="2926"/>
      <c r="Q203" s="2880"/>
    </row>
    <row r="204" spans="2:18" s="2867" customFormat="1" ht="15.5">
      <c r="B204" s="2875">
        <v>60901</v>
      </c>
      <c r="C204" s="2889"/>
      <c r="D204" s="2909" t="s">
        <v>884</v>
      </c>
      <c r="E204" s="2891"/>
      <c r="F204" s="2891"/>
      <c r="G204" s="1202">
        <v>0</v>
      </c>
      <c r="H204" s="1202"/>
      <c r="I204" s="1202">
        <v>0</v>
      </c>
      <c r="J204" s="1202"/>
      <c r="K204" s="1202">
        <v>0</v>
      </c>
      <c r="L204" s="1202"/>
      <c r="M204" s="1202">
        <f>ROUND(SUM(O204)-SUM(K204),2)</f>
        <v>0</v>
      </c>
      <c r="N204" s="1202"/>
      <c r="O204" s="1202">
        <v>0</v>
      </c>
      <c r="P204" s="2926"/>
      <c r="Q204" s="2880" t="s">
        <v>14</v>
      </c>
    </row>
    <row r="205" spans="2:18" s="2867" customFormat="1" ht="16" thickBot="1">
      <c r="B205" s="2913"/>
      <c r="C205" s="2869"/>
      <c r="D205" s="2870" t="s">
        <v>666</v>
      </c>
      <c r="E205" s="2884"/>
      <c r="F205" s="2884"/>
      <c r="G205" s="1566">
        <f>ROUND(SUM(G203:G204),2)</f>
        <v>0</v>
      </c>
      <c r="H205" s="1456"/>
      <c r="I205" s="1569">
        <f>ROUND(SUM(I203:I204),2)</f>
        <v>0</v>
      </c>
      <c r="J205" s="1456"/>
      <c r="K205" s="1569">
        <f>ROUND(SUM(K203:K204),2)</f>
        <v>0</v>
      </c>
      <c r="L205" s="1456"/>
      <c r="M205" s="1204">
        <f>ROUND(SUM(M203:M204),2)</f>
        <v>0</v>
      </c>
      <c r="N205" s="1456"/>
      <c r="O205" s="1569">
        <f>ROUND(SUM(O203:O204),2)</f>
        <v>0</v>
      </c>
      <c r="P205" s="2887"/>
      <c r="Q205" s="2880"/>
    </row>
    <row r="206" spans="2:18" s="2867" customFormat="1" ht="16" thickTop="1">
      <c r="B206" s="2913"/>
      <c r="C206" s="2927"/>
      <c r="D206" s="2927"/>
      <c r="E206" s="2928"/>
      <c r="F206" s="2928"/>
      <c r="G206" s="1202"/>
      <c r="H206" s="2905"/>
      <c r="I206" s="2140"/>
      <c r="J206" s="2905"/>
      <c r="K206" s="2140"/>
      <c r="L206" s="2905"/>
      <c r="M206" s="1202"/>
      <c r="N206" s="2905"/>
      <c r="O206" s="2140"/>
      <c r="P206" s="2881"/>
      <c r="Q206" s="2880"/>
    </row>
    <row r="207" spans="2:18" s="2867" customFormat="1" ht="15.5">
      <c r="B207" s="2913"/>
      <c r="C207" s="2898"/>
      <c r="D207" s="2870" t="s">
        <v>667</v>
      </c>
      <c r="E207" s="2904"/>
      <c r="F207" s="2904"/>
      <c r="G207" s="1202"/>
      <c r="H207" s="2905"/>
      <c r="I207" s="2140"/>
      <c r="J207" s="2905"/>
      <c r="K207" s="2140"/>
      <c r="L207" s="2905"/>
      <c r="M207" s="1205"/>
      <c r="N207" s="2929"/>
      <c r="O207" s="2140"/>
      <c r="P207" s="2917"/>
      <c r="Q207" s="2880"/>
    </row>
    <row r="208" spans="2:18" s="2867" customFormat="1" ht="15.5">
      <c r="B208" s="2875">
        <v>50318</v>
      </c>
      <c r="C208" s="2899"/>
      <c r="D208" s="2911" t="s">
        <v>668</v>
      </c>
      <c r="E208" s="2874"/>
      <c r="F208" s="2874"/>
      <c r="G208" s="1202">
        <v>1098830.9099999999</v>
      </c>
      <c r="H208" s="1202"/>
      <c r="I208" s="1202">
        <v>1124270.7</v>
      </c>
      <c r="J208" s="1202"/>
      <c r="K208" s="1202">
        <v>1209303.6299999999</v>
      </c>
      <c r="L208" s="1202"/>
      <c r="M208" s="1202">
        <f>ROUND(SUM(O208)-SUM(K208),2)</f>
        <v>6124.48</v>
      </c>
      <c r="N208" s="1202"/>
      <c r="O208" s="1202">
        <v>1215428.1100000001</v>
      </c>
      <c r="P208" s="2926"/>
      <c r="Q208" s="2880"/>
    </row>
    <row r="209" spans="2:17" s="2867" customFormat="1" ht="15.5">
      <c r="B209" s="2875">
        <v>50327</v>
      </c>
      <c r="C209" s="2899"/>
      <c r="D209" s="2911" t="s">
        <v>1170</v>
      </c>
      <c r="E209" s="2874"/>
      <c r="F209" s="2874"/>
      <c r="G209" s="1202">
        <v>306403.28999999998</v>
      </c>
      <c r="H209" s="1202"/>
      <c r="I209" s="1202">
        <v>310080.93</v>
      </c>
      <c r="J209" s="1202"/>
      <c r="K209" s="1202">
        <v>322747.92</v>
      </c>
      <c r="L209" s="1202"/>
      <c r="M209" s="1202">
        <f>ROUND(SUM(O209)-SUM(K209),2)</f>
        <v>3515.6</v>
      </c>
      <c r="N209" s="1202"/>
      <c r="O209" s="1202">
        <v>326263.52</v>
      </c>
      <c r="P209" s="2926"/>
      <c r="Q209" s="2880"/>
    </row>
    <row r="210" spans="2:17" s="2867" customFormat="1" ht="16" thickBot="1">
      <c r="B210" s="2930"/>
      <c r="C210" s="2869"/>
      <c r="D210" s="2882" t="s">
        <v>669</v>
      </c>
      <c r="E210" s="2871"/>
      <c r="F210" s="2871"/>
      <c r="G210" s="1566">
        <f>ROUND(SUM(G208:G209),2)</f>
        <v>1405234.2</v>
      </c>
      <c r="H210" s="1456"/>
      <c r="I210" s="2931">
        <f>ROUND(SUM(I208:I209),2)</f>
        <v>1434351.63</v>
      </c>
      <c r="J210" s="1456"/>
      <c r="K210" s="2931">
        <f>ROUND(SUM(K208:K209),2)</f>
        <v>1532051.55</v>
      </c>
      <c r="L210" s="1456"/>
      <c r="M210" s="1474">
        <f>ROUND(SUM(M208:M209),2)</f>
        <v>9640.08</v>
      </c>
      <c r="N210" s="1456"/>
      <c r="O210" s="3587">
        <f>ROUND(SUM(O208:O209),2)</f>
        <v>1541691.63</v>
      </c>
      <c r="P210" s="2902"/>
      <c r="Q210" s="2880"/>
    </row>
    <row r="211" spans="2:17" s="2867" customFormat="1" ht="16" thickTop="1">
      <c r="B211" s="2899"/>
      <c r="C211" s="2899"/>
      <c r="D211" s="2932"/>
      <c r="E211" s="2874"/>
      <c r="F211" s="2874"/>
      <c r="G211" s="1475"/>
      <c r="H211" s="1475"/>
      <c r="I211" s="2933"/>
      <c r="J211" s="1475"/>
      <c r="K211" s="2933"/>
      <c r="L211" s="1475"/>
      <c r="M211" s="1475"/>
      <c r="N211" s="1475"/>
      <c r="O211" s="2140"/>
      <c r="P211" s="2924"/>
      <c r="Q211" s="2880"/>
    </row>
    <row r="212" spans="2:17" s="2867" customFormat="1" ht="15.5">
      <c r="B212" s="2868"/>
      <c r="C212" s="2869"/>
      <c r="D212" s="2870" t="s">
        <v>219</v>
      </c>
      <c r="E212" s="2871"/>
      <c r="F212" s="2871"/>
      <c r="G212" s="2905"/>
      <c r="H212" s="2905"/>
      <c r="I212" s="2906"/>
      <c r="J212" s="2905"/>
      <c r="K212" s="2906"/>
      <c r="L212" s="2905"/>
      <c r="M212" s="1473"/>
      <c r="N212" s="1473"/>
      <c r="O212" s="3586"/>
      <c r="P212" s="2874"/>
      <c r="Q212" s="2880"/>
    </row>
    <row r="213" spans="2:17" s="2867" customFormat="1" ht="15.5">
      <c r="B213" s="2875">
        <v>55001</v>
      </c>
      <c r="C213" s="2899"/>
      <c r="D213" s="2911" t="s">
        <v>1478</v>
      </c>
      <c r="E213" s="2874"/>
      <c r="F213" s="2874"/>
      <c r="G213" s="1202">
        <v>0</v>
      </c>
      <c r="H213" s="1202"/>
      <c r="I213" s="1202">
        <v>0</v>
      </c>
      <c r="J213" s="1202"/>
      <c r="K213" s="1202">
        <v>0</v>
      </c>
      <c r="L213" s="1202"/>
      <c r="M213" s="1202">
        <f t="shared" ref="M213:M256" si="19">ROUND(SUM(O213)-SUM(K213),2)</f>
        <v>0</v>
      </c>
      <c r="N213" s="1202"/>
      <c r="O213" s="1202">
        <v>0</v>
      </c>
      <c r="P213" s="2896"/>
      <c r="Q213" s="2880"/>
    </row>
    <row r="214" spans="2:17" s="2867" customFormat="1" ht="15.5">
      <c r="B214" s="2875">
        <v>55002</v>
      </c>
      <c r="C214" s="2899"/>
      <c r="D214" s="2911" t="s">
        <v>1479</v>
      </c>
      <c r="E214" s="2874"/>
      <c r="F214" s="2874"/>
      <c r="G214" s="1202">
        <v>0</v>
      </c>
      <c r="H214" s="1202"/>
      <c r="I214" s="1202">
        <v>0</v>
      </c>
      <c r="J214" s="1202"/>
      <c r="K214" s="1202">
        <v>0</v>
      </c>
      <c r="L214" s="1202"/>
      <c r="M214" s="1202">
        <f>ROUND(SUM(O214)-SUM(K214),2)</f>
        <v>0</v>
      </c>
      <c r="N214" s="1202"/>
      <c r="O214" s="1202">
        <v>0</v>
      </c>
      <c r="P214" s="2896"/>
      <c r="Q214" s="2880"/>
    </row>
    <row r="215" spans="2:17" s="2867" customFormat="1" ht="15.5">
      <c r="B215" s="2875">
        <v>55003</v>
      </c>
      <c r="C215" s="2889"/>
      <c r="D215" s="2911" t="s">
        <v>670</v>
      </c>
      <c r="E215" s="2891"/>
      <c r="F215" s="2891"/>
      <c r="G215" s="1202">
        <v>813075.59</v>
      </c>
      <c r="H215" s="1202"/>
      <c r="I215" s="1202">
        <v>787671.65</v>
      </c>
      <c r="J215" s="1202"/>
      <c r="K215" s="1202">
        <v>768506.35</v>
      </c>
      <c r="L215" s="1202"/>
      <c r="M215" s="1202">
        <f t="shared" si="19"/>
        <v>47789.08</v>
      </c>
      <c r="N215" s="1202"/>
      <c r="O215" s="1202">
        <v>816295.43</v>
      </c>
      <c r="P215" s="2887"/>
      <c r="Q215" s="2880"/>
    </row>
    <row r="216" spans="2:17" s="2867" customFormat="1" ht="15.5">
      <c r="B216" s="2875">
        <v>55004</v>
      </c>
      <c r="C216" s="2910"/>
      <c r="D216" s="2934" t="s">
        <v>671</v>
      </c>
      <c r="E216" s="2895"/>
      <c r="F216" s="2895"/>
      <c r="G216" s="1202">
        <v>0</v>
      </c>
      <c r="H216" s="1202"/>
      <c r="I216" s="1202">
        <v>0</v>
      </c>
      <c r="J216" s="1202"/>
      <c r="K216" s="1202">
        <v>0</v>
      </c>
      <c r="L216" s="1202"/>
      <c r="M216" s="1202">
        <f t="shared" si="19"/>
        <v>0</v>
      </c>
      <c r="N216" s="1202"/>
      <c r="O216" s="1202">
        <v>0</v>
      </c>
      <c r="P216" s="2887"/>
      <c r="Q216" s="2880"/>
    </row>
    <row r="217" spans="2:17" s="2867" customFormat="1" ht="15.5">
      <c r="B217" s="2875">
        <v>55005</v>
      </c>
      <c r="C217" s="2910"/>
      <c r="D217" s="2934" t="s">
        <v>1480</v>
      </c>
      <c r="E217" s="2895"/>
      <c r="F217" s="2895"/>
      <c r="G217" s="1202">
        <v>0</v>
      </c>
      <c r="H217" s="1202"/>
      <c r="I217" s="1202">
        <v>0</v>
      </c>
      <c r="J217" s="1202"/>
      <c r="K217" s="1202">
        <v>0</v>
      </c>
      <c r="L217" s="1202"/>
      <c r="M217" s="1202">
        <f>ROUND(SUM(O217)-SUM(K217),2)</f>
        <v>0</v>
      </c>
      <c r="N217" s="1202"/>
      <c r="O217" s="1202">
        <v>0</v>
      </c>
      <c r="P217" s="2887"/>
      <c r="Q217" s="2880"/>
    </row>
    <row r="218" spans="2:17" s="2867" customFormat="1" ht="15.5">
      <c r="B218" s="2875">
        <v>55006</v>
      </c>
      <c r="C218" s="2910"/>
      <c r="D218" s="2911" t="s">
        <v>672</v>
      </c>
      <c r="E218" s="2895"/>
      <c r="F218" s="2895"/>
      <c r="G218" s="1202">
        <v>37385.82</v>
      </c>
      <c r="H218" s="1202"/>
      <c r="I218" s="1202">
        <v>38144.9</v>
      </c>
      <c r="J218" s="1202"/>
      <c r="K218" s="1202">
        <v>31016.05</v>
      </c>
      <c r="L218" s="1202"/>
      <c r="M218" s="1202">
        <f t="shared" si="19"/>
        <v>-102.65</v>
      </c>
      <c r="N218" s="1202"/>
      <c r="O218" s="1202">
        <v>30913.4</v>
      </c>
      <c r="P218" s="2887"/>
      <c r="Q218" s="2880"/>
    </row>
    <row r="219" spans="2:17" s="2867" customFormat="1" ht="15.5">
      <c r="B219" s="2875">
        <v>55007</v>
      </c>
      <c r="C219" s="2907"/>
      <c r="D219" s="2876" t="s">
        <v>673</v>
      </c>
      <c r="E219" s="2908"/>
      <c r="F219" s="2908"/>
      <c r="G219" s="1202">
        <v>2063927.81</v>
      </c>
      <c r="H219" s="1202"/>
      <c r="I219" s="1202">
        <v>1979716.44</v>
      </c>
      <c r="J219" s="1202"/>
      <c r="K219" s="1202">
        <v>1632826.56</v>
      </c>
      <c r="L219" s="1202"/>
      <c r="M219" s="1202">
        <f t="shared" si="19"/>
        <v>-189675.88</v>
      </c>
      <c r="N219" s="1202"/>
      <c r="O219" s="1202">
        <v>1443150.68</v>
      </c>
      <c r="P219" s="2896"/>
      <c r="Q219" s="2880"/>
    </row>
    <row r="220" spans="2:17" s="2867" customFormat="1" ht="15.5">
      <c r="B220" s="2875">
        <v>55008</v>
      </c>
      <c r="C220" s="2889"/>
      <c r="D220" s="2912" t="s">
        <v>674</v>
      </c>
      <c r="E220" s="2891"/>
      <c r="F220" s="2891"/>
      <c r="G220" s="1202">
        <v>15703765.460000001</v>
      </c>
      <c r="H220" s="1202"/>
      <c r="I220" s="1202">
        <v>17551098.23</v>
      </c>
      <c r="J220" s="1202"/>
      <c r="K220" s="1202">
        <v>20098744.629999999</v>
      </c>
      <c r="L220" s="1202"/>
      <c r="M220" s="1202">
        <f t="shared" si="19"/>
        <v>-2873613.32</v>
      </c>
      <c r="N220" s="1202"/>
      <c r="O220" s="1202">
        <v>17225131.309999999</v>
      </c>
      <c r="P220" s="2902"/>
      <c r="Q220" s="2880"/>
    </row>
    <row r="221" spans="2:17" s="2867" customFormat="1" ht="15.5">
      <c r="B221" s="2875">
        <v>55009</v>
      </c>
      <c r="C221" s="2889"/>
      <c r="D221" s="2912" t="s">
        <v>1481</v>
      </c>
      <c r="E221" s="2891"/>
      <c r="F221" s="2891"/>
      <c r="G221" s="1202">
        <v>0</v>
      </c>
      <c r="H221" s="1202"/>
      <c r="I221" s="1202">
        <v>0</v>
      </c>
      <c r="J221" s="1202"/>
      <c r="K221" s="1202">
        <v>0</v>
      </c>
      <c r="L221" s="1202"/>
      <c r="M221" s="1202">
        <f>ROUND(SUM(O221)-SUM(K221),2)</f>
        <v>0</v>
      </c>
      <c r="N221" s="1202"/>
      <c r="O221" s="1202">
        <v>0</v>
      </c>
      <c r="P221" s="2902"/>
      <c r="Q221" s="2880"/>
    </row>
    <row r="222" spans="2:17" s="2867" customFormat="1" ht="15.5">
      <c r="B222" s="2830">
        <v>55010</v>
      </c>
      <c r="C222" s="2889"/>
      <c r="D222" s="2911" t="s">
        <v>885</v>
      </c>
      <c r="E222" s="2891"/>
      <c r="F222" s="2891"/>
      <c r="G222" s="1202">
        <v>8935869.2100000009</v>
      </c>
      <c r="H222" s="1202"/>
      <c r="I222" s="1202">
        <v>10510266.85</v>
      </c>
      <c r="J222" s="1202"/>
      <c r="K222" s="1202">
        <v>11830107.48</v>
      </c>
      <c r="L222" s="1202"/>
      <c r="M222" s="1202">
        <f t="shared" si="19"/>
        <v>-1532619.92</v>
      </c>
      <c r="N222" s="1202"/>
      <c r="O222" s="1202">
        <v>10297487.560000001</v>
      </c>
      <c r="P222" s="2874"/>
      <c r="Q222" s="2880"/>
    </row>
    <row r="223" spans="2:17" s="2867" customFormat="1" ht="15.5">
      <c r="B223" s="2875">
        <v>55011</v>
      </c>
      <c r="C223" s="2907"/>
      <c r="D223" s="2876" t="s">
        <v>675</v>
      </c>
      <c r="E223" s="2908"/>
      <c r="F223" s="2908"/>
      <c r="G223" s="1202">
        <v>5174413.72</v>
      </c>
      <c r="H223" s="1202"/>
      <c r="I223" s="1202">
        <v>3667416.52</v>
      </c>
      <c r="J223" s="1202"/>
      <c r="K223" s="1202">
        <v>5326626.4400000004</v>
      </c>
      <c r="L223" s="1202"/>
      <c r="M223" s="1202">
        <f t="shared" si="19"/>
        <v>-5326626.4400000004</v>
      </c>
      <c r="N223" s="1202"/>
      <c r="O223" s="1202">
        <v>0</v>
      </c>
      <c r="P223" s="2887"/>
      <c r="Q223" s="2880"/>
    </row>
    <row r="224" spans="2:17" s="2867" customFormat="1" ht="15.5">
      <c r="B224" s="2875">
        <v>55012</v>
      </c>
      <c r="C224" s="2889"/>
      <c r="D224" s="2890" t="s">
        <v>676</v>
      </c>
      <c r="E224" s="2891"/>
      <c r="F224" s="2891"/>
      <c r="G224" s="1202">
        <v>176261.32</v>
      </c>
      <c r="H224" s="1202"/>
      <c r="I224" s="1202">
        <v>197672.32000000001</v>
      </c>
      <c r="J224" s="1202"/>
      <c r="K224" s="1202">
        <v>186169.06</v>
      </c>
      <c r="L224" s="1202"/>
      <c r="M224" s="1202">
        <f t="shared" si="19"/>
        <v>-4264</v>
      </c>
      <c r="N224" s="1202"/>
      <c r="O224" s="1202">
        <v>181905.06</v>
      </c>
      <c r="P224" s="2887"/>
      <c r="Q224" s="2880"/>
    </row>
    <row r="225" spans="2:17" s="2867" customFormat="1" ht="15.5">
      <c r="B225" s="2875">
        <v>55013</v>
      </c>
      <c r="C225" s="2889"/>
      <c r="D225" s="2890" t="s">
        <v>1482</v>
      </c>
      <c r="E225" s="2891"/>
      <c r="F225" s="2891"/>
      <c r="G225" s="1202">
        <v>0</v>
      </c>
      <c r="H225" s="1202"/>
      <c r="I225" s="1202">
        <v>0</v>
      </c>
      <c r="J225" s="1202"/>
      <c r="K225" s="1202">
        <v>0</v>
      </c>
      <c r="L225" s="1202"/>
      <c r="M225" s="1202">
        <f>ROUND(SUM(O225)-SUM(K225),2)</f>
        <v>0</v>
      </c>
      <c r="N225" s="1202"/>
      <c r="O225" s="1202">
        <v>0</v>
      </c>
      <c r="P225" s="2887"/>
      <c r="Q225" s="2880"/>
    </row>
    <row r="226" spans="2:17" s="2867" customFormat="1" ht="15.5">
      <c r="B226" s="2875">
        <v>55014</v>
      </c>
      <c r="C226" s="2889"/>
      <c r="D226" s="2890" t="s">
        <v>1483</v>
      </c>
      <c r="E226" s="2891"/>
      <c r="F226" s="2891"/>
      <c r="G226" s="1202">
        <v>0</v>
      </c>
      <c r="H226" s="1202"/>
      <c r="I226" s="1202">
        <v>0</v>
      </c>
      <c r="J226" s="1202"/>
      <c r="K226" s="1202">
        <v>0</v>
      </c>
      <c r="L226" s="1202"/>
      <c r="M226" s="1202">
        <f>ROUND(SUM(O226)-SUM(K226),2)</f>
        <v>0</v>
      </c>
      <c r="N226" s="1202"/>
      <c r="O226" s="1202">
        <v>0</v>
      </c>
      <c r="P226" s="2887"/>
      <c r="Q226" s="2880"/>
    </row>
    <row r="227" spans="2:17" s="2867" customFormat="1" ht="15.5">
      <c r="B227" s="2875">
        <v>55015</v>
      </c>
      <c r="C227" s="2889"/>
      <c r="D227" s="2890" t="s">
        <v>1484</v>
      </c>
      <c r="E227" s="2891"/>
      <c r="F227" s="2891"/>
      <c r="G227" s="1202">
        <v>0</v>
      </c>
      <c r="H227" s="1202"/>
      <c r="I227" s="1202">
        <v>0</v>
      </c>
      <c r="J227" s="1202"/>
      <c r="K227" s="1202">
        <v>0</v>
      </c>
      <c r="L227" s="1202"/>
      <c r="M227" s="1202">
        <f>ROUND(SUM(O227)-SUM(K227),2)</f>
        <v>0</v>
      </c>
      <c r="N227" s="1202"/>
      <c r="O227" s="1202">
        <v>0</v>
      </c>
      <c r="P227" s="2887"/>
      <c r="Q227" s="2880"/>
    </row>
    <row r="228" spans="2:17" s="2867" customFormat="1" ht="15.5">
      <c r="B228" s="2875">
        <v>55016</v>
      </c>
      <c r="C228" s="2889"/>
      <c r="D228" s="2909" t="s">
        <v>677</v>
      </c>
      <c r="E228" s="2891"/>
      <c r="F228" s="2891"/>
      <c r="G228" s="1202">
        <v>1030741.49</v>
      </c>
      <c r="H228" s="1202"/>
      <c r="I228" s="1202">
        <v>1208006.69</v>
      </c>
      <c r="J228" s="1202"/>
      <c r="K228" s="1202">
        <v>1142959.02</v>
      </c>
      <c r="L228" s="1202"/>
      <c r="M228" s="1202">
        <f t="shared" si="19"/>
        <v>-35749.65</v>
      </c>
      <c r="N228" s="1202"/>
      <c r="O228" s="1202">
        <v>1107209.3700000001</v>
      </c>
      <c r="P228" s="2887"/>
      <c r="Q228" s="2880"/>
    </row>
    <row r="229" spans="2:17" s="2867" customFormat="1" ht="15.5">
      <c r="B229" s="2875">
        <v>55017</v>
      </c>
      <c r="C229" s="2889"/>
      <c r="D229" s="2909" t="s">
        <v>678</v>
      </c>
      <c r="E229" s="2891"/>
      <c r="F229" s="2891"/>
      <c r="G229" s="1202">
        <v>234618.33</v>
      </c>
      <c r="H229" s="1202"/>
      <c r="I229" s="1202">
        <v>265411.69</v>
      </c>
      <c r="J229" s="1202"/>
      <c r="K229" s="1202">
        <v>333864.57</v>
      </c>
      <c r="L229" s="1202"/>
      <c r="M229" s="1202">
        <f t="shared" si="19"/>
        <v>-76615.009999999995</v>
      </c>
      <c r="N229" s="1202"/>
      <c r="O229" s="1202">
        <v>257249.56</v>
      </c>
      <c r="P229" s="2887"/>
      <c r="Q229" s="2880"/>
    </row>
    <row r="230" spans="2:17" s="2867" customFormat="1" ht="15.5">
      <c r="B230" s="2875">
        <v>55018</v>
      </c>
      <c r="C230" s="2889"/>
      <c r="D230" s="2909" t="s">
        <v>1485</v>
      </c>
      <c r="E230" s="2891"/>
      <c r="F230" s="2891"/>
      <c r="G230" s="1202">
        <v>0</v>
      </c>
      <c r="H230" s="1202"/>
      <c r="I230" s="1202">
        <v>0</v>
      </c>
      <c r="J230" s="1202"/>
      <c r="K230" s="1202">
        <v>0</v>
      </c>
      <c r="L230" s="1202"/>
      <c r="M230" s="1202">
        <f>ROUND(SUM(O230)-SUM(K230),2)</f>
        <v>0</v>
      </c>
      <c r="N230" s="1202"/>
      <c r="O230" s="1202">
        <v>0</v>
      </c>
      <c r="P230" s="2887"/>
      <c r="Q230" s="2880"/>
    </row>
    <row r="231" spans="2:17" s="2867" customFormat="1" ht="15.5">
      <c r="B231" s="2875">
        <v>55019</v>
      </c>
      <c r="C231" s="2889"/>
      <c r="D231" s="2909" t="s">
        <v>1486</v>
      </c>
      <c r="E231" s="2891"/>
      <c r="F231" s="2891"/>
      <c r="G231" s="1202">
        <v>0</v>
      </c>
      <c r="H231" s="1202"/>
      <c r="I231" s="1202">
        <v>0</v>
      </c>
      <c r="J231" s="1202"/>
      <c r="K231" s="1202">
        <v>0</v>
      </c>
      <c r="L231" s="1202"/>
      <c r="M231" s="1202">
        <f>ROUND(SUM(O231)-SUM(K231),2)</f>
        <v>0</v>
      </c>
      <c r="N231" s="1202"/>
      <c r="O231" s="1202">
        <v>0</v>
      </c>
      <c r="P231" s="2887"/>
      <c r="Q231" s="2880"/>
    </row>
    <row r="232" spans="2:17" s="2867" customFormat="1" ht="15.5">
      <c r="B232" s="2875">
        <v>55020</v>
      </c>
      <c r="C232" s="2889"/>
      <c r="D232" s="2909" t="s">
        <v>679</v>
      </c>
      <c r="E232" s="2891"/>
      <c r="F232" s="2891"/>
      <c r="G232" s="1202">
        <v>76090731.730000004</v>
      </c>
      <c r="H232" s="1202"/>
      <c r="I232" s="1202">
        <v>80918696.849999994</v>
      </c>
      <c r="J232" s="1202"/>
      <c r="K232" s="1202">
        <v>79200309.390000001</v>
      </c>
      <c r="L232" s="1202"/>
      <c r="M232" s="1202">
        <f t="shared" si="19"/>
        <v>716299.52</v>
      </c>
      <c r="N232" s="1202"/>
      <c r="O232" s="1202">
        <v>79916608.909999996</v>
      </c>
      <c r="P232" s="2887"/>
      <c r="Q232" s="2880"/>
    </row>
    <row r="233" spans="2:17" s="2867" customFormat="1" ht="15.5">
      <c r="B233" s="2875">
        <v>55021</v>
      </c>
      <c r="C233" s="2889"/>
      <c r="D233" s="2909" t="s">
        <v>680</v>
      </c>
      <c r="E233" s="2891"/>
      <c r="F233" s="2891"/>
      <c r="G233" s="1202">
        <v>11386522.310000001</v>
      </c>
      <c r="H233" s="1202"/>
      <c r="I233" s="1202">
        <v>11679592.140000001</v>
      </c>
      <c r="J233" s="1202"/>
      <c r="K233" s="1202">
        <v>12037834.529999999</v>
      </c>
      <c r="L233" s="1202"/>
      <c r="M233" s="1202">
        <f t="shared" si="19"/>
        <v>425507.21</v>
      </c>
      <c r="N233" s="1202"/>
      <c r="O233" s="1202">
        <v>12463341.74</v>
      </c>
      <c r="P233" s="2887"/>
      <c r="Q233" s="2880"/>
    </row>
    <row r="234" spans="2:17" s="2867" customFormat="1" ht="15.5">
      <c r="B234" s="2875">
        <v>55022</v>
      </c>
      <c r="C234" s="2889"/>
      <c r="D234" s="2890" t="s">
        <v>681</v>
      </c>
      <c r="E234" s="2891"/>
      <c r="F234" s="2891"/>
      <c r="G234" s="1202">
        <v>7182232.4299999997</v>
      </c>
      <c r="H234" s="1202"/>
      <c r="I234" s="1202">
        <v>9418091.8000000007</v>
      </c>
      <c r="J234" s="1202"/>
      <c r="K234" s="1202">
        <v>11525013.029999999</v>
      </c>
      <c r="L234" s="1202"/>
      <c r="M234" s="1202">
        <f t="shared" si="19"/>
        <v>3307506.96</v>
      </c>
      <c r="N234" s="1202"/>
      <c r="O234" s="1202">
        <v>14832519.99</v>
      </c>
      <c r="P234" s="2887"/>
      <c r="Q234" s="2880"/>
    </row>
    <row r="235" spans="2:17" s="2867" customFormat="1" ht="15.5">
      <c r="B235" s="2875">
        <v>55052</v>
      </c>
      <c r="C235" s="2889"/>
      <c r="D235" s="2890" t="s">
        <v>682</v>
      </c>
      <c r="E235" s="2891"/>
      <c r="F235" s="2891"/>
      <c r="G235" s="1202">
        <v>70888.259999999995</v>
      </c>
      <c r="H235" s="1202"/>
      <c r="I235" s="1202">
        <v>129280.63</v>
      </c>
      <c r="J235" s="1202"/>
      <c r="K235" s="1202">
        <v>0</v>
      </c>
      <c r="L235" s="1202"/>
      <c r="M235" s="1202">
        <f t="shared" si="19"/>
        <v>0</v>
      </c>
      <c r="N235" s="1202"/>
      <c r="O235" s="1202">
        <v>0</v>
      </c>
      <c r="P235" s="2887"/>
      <c r="Q235" s="2880"/>
    </row>
    <row r="236" spans="2:17" s="2867" customFormat="1" ht="15.5">
      <c r="B236" s="2875">
        <v>55053</v>
      </c>
      <c r="C236" s="2889"/>
      <c r="D236" s="2909" t="s">
        <v>683</v>
      </c>
      <c r="E236" s="2891"/>
      <c r="F236" s="2891"/>
      <c r="G236" s="1202">
        <v>0</v>
      </c>
      <c r="H236" s="1202"/>
      <c r="I236" s="1202">
        <v>0</v>
      </c>
      <c r="J236" s="1202"/>
      <c r="K236" s="1202">
        <v>0</v>
      </c>
      <c r="L236" s="1202"/>
      <c r="M236" s="1202">
        <f t="shared" si="19"/>
        <v>0</v>
      </c>
      <c r="N236" s="1202"/>
      <c r="O236" s="1202">
        <v>0</v>
      </c>
      <c r="P236" s="2887"/>
      <c r="Q236" s="2880"/>
    </row>
    <row r="237" spans="2:17" s="2867" customFormat="1" ht="15.5">
      <c r="B237" s="3844">
        <v>55055</v>
      </c>
      <c r="C237" s="3845"/>
      <c r="D237" s="3846" t="s">
        <v>1410</v>
      </c>
      <c r="E237" s="2891"/>
      <c r="F237" s="2891"/>
      <c r="G237" s="1202">
        <v>0</v>
      </c>
      <c r="H237" s="1202"/>
      <c r="I237" s="1202">
        <v>0</v>
      </c>
      <c r="J237" s="1202"/>
      <c r="K237" s="1202">
        <v>0</v>
      </c>
      <c r="L237" s="1202"/>
      <c r="M237" s="1202">
        <f t="shared" ref="M237" si="20">ROUND(SUM(O237)-SUM(K237),2)</f>
        <v>0</v>
      </c>
      <c r="N237" s="1202"/>
      <c r="O237" s="1202">
        <v>0</v>
      </c>
      <c r="P237" s="2887"/>
      <c r="Q237" s="2880"/>
    </row>
    <row r="238" spans="2:17" s="2867" customFormat="1" ht="15.5">
      <c r="B238" s="2875">
        <v>55056</v>
      </c>
      <c r="C238" s="2889"/>
      <c r="D238" s="2909" t="s">
        <v>684</v>
      </c>
      <c r="E238" s="2891"/>
      <c r="F238" s="2891"/>
      <c r="G238" s="1202">
        <v>0</v>
      </c>
      <c r="H238" s="1202"/>
      <c r="I238" s="1202">
        <v>0</v>
      </c>
      <c r="J238" s="1202"/>
      <c r="K238" s="1202">
        <v>0</v>
      </c>
      <c r="L238" s="1202"/>
      <c r="M238" s="1202">
        <f t="shared" si="19"/>
        <v>0</v>
      </c>
      <c r="N238" s="1202"/>
      <c r="O238" s="1202">
        <v>0</v>
      </c>
      <c r="P238" s="2887"/>
      <c r="Q238" s="2880"/>
    </row>
    <row r="239" spans="2:17" s="2867" customFormat="1" ht="15.5">
      <c r="B239" s="2875">
        <v>55057</v>
      </c>
      <c r="C239" s="2889"/>
      <c r="D239" s="2909" t="s">
        <v>685</v>
      </c>
      <c r="E239" s="2891"/>
      <c r="F239" s="2891"/>
      <c r="G239" s="1202">
        <v>15764.35</v>
      </c>
      <c r="H239" s="1202"/>
      <c r="I239" s="1202">
        <v>5463.94</v>
      </c>
      <c r="J239" s="1202"/>
      <c r="K239" s="1202">
        <v>1336235.1499999999</v>
      </c>
      <c r="L239" s="1202"/>
      <c r="M239" s="1202">
        <f t="shared" si="19"/>
        <v>-1264812.22</v>
      </c>
      <c r="N239" s="1202"/>
      <c r="O239" s="1202">
        <v>71422.929999999993</v>
      </c>
      <c r="P239" s="2887"/>
      <c r="Q239" s="2880"/>
    </row>
    <row r="240" spans="2:17" s="2867" customFormat="1" ht="15.5">
      <c r="B240" s="2875">
        <v>55058</v>
      </c>
      <c r="C240" s="2889"/>
      <c r="D240" s="2909" t="s">
        <v>686</v>
      </c>
      <c r="E240" s="2891"/>
      <c r="F240" s="2891"/>
      <c r="G240" s="1202">
        <v>4359448.91</v>
      </c>
      <c r="H240" s="1202"/>
      <c r="I240" s="1202">
        <v>4659969.05</v>
      </c>
      <c r="J240" s="1202"/>
      <c r="K240" s="1202">
        <v>4928906.95</v>
      </c>
      <c r="L240" s="1202"/>
      <c r="M240" s="1202">
        <f t="shared" si="19"/>
        <v>360265.79</v>
      </c>
      <c r="N240" s="1202"/>
      <c r="O240" s="1202">
        <v>5289172.74</v>
      </c>
      <c r="P240" s="2887"/>
      <c r="Q240" s="2880"/>
    </row>
    <row r="241" spans="2:17" s="2867" customFormat="1" ht="15.5">
      <c r="B241" s="2875">
        <v>55059</v>
      </c>
      <c r="C241" s="2889"/>
      <c r="D241" s="2911" t="s">
        <v>1173</v>
      </c>
      <c r="E241" s="2891"/>
      <c r="F241" s="2891"/>
      <c r="G241" s="1202">
        <v>11296993.68</v>
      </c>
      <c r="H241" s="1202"/>
      <c r="I241" s="1202">
        <v>11269402.91</v>
      </c>
      <c r="J241" s="1202"/>
      <c r="K241" s="1202">
        <v>11314556.85</v>
      </c>
      <c r="L241" s="1202"/>
      <c r="M241" s="1202">
        <f t="shared" ref="M241" si="21">ROUND(SUM(O241)-SUM(K241),2)</f>
        <v>150359.76999999999</v>
      </c>
      <c r="N241" s="1202"/>
      <c r="O241" s="1202">
        <v>11464916.619999999</v>
      </c>
      <c r="P241" s="2887"/>
      <c r="Q241" s="2880"/>
    </row>
    <row r="242" spans="2:17" s="2867" customFormat="1" ht="15.5">
      <c r="B242" s="2875">
        <v>55060</v>
      </c>
      <c r="C242" s="2889"/>
      <c r="D242" s="2890" t="s">
        <v>687</v>
      </c>
      <c r="E242" s="2891"/>
      <c r="F242" s="2891"/>
      <c r="G242" s="1202">
        <v>3656916.87</v>
      </c>
      <c r="H242" s="1202"/>
      <c r="I242" s="1202">
        <v>1428528.32</v>
      </c>
      <c r="J242" s="1202"/>
      <c r="K242" s="1202">
        <v>2175502.42</v>
      </c>
      <c r="L242" s="1202"/>
      <c r="M242" s="1202">
        <f t="shared" si="19"/>
        <v>-2175502.42</v>
      </c>
      <c r="N242" s="1202"/>
      <c r="O242" s="1202">
        <v>0</v>
      </c>
      <c r="P242" s="2887"/>
      <c r="Q242" s="2880"/>
    </row>
    <row r="243" spans="2:17" s="2867" customFormat="1" ht="15.5">
      <c r="B243" s="2875">
        <v>55061</v>
      </c>
      <c r="C243" s="2889"/>
      <c r="D243" s="2890" t="s">
        <v>688</v>
      </c>
      <c r="E243" s="2891"/>
      <c r="F243" s="2891"/>
      <c r="G243" s="1202">
        <v>0</v>
      </c>
      <c r="H243" s="1202"/>
      <c r="I243" s="1202">
        <v>0</v>
      </c>
      <c r="J243" s="1202"/>
      <c r="K243" s="1202">
        <v>0</v>
      </c>
      <c r="L243" s="1202"/>
      <c r="M243" s="1202">
        <f t="shared" si="19"/>
        <v>0</v>
      </c>
      <c r="N243" s="1202"/>
      <c r="O243" s="1202">
        <v>0</v>
      </c>
      <c r="P243" s="2887"/>
      <c r="Q243" s="2880"/>
    </row>
    <row r="244" spans="2:17" s="2867" customFormat="1" ht="15.5">
      <c r="B244" s="2875">
        <v>55062</v>
      </c>
      <c r="C244" s="2889"/>
      <c r="D244" s="2909" t="s">
        <v>689</v>
      </c>
      <c r="E244" s="2891"/>
      <c r="F244" s="2891"/>
      <c r="G244" s="1202">
        <v>90994888.510000005</v>
      </c>
      <c r="H244" s="1202"/>
      <c r="I244" s="1202">
        <v>90994888.510000005</v>
      </c>
      <c r="J244" s="1202"/>
      <c r="K244" s="1202">
        <v>89972432.049999997</v>
      </c>
      <c r="L244" s="1202"/>
      <c r="M244" s="1202">
        <f t="shared" si="19"/>
        <v>-400468.31</v>
      </c>
      <c r="N244" s="1202"/>
      <c r="O244" s="1202">
        <v>89571963.739999995</v>
      </c>
      <c r="P244" s="2887"/>
      <c r="Q244" s="2880"/>
    </row>
    <row r="245" spans="2:17" s="2867" customFormat="1" ht="15.5">
      <c r="B245" s="2875">
        <v>55066</v>
      </c>
      <c r="C245" s="2889"/>
      <c r="D245" s="2909" t="s">
        <v>690</v>
      </c>
      <c r="E245" s="2891"/>
      <c r="F245" s="2891"/>
      <c r="G245" s="1202">
        <v>1261584.27</v>
      </c>
      <c r="H245" s="1202"/>
      <c r="I245" s="1202">
        <v>1261584.27</v>
      </c>
      <c r="J245" s="1202"/>
      <c r="K245" s="1202">
        <v>1261584.27</v>
      </c>
      <c r="L245" s="1202"/>
      <c r="M245" s="1202">
        <f t="shared" si="19"/>
        <v>0</v>
      </c>
      <c r="N245" s="1202"/>
      <c r="O245" s="1202">
        <v>1261584.27</v>
      </c>
      <c r="P245" s="2887"/>
      <c r="Q245" s="2880"/>
    </row>
    <row r="246" spans="2:17" s="2867" customFormat="1" ht="15.5">
      <c r="B246" s="2875">
        <v>55067</v>
      </c>
      <c r="C246" s="2889"/>
      <c r="D246" s="2909" t="s">
        <v>691</v>
      </c>
      <c r="E246" s="2891"/>
      <c r="F246" s="2891"/>
      <c r="G246" s="1202">
        <v>73887.5</v>
      </c>
      <c r="H246" s="1202"/>
      <c r="I246" s="1202">
        <v>60178.03</v>
      </c>
      <c r="J246" s="1202"/>
      <c r="K246" s="1202">
        <v>50953.68</v>
      </c>
      <c r="L246" s="1202"/>
      <c r="M246" s="1202">
        <f t="shared" si="19"/>
        <v>14222.35</v>
      </c>
      <c r="N246" s="1202"/>
      <c r="O246" s="1202">
        <v>65176.03</v>
      </c>
      <c r="P246" s="2887"/>
      <c r="Q246" s="2880"/>
    </row>
    <row r="247" spans="2:17" s="2867" customFormat="1" ht="15.5">
      <c r="B247" s="2875">
        <v>55069</v>
      </c>
      <c r="C247" s="2889"/>
      <c r="D247" s="2909" t="s">
        <v>692</v>
      </c>
      <c r="E247" s="2891"/>
      <c r="F247" s="2891"/>
      <c r="G247" s="1202">
        <v>88661165.730000004</v>
      </c>
      <c r="H247" s="1202"/>
      <c r="I247" s="1202">
        <v>88424616.489999995</v>
      </c>
      <c r="J247" s="1202"/>
      <c r="K247" s="1202">
        <v>87233540.489999995</v>
      </c>
      <c r="L247" s="1202"/>
      <c r="M247" s="1202">
        <f t="shared" si="19"/>
        <v>10339468.609999999</v>
      </c>
      <c r="N247" s="1202"/>
      <c r="O247" s="1202">
        <v>97573009.099999994</v>
      </c>
      <c r="P247" s="2887"/>
      <c r="Q247" s="2880"/>
    </row>
    <row r="248" spans="2:17" s="2867" customFormat="1" ht="15.5">
      <c r="B248" s="2913">
        <v>55071</v>
      </c>
      <c r="C248" s="2889"/>
      <c r="D248" s="2909" t="s">
        <v>864</v>
      </c>
      <c r="E248" s="2891"/>
      <c r="F248" s="2891"/>
      <c r="G248" s="1202">
        <v>976318.57</v>
      </c>
      <c r="H248" s="1202"/>
      <c r="I248" s="1202">
        <v>1242037.8999999999</v>
      </c>
      <c r="J248" s="1202"/>
      <c r="K248" s="1202">
        <v>1589170.54</v>
      </c>
      <c r="L248" s="1202"/>
      <c r="M248" s="1202">
        <f t="shared" si="19"/>
        <v>280622.12</v>
      </c>
      <c r="N248" s="1202"/>
      <c r="O248" s="1202">
        <v>1869792.66</v>
      </c>
      <c r="P248" s="2887"/>
      <c r="Q248" s="2880"/>
    </row>
    <row r="249" spans="2:17" s="2867" customFormat="1" ht="15.5">
      <c r="B249" s="2875">
        <v>55072</v>
      </c>
      <c r="C249" s="2889"/>
      <c r="D249" s="2909" t="s">
        <v>865</v>
      </c>
      <c r="E249" s="2891"/>
      <c r="F249" s="2891"/>
      <c r="G249" s="1202">
        <v>0</v>
      </c>
      <c r="H249" s="1202"/>
      <c r="I249" s="1202">
        <v>429957.28</v>
      </c>
      <c r="J249" s="1202"/>
      <c r="K249" s="1202">
        <v>133104.21</v>
      </c>
      <c r="L249" s="1202"/>
      <c r="M249" s="1202">
        <f t="shared" si="19"/>
        <v>1728247.12</v>
      </c>
      <c r="N249" s="1202"/>
      <c r="O249" s="1202">
        <v>1861351.33</v>
      </c>
      <c r="P249" s="2887"/>
      <c r="Q249" s="2880"/>
    </row>
    <row r="250" spans="2:17" s="2867" customFormat="1" ht="15.5">
      <c r="B250" s="2913">
        <v>55073</v>
      </c>
      <c r="C250" s="2889"/>
      <c r="D250" s="2909" t="s">
        <v>866</v>
      </c>
      <c r="E250" s="2891"/>
      <c r="F250" s="2891"/>
      <c r="G250" s="1202">
        <v>0</v>
      </c>
      <c r="H250" s="1202"/>
      <c r="I250" s="1202">
        <v>0</v>
      </c>
      <c r="J250" s="1202"/>
      <c r="K250" s="1202">
        <v>0</v>
      </c>
      <c r="L250" s="1202"/>
      <c r="M250" s="1202">
        <f t="shared" si="19"/>
        <v>0</v>
      </c>
      <c r="N250" s="1202"/>
      <c r="O250" s="1202">
        <v>0</v>
      </c>
      <c r="P250" s="2887"/>
      <c r="Q250" s="2880"/>
    </row>
    <row r="251" spans="2:17" s="2867" customFormat="1" ht="15.5">
      <c r="B251" s="2913">
        <v>55074</v>
      </c>
      <c r="C251" s="2889"/>
      <c r="D251" s="2909" t="s">
        <v>1208</v>
      </c>
      <c r="E251" s="2891"/>
      <c r="F251" s="2891"/>
      <c r="G251" s="1202">
        <v>0</v>
      </c>
      <c r="H251" s="1202"/>
      <c r="I251" s="1202">
        <v>0</v>
      </c>
      <c r="J251" s="1202"/>
      <c r="K251" s="1202">
        <v>0</v>
      </c>
      <c r="L251" s="1202"/>
      <c r="M251" s="1202">
        <f t="shared" ref="M251" si="22">ROUND(SUM(O251)-SUM(K251),2)</f>
        <v>0</v>
      </c>
      <c r="N251" s="1202"/>
      <c r="O251" s="1202">
        <v>0</v>
      </c>
      <c r="P251" s="2887"/>
      <c r="Q251" s="2880"/>
    </row>
    <row r="252" spans="2:17" s="2867" customFormat="1" ht="15.5">
      <c r="B252" s="2875">
        <v>55251</v>
      </c>
      <c r="C252" s="2889"/>
      <c r="D252" s="2890" t="s">
        <v>693</v>
      </c>
      <c r="E252" s="2891"/>
      <c r="F252" s="2891"/>
      <c r="G252" s="1202">
        <v>9484210.3300000001</v>
      </c>
      <c r="H252" s="1202"/>
      <c r="I252" s="1202">
        <v>9801046.3699999992</v>
      </c>
      <c r="J252" s="1202"/>
      <c r="K252" s="1202">
        <v>9709257.6799999997</v>
      </c>
      <c r="L252" s="1202"/>
      <c r="M252" s="1202">
        <f t="shared" si="19"/>
        <v>-53374.48</v>
      </c>
      <c r="N252" s="1202"/>
      <c r="O252" s="1202">
        <v>9655883.1999999993</v>
      </c>
      <c r="P252" s="2887"/>
      <c r="Q252" s="2880"/>
    </row>
    <row r="253" spans="2:17" s="2867" customFormat="1" ht="15.5">
      <c r="B253" s="2875">
        <v>55252</v>
      </c>
      <c r="C253" s="2889"/>
      <c r="D253" s="2909" t="s">
        <v>694</v>
      </c>
      <c r="E253" s="2891"/>
      <c r="F253" s="2891"/>
      <c r="G253" s="1202">
        <v>38999924.75</v>
      </c>
      <c r="H253" s="1202"/>
      <c r="I253" s="1202">
        <v>43652120.659999996</v>
      </c>
      <c r="J253" s="1202"/>
      <c r="K253" s="1202">
        <v>46107414.030000001</v>
      </c>
      <c r="L253" s="1202"/>
      <c r="M253" s="1202">
        <f t="shared" si="19"/>
        <v>4147864.15</v>
      </c>
      <c r="N253" s="1202"/>
      <c r="O253" s="1202">
        <v>50255278.18</v>
      </c>
      <c r="P253" s="2887"/>
      <c r="Q253" s="2880"/>
    </row>
    <row r="254" spans="2:17" s="2867" customFormat="1" ht="15.5">
      <c r="B254" s="2875">
        <v>55300</v>
      </c>
      <c r="C254" s="2889"/>
      <c r="D254" s="2890" t="s">
        <v>695</v>
      </c>
      <c r="E254" s="2891"/>
      <c r="F254" s="2891"/>
      <c r="G254" s="1202">
        <v>10175309.439999999</v>
      </c>
      <c r="H254" s="1202"/>
      <c r="I254" s="1202">
        <v>5132914.4400000004</v>
      </c>
      <c r="J254" s="1202"/>
      <c r="K254" s="1202">
        <v>0</v>
      </c>
      <c r="L254" s="1202"/>
      <c r="M254" s="1202">
        <f t="shared" si="19"/>
        <v>0</v>
      </c>
      <c r="N254" s="1202"/>
      <c r="O254" s="1202">
        <v>0</v>
      </c>
      <c r="P254" s="2887"/>
      <c r="Q254" s="2880"/>
    </row>
    <row r="255" spans="2:17" s="2867" customFormat="1" ht="15.5">
      <c r="B255" s="2875">
        <v>55301</v>
      </c>
      <c r="C255" s="2889"/>
      <c r="D255" s="2890" t="s">
        <v>696</v>
      </c>
      <c r="E255" s="2891"/>
      <c r="F255" s="2891"/>
      <c r="G255" s="1202">
        <v>9131455.8000000007</v>
      </c>
      <c r="H255" s="1202"/>
      <c r="I255" s="1202">
        <v>9276141.0199999996</v>
      </c>
      <c r="J255" s="1202"/>
      <c r="K255" s="1202">
        <v>9385117.6400000006</v>
      </c>
      <c r="L255" s="1202"/>
      <c r="M255" s="1202">
        <f t="shared" si="19"/>
        <v>164696.39000000001</v>
      </c>
      <c r="N255" s="1202"/>
      <c r="O255" s="1202">
        <v>9549814.0299999993</v>
      </c>
      <c r="P255" s="2887"/>
      <c r="Q255" s="2880"/>
    </row>
    <row r="256" spans="2:17" s="2867" customFormat="1" ht="15.5">
      <c r="B256" s="2875">
        <v>55350</v>
      </c>
      <c r="C256" s="2899"/>
      <c r="D256" s="2890" t="s">
        <v>697</v>
      </c>
      <c r="E256" s="2874"/>
      <c r="F256" s="2874"/>
      <c r="G256" s="1202">
        <v>28098676.34</v>
      </c>
      <c r="H256" s="1202"/>
      <c r="I256" s="1202">
        <v>26762384.170000002</v>
      </c>
      <c r="J256" s="1202"/>
      <c r="K256" s="1202">
        <v>28734740.91</v>
      </c>
      <c r="L256" s="1202"/>
      <c r="M256" s="1202">
        <f t="shared" si="19"/>
        <v>695644.07</v>
      </c>
      <c r="N256" s="1202"/>
      <c r="O256" s="1202">
        <v>29430384.98</v>
      </c>
      <c r="P256" s="2887"/>
      <c r="Q256" s="2880"/>
    </row>
    <row r="257" spans="1:17" s="2867" customFormat="1" ht="16" thickBot="1">
      <c r="B257" s="2935"/>
      <c r="C257" s="2869"/>
      <c r="D257" s="2870" t="s">
        <v>698</v>
      </c>
      <c r="E257" s="2871"/>
      <c r="F257" s="2871"/>
      <c r="G257" s="1566">
        <f>ROUND(SUM(G213:G256),2)</f>
        <v>426086978.52999997</v>
      </c>
      <c r="H257" s="1456"/>
      <c r="I257" s="1566">
        <f>ROUND(SUM(I213:I256),2)</f>
        <v>432752300.06999999</v>
      </c>
      <c r="J257" s="1456"/>
      <c r="K257" s="1566">
        <f>ROUND(SUM(K213:K256),2)</f>
        <v>438046493.98000002</v>
      </c>
      <c r="L257" s="1456"/>
      <c r="M257" s="1204">
        <f>ROUND(SUM(M213:M256),2)</f>
        <v>8445068.8399999999</v>
      </c>
      <c r="N257" s="1456"/>
      <c r="O257" s="1566">
        <f>ROUND(SUM(O213:O256),2)</f>
        <v>446491562.81999999</v>
      </c>
      <c r="P257" s="2887"/>
      <c r="Q257" s="2880"/>
    </row>
    <row r="258" spans="1:17" s="2867" customFormat="1" ht="16" thickTop="1">
      <c r="B258" s="2914"/>
      <c r="C258" s="2899"/>
      <c r="D258" s="2936"/>
      <c r="E258" s="2874"/>
      <c r="F258" s="2874"/>
      <c r="G258" s="1202"/>
      <c r="H258" s="2905"/>
      <c r="I258" s="1202"/>
      <c r="J258" s="2905"/>
      <c r="K258" s="1202"/>
      <c r="L258" s="2905"/>
      <c r="M258" s="1202"/>
      <c r="N258" s="2905"/>
      <c r="O258" s="1202"/>
      <c r="P258" s="2887"/>
      <c r="Q258" s="2880"/>
    </row>
    <row r="259" spans="1:17" s="2867" customFormat="1" ht="16" thickBot="1">
      <c r="B259" s="2914"/>
      <c r="C259" s="2899"/>
      <c r="D259" s="2936"/>
      <c r="E259" s="2874"/>
      <c r="F259" s="2874"/>
      <c r="G259" s="1202"/>
      <c r="H259" s="2905"/>
      <c r="I259" s="1202"/>
      <c r="J259" s="2905"/>
      <c r="K259" s="1202"/>
      <c r="L259" s="2905"/>
      <c r="M259" s="1202"/>
      <c r="N259" s="2905"/>
      <c r="O259" s="1202"/>
      <c r="P259" s="2887"/>
      <c r="Q259" s="2880"/>
    </row>
    <row r="260" spans="1:17" s="2867" customFormat="1" ht="16" thickBot="1">
      <c r="B260" s="2935"/>
      <c r="C260" s="2937"/>
      <c r="D260" s="2938" t="s">
        <v>699</v>
      </c>
      <c r="E260" s="2871"/>
      <c r="F260" s="2939"/>
      <c r="G260" s="1567">
        <f>ROUND(SUM(G11+G102+G186+G200+G205+G210+G257),2)</f>
        <v>5286745032.3000002</v>
      </c>
      <c r="H260" s="1458"/>
      <c r="I260" s="1567">
        <f>ROUND(SUM(I11+I102+I186+I200+I205+I210+I257),2)</f>
        <v>4828645910.5799999</v>
      </c>
      <c r="J260" s="1458"/>
      <c r="K260" s="1567">
        <f>ROUND(SUM(K11+K102+K186+K200+K205+K210+K257),2)</f>
        <v>5063727341.5299997</v>
      </c>
      <c r="L260" s="1458"/>
      <c r="M260" s="1457">
        <f>ROUND(SUM(M11+M102+M186+M200+M205+M210+M257),2)</f>
        <v>1609975922.0799999</v>
      </c>
      <c r="N260" s="1458"/>
      <c r="O260" s="1567">
        <f>ROUND(SUM(O11+O102+O186+O200+O205+O210+O257),2)</f>
        <v>6673703263.6099997</v>
      </c>
      <c r="P260" s="2887"/>
      <c r="Q260" s="2880"/>
    </row>
    <row r="261" spans="1:17" s="2867" customFormat="1" ht="15.5">
      <c r="B261" s="2914"/>
      <c r="C261" s="2899"/>
      <c r="D261" s="2936"/>
      <c r="E261" s="2874"/>
      <c r="F261" s="2874"/>
      <c r="G261" s="2503"/>
      <c r="H261" s="1473"/>
      <c r="I261" s="1203"/>
      <c r="J261" s="1473"/>
      <c r="K261" s="1203"/>
      <c r="L261" s="1473"/>
      <c r="M261" s="1206"/>
      <c r="N261" s="2899"/>
      <c r="O261" s="1206"/>
      <c r="P261" s="2887"/>
    </row>
    <row r="262" spans="1:17" s="2867" customFormat="1" ht="15.5">
      <c r="B262" s="3609" t="s">
        <v>775</v>
      </c>
      <c r="C262" s="2146" t="s">
        <v>1411</v>
      </c>
      <c r="D262" s="2940"/>
      <c r="E262" s="2941"/>
      <c r="F262" s="2941"/>
      <c r="G262" s="1203"/>
      <c r="H262" s="2942"/>
      <c r="I262" s="1207"/>
      <c r="J262" s="2943"/>
      <c r="K262" s="1207"/>
      <c r="L262" s="2944"/>
      <c r="M262" s="1207"/>
      <c r="N262" s="2944"/>
      <c r="O262" s="1207"/>
      <c r="P262" s="2887"/>
    </row>
    <row r="263" spans="1:17" s="2867" customFormat="1" ht="15.5">
      <c r="B263" s="2945"/>
      <c r="C263" s="799" t="s">
        <v>700</v>
      </c>
      <c r="D263" s="2946"/>
      <c r="E263" s="799"/>
      <c r="F263" s="799"/>
      <c r="G263" s="1207"/>
      <c r="H263" s="2947"/>
      <c r="I263" s="1207"/>
      <c r="J263" s="2944"/>
      <c r="K263" s="1207"/>
      <c r="L263" s="2944"/>
      <c r="M263" s="1207"/>
      <c r="N263" s="2944"/>
      <c r="O263" s="1207"/>
      <c r="P263" s="2887"/>
    </row>
    <row r="264" spans="1:17" s="2867" customFormat="1" ht="15.5">
      <c r="B264" s="2945"/>
      <c r="C264" s="799" t="s">
        <v>701</v>
      </c>
      <c r="D264" s="2948"/>
      <c r="E264" s="799"/>
      <c r="F264" s="799"/>
      <c r="G264" s="1207"/>
      <c r="H264" s="2947"/>
      <c r="I264" s="1208"/>
      <c r="J264" s="2949"/>
      <c r="K264" s="1208"/>
      <c r="L264" s="2949"/>
      <c r="M264" s="1208"/>
      <c r="N264" s="2949"/>
      <c r="O264" s="1208"/>
      <c r="P264" s="2887"/>
    </row>
    <row r="265" spans="1:17" s="2867" customFormat="1" ht="15.5">
      <c r="B265" s="2945"/>
      <c r="C265" s="799" t="s">
        <v>702</v>
      </c>
      <c r="D265" s="2948"/>
      <c r="E265" s="799"/>
      <c r="F265" s="799"/>
      <c r="G265" s="1208"/>
      <c r="H265" s="2947"/>
      <c r="I265" s="1208"/>
      <c r="J265" s="2949"/>
      <c r="K265" s="1208"/>
      <c r="L265" s="2949"/>
      <c r="M265" s="1208"/>
      <c r="N265" s="2949"/>
      <c r="O265" s="1208"/>
      <c r="P265" s="2887"/>
    </row>
    <row r="266" spans="1:17" s="2867" customFormat="1" ht="15.5">
      <c r="B266" s="2945"/>
      <c r="C266" s="799" t="s">
        <v>703</v>
      </c>
      <c r="D266" s="2948"/>
      <c r="E266" s="799"/>
      <c r="F266" s="799"/>
      <c r="G266" s="1208"/>
      <c r="H266" s="2947"/>
      <c r="I266" s="2950"/>
      <c r="J266" s="2951"/>
      <c r="K266" s="2950"/>
      <c r="L266" s="2951"/>
      <c r="M266" s="2950"/>
      <c r="N266" s="2951"/>
      <c r="O266" s="2950"/>
      <c r="P266" s="2887"/>
    </row>
    <row r="267" spans="1:17" s="2867" customFormat="1" ht="15.5">
      <c r="B267" s="2952"/>
      <c r="C267" s="799" t="s">
        <v>1161</v>
      </c>
      <c r="D267" s="2948"/>
      <c r="E267" s="799"/>
      <c r="F267" s="799"/>
      <c r="G267" s="2950"/>
      <c r="H267" s="2947"/>
      <c r="I267" s="2950"/>
      <c r="J267" s="2951"/>
      <c r="K267" s="2950"/>
      <c r="L267" s="2951"/>
      <c r="M267" s="2950"/>
      <c r="N267" s="2951"/>
      <c r="O267" s="2950"/>
      <c r="P267" s="2896"/>
    </row>
    <row r="268" spans="1:17" s="2867" customFormat="1" ht="15.5">
      <c r="B268" s="2952"/>
      <c r="C268" s="2947" t="s">
        <v>776</v>
      </c>
      <c r="D268" s="2953"/>
      <c r="E268" s="2947"/>
      <c r="F268" s="2947"/>
      <c r="G268" s="2950"/>
      <c r="H268" s="2947"/>
      <c r="I268" s="2950"/>
      <c r="J268" s="2951"/>
      <c r="K268" s="2950"/>
      <c r="L268" s="2951"/>
      <c r="M268" s="2950"/>
      <c r="N268" s="2951"/>
      <c r="O268" s="2950"/>
      <c r="P268" s="2887"/>
    </row>
    <row r="269" spans="1:17" s="2867" customFormat="1" ht="15.5">
      <c r="B269" s="2954" t="s">
        <v>112</v>
      </c>
      <c r="C269" s="2941" t="s">
        <v>1141</v>
      </c>
      <c r="D269" s="2940"/>
      <c r="E269" s="2947"/>
      <c r="F269" s="2947"/>
      <c r="G269" s="2950"/>
      <c r="H269" s="2947"/>
      <c r="I269" s="2955"/>
      <c r="J269" s="2956"/>
      <c r="K269" s="2955"/>
      <c r="L269" s="2957"/>
      <c r="M269" s="2958"/>
      <c r="N269" s="2959"/>
      <c r="O269" s="3588"/>
      <c r="P269" s="2874"/>
    </row>
    <row r="270" spans="1:17" s="2867" customFormat="1" ht="15.5">
      <c r="B270" s="2960"/>
      <c r="C270" s="2955" t="s">
        <v>1142</v>
      </c>
      <c r="D270" s="798"/>
      <c r="E270" s="2947"/>
      <c r="F270" s="2947"/>
      <c r="G270" s="2955"/>
      <c r="H270" s="2947"/>
      <c r="I270" s="2955"/>
      <c r="J270" s="2956"/>
      <c r="K270" s="2955"/>
      <c r="L270" s="2957"/>
      <c r="M270" s="2958"/>
      <c r="N270" s="2959"/>
      <c r="O270" s="3588"/>
      <c r="P270" s="2918"/>
    </row>
    <row r="271" spans="1:17" s="2867" customFormat="1" ht="15.5">
      <c r="B271" s="2961" t="s">
        <v>774</v>
      </c>
      <c r="C271" s="2952" t="s">
        <v>886</v>
      </c>
      <c r="D271" s="798"/>
      <c r="E271" s="2962"/>
      <c r="F271" s="1424"/>
      <c r="G271" s="2955"/>
      <c r="H271" s="801"/>
      <c r="I271" s="799"/>
      <c r="J271" s="802"/>
      <c r="K271" s="799"/>
      <c r="L271" s="801"/>
      <c r="M271" s="800"/>
      <c r="N271" s="803"/>
      <c r="O271" s="2941"/>
      <c r="P271" s="2866"/>
    </row>
    <row r="272" spans="1:17" s="2867" customFormat="1" ht="15.5">
      <c r="A272" s="2867" t="s">
        <v>14</v>
      </c>
      <c r="B272" s="2963" t="s">
        <v>14</v>
      </c>
      <c r="C272" s="2146" t="s">
        <v>14</v>
      </c>
      <c r="D272" s="2868"/>
      <c r="E272" s="799"/>
      <c r="F272" s="799"/>
      <c r="G272" s="2955"/>
      <c r="H272" s="2868"/>
      <c r="I272" s="2868"/>
      <c r="J272" s="2868"/>
      <c r="K272" s="2868"/>
      <c r="L272" s="2868"/>
      <c r="M272" s="2868"/>
      <c r="N272" s="2868"/>
      <c r="O272" s="3589"/>
      <c r="P272" s="2947"/>
    </row>
    <row r="273" spans="2:16" s="2867" customFormat="1" ht="15.5">
      <c r="C273" s="2964"/>
      <c r="D273" s="2918"/>
      <c r="E273" s="2965"/>
      <c r="F273" s="2965"/>
      <c r="G273" s="2868"/>
      <c r="H273" s="2949"/>
      <c r="I273" s="2918"/>
      <c r="J273" s="2949"/>
      <c r="K273" s="2918"/>
      <c r="L273" s="2949"/>
      <c r="M273" s="2918"/>
      <c r="N273" s="2949"/>
      <c r="O273" s="3059"/>
      <c r="P273" s="2947"/>
    </row>
    <row r="274" spans="2:16" s="2867" customFormat="1" ht="15.5">
      <c r="C274" s="2964"/>
      <c r="D274" s="2918"/>
      <c r="E274" s="799"/>
      <c r="F274" s="799"/>
      <c r="G274" s="2966"/>
      <c r="H274" s="2966"/>
      <c r="I274" s="2966"/>
      <c r="J274" s="2966"/>
      <c r="K274" s="2966"/>
      <c r="L274" s="2966"/>
      <c r="M274" s="2966"/>
      <c r="N274" s="2966"/>
      <c r="O274" s="3590"/>
      <c r="P274" s="2947"/>
    </row>
    <row r="275" spans="2:16" s="2867" customFormat="1" ht="15.5">
      <c r="B275" s="2964"/>
      <c r="C275" s="2964"/>
      <c r="D275" s="2918"/>
      <c r="E275" s="799"/>
      <c r="F275" s="799"/>
      <c r="G275" s="2967"/>
      <c r="H275" s="2967"/>
      <c r="I275" s="2967"/>
      <c r="J275" s="2967"/>
      <c r="K275" s="2967"/>
      <c r="L275" s="2967"/>
      <c r="M275" s="2918"/>
      <c r="N275" s="2949"/>
      <c r="O275" s="3059"/>
      <c r="P275" s="2947"/>
    </row>
    <row r="276" spans="2:16" s="2867" customFormat="1" ht="15.5">
      <c r="B276" s="2964"/>
      <c r="C276" s="2964"/>
      <c r="D276" s="2918"/>
      <c r="E276" s="799"/>
      <c r="F276" s="799"/>
      <c r="G276" s="2967"/>
      <c r="H276" s="2967"/>
      <c r="I276" s="2967"/>
      <c r="J276" s="2967"/>
      <c r="K276" s="2967"/>
      <c r="L276" s="2967"/>
      <c r="M276" s="2918"/>
      <c r="N276" s="2949"/>
      <c r="O276" s="3059"/>
      <c r="P276" s="2947"/>
    </row>
    <row r="277" spans="2:16" s="2867" customFormat="1" ht="15.5">
      <c r="B277" s="2968"/>
      <c r="C277" s="2947"/>
      <c r="D277" s="2918"/>
      <c r="E277" s="799"/>
      <c r="F277" s="799"/>
      <c r="G277" s="2967"/>
      <c r="H277" s="2969"/>
      <c r="I277" s="2947"/>
      <c r="J277" s="2969"/>
      <c r="K277" s="2947"/>
      <c r="L277" s="2949"/>
      <c r="M277" s="2918"/>
      <c r="N277" s="2949"/>
      <c r="O277" s="3059"/>
      <c r="P277" s="2963"/>
    </row>
    <row r="278" spans="2:16" s="2867" customFormat="1" ht="15.5">
      <c r="B278" s="2970"/>
      <c r="C278" s="2947"/>
      <c r="D278" s="2918"/>
      <c r="E278" s="799"/>
      <c r="F278" s="799"/>
      <c r="G278" s="2947"/>
      <c r="H278" s="2969"/>
      <c r="I278" s="2947"/>
      <c r="J278" s="2969"/>
      <c r="K278" s="2947"/>
      <c r="L278" s="2949"/>
      <c r="M278" s="2918"/>
      <c r="N278" s="2949"/>
      <c r="O278" s="3059"/>
      <c r="P278" s="2963"/>
    </row>
    <row r="279" spans="2:16" s="2867" customFormat="1" ht="15.5">
      <c r="B279" s="2970"/>
      <c r="C279" s="2947"/>
      <c r="D279" s="2918"/>
      <c r="E279" s="799"/>
      <c r="F279" s="799"/>
      <c r="G279" s="2947"/>
      <c r="H279" s="2969"/>
      <c r="I279" s="2947"/>
      <c r="J279" s="2969"/>
      <c r="K279" s="2947"/>
      <c r="L279" s="2949"/>
      <c r="M279" s="798"/>
      <c r="N279" s="2944"/>
      <c r="O279" s="3591"/>
      <c r="P279" s="2963"/>
    </row>
    <row r="280" spans="2:16" s="2867" customFormat="1" ht="15.5">
      <c r="B280" s="2963"/>
      <c r="C280" s="2947"/>
      <c r="D280" s="2918"/>
      <c r="E280" s="2503"/>
      <c r="F280" s="2969"/>
      <c r="G280" s="2947"/>
      <c r="H280" s="2969"/>
      <c r="I280" s="2947"/>
      <c r="J280" s="2969"/>
      <c r="K280" s="2947"/>
      <c r="L280" s="2944"/>
      <c r="M280" s="798"/>
      <c r="N280" s="2944"/>
      <c r="O280" s="3591"/>
      <c r="P280" s="2963"/>
    </row>
    <row r="281" spans="2:16" s="2867" customFormat="1" ht="15.5">
      <c r="B281" s="2963"/>
      <c r="C281" s="2947"/>
      <c r="D281" s="2918"/>
      <c r="E281" s="2503"/>
      <c r="F281" s="2969"/>
      <c r="G281" s="2947"/>
      <c r="H281" s="2969"/>
      <c r="I281" s="2947"/>
      <c r="J281" s="2969"/>
      <c r="K281" s="2947"/>
      <c r="L281" s="2944"/>
      <c r="M281" s="2971"/>
      <c r="N281" s="2972"/>
      <c r="O281" s="2971"/>
      <c r="P281" s="2963"/>
    </row>
    <row r="282" spans="2:16" ht="15.5">
      <c r="B282" s="2963"/>
      <c r="C282" s="2947"/>
      <c r="D282" s="2918"/>
      <c r="E282" s="2503"/>
      <c r="F282" s="2969"/>
      <c r="G282" s="2947"/>
      <c r="H282" s="2969"/>
      <c r="I282" s="2947"/>
      <c r="J282" s="2969"/>
      <c r="K282" s="2947"/>
      <c r="L282" s="2944"/>
      <c r="M282" s="798"/>
      <c r="N282" s="2944"/>
      <c r="O282" s="3591"/>
      <c r="P282" s="2963"/>
    </row>
    <row r="283" spans="2:16" ht="15.5">
      <c r="G283" s="2947"/>
    </row>
    <row r="288" spans="2:16" ht="15.5">
      <c r="C288" s="2840"/>
      <c r="D288" s="2839"/>
      <c r="E288" s="2840"/>
      <c r="F288" s="2841"/>
      <c r="H288" s="2976"/>
      <c r="I288" s="2977"/>
      <c r="J288" s="2976"/>
      <c r="K288" s="2977"/>
      <c r="L288" s="2976"/>
    </row>
    <row r="289" spans="3:12" ht="15.5">
      <c r="C289" s="2840"/>
      <c r="D289" s="2839"/>
      <c r="E289" s="2840"/>
      <c r="F289" s="2841"/>
      <c r="G289" s="2977"/>
      <c r="H289" s="2976"/>
      <c r="I289" s="2977"/>
      <c r="J289" s="2976"/>
      <c r="K289" s="2977"/>
      <c r="L289" s="2976"/>
    </row>
    <row r="290" spans="3:12" ht="15.5">
      <c r="C290" s="2840"/>
      <c r="D290" s="2839"/>
      <c r="E290" s="2840"/>
      <c r="F290" s="2841"/>
      <c r="G290" s="2977"/>
      <c r="H290" s="2976"/>
      <c r="I290" s="2977"/>
      <c r="J290" s="2976"/>
      <c r="K290" s="2977"/>
      <c r="L290" s="2976"/>
    </row>
    <row r="291" spans="3:12" ht="15.5">
      <c r="C291" s="2840"/>
      <c r="D291" s="2839"/>
      <c r="E291" s="2840"/>
      <c r="F291" s="2841"/>
      <c r="G291" s="2977"/>
      <c r="H291" s="2976"/>
      <c r="I291" s="2977"/>
      <c r="J291" s="2976"/>
      <c r="K291" s="2977"/>
      <c r="L291" s="2976"/>
    </row>
    <row r="292" spans="3:12" ht="15.5">
      <c r="C292" s="2840"/>
      <c r="D292" s="2839"/>
      <c r="E292" s="2840"/>
      <c r="F292" s="2841"/>
      <c r="G292" s="2977"/>
      <c r="H292" s="2976"/>
      <c r="I292" s="2977"/>
      <c r="J292" s="2976"/>
      <c r="K292" s="2977"/>
      <c r="L292" s="2976"/>
    </row>
    <row r="293" spans="3:12">
      <c r="G293" s="2977"/>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95" max="16383" man="1"/>
    <brk id="172" max="16383" man="1"/>
    <brk id="245" max="16383" man="1"/>
  </rowBreaks>
  <ignoredErrors>
    <ignoredError sqref="L11 N11 L205 N205 L210 N210 L257 N257 L260 N260 L12:N13 L103:N104 L187:N188 L201:N202 L206:N207 L211:N212 L258:N25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pageSetUpPr fitToPage="1"/>
  </sheetPr>
  <dimension ref="A1:AN94"/>
  <sheetViews>
    <sheetView showGridLines="0" zoomScale="80" zoomScaleNormal="80" workbookViewId="0"/>
  </sheetViews>
  <sheetFormatPr defaultColWidth="8.84375" defaultRowHeight="12.5"/>
  <cols>
    <col min="1" max="1" width="54.84375" style="479" customWidth="1"/>
    <col min="2" max="2" width="13.84375" style="1547" customWidth="1"/>
    <col min="3" max="3" width="1.84375" style="1547" customWidth="1"/>
    <col min="4" max="4" width="13.84375" style="1547" customWidth="1"/>
    <col min="5" max="5" width="1.84375" style="1546" customWidth="1"/>
    <col min="6" max="6" width="13.84375" style="1547" customWidth="1"/>
    <col min="7" max="7" width="1.84375" style="1546" customWidth="1"/>
    <col min="8" max="8" width="13.84375" style="1547" customWidth="1"/>
    <col min="9" max="9" width="1.84375" style="1546" customWidth="1"/>
    <col min="10" max="10" width="13.84375" style="1547" customWidth="1"/>
    <col min="11" max="11" width="1.84375" style="1547" customWidth="1"/>
    <col min="12" max="12" width="13.84375" style="1547" customWidth="1"/>
    <col min="13" max="13" width="1.84375" style="1546" customWidth="1"/>
    <col min="14" max="14" width="13.84375" style="1547" customWidth="1"/>
    <col min="15" max="15" width="1.84375" style="1546" customWidth="1"/>
    <col min="16" max="16" width="13.84375" style="1547" customWidth="1"/>
    <col min="17" max="17" width="1.84375" style="1546" customWidth="1"/>
    <col min="18" max="18" width="13.84375" style="1547" customWidth="1"/>
    <col min="19" max="19" width="1.84375" style="1546" customWidth="1"/>
    <col min="20" max="20" width="13.84375" style="1547" customWidth="1"/>
    <col min="21" max="21" width="1.84375" style="1546" customWidth="1"/>
    <col min="22" max="22" width="13.84375" style="1547" customWidth="1"/>
    <col min="23" max="23" width="1.84375" style="1546" customWidth="1"/>
    <col min="24" max="24" width="13.84375" style="1547" customWidth="1"/>
    <col min="25" max="25" width="1.84375" style="1546" customWidth="1"/>
    <col min="26" max="26" width="18.84375" style="404" customWidth="1"/>
    <col min="27" max="27" width="1.53515625" style="479" customWidth="1"/>
    <col min="28" max="28" width="18.84375" style="479" bestFit="1" customWidth="1"/>
    <col min="29" max="29" width="12.84375" style="479" bestFit="1" customWidth="1"/>
    <col min="30" max="16384" width="8.84375" style="479"/>
  </cols>
  <sheetData>
    <row r="1" spans="1:40" ht="15.5">
      <c r="A1" s="926" t="s">
        <v>882</v>
      </c>
      <c r="B1" s="1297"/>
      <c r="C1" s="1297"/>
      <c r="D1" s="1297"/>
      <c r="E1" s="1297"/>
      <c r="F1" s="1297"/>
      <c r="G1" s="1297"/>
      <c r="H1" s="1297"/>
      <c r="I1" s="1297"/>
      <c r="J1" s="1297"/>
      <c r="K1" s="1297"/>
      <c r="L1" s="1297"/>
      <c r="M1" s="1297"/>
      <c r="N1" s="1297"/>
      <c r="O1" s="1297"/>
      <c r="P1" s="1297"/>
      <c r="Q1" s="1297"/>
      <c r="R1" s="1297"/>
      <c r="S1" s="1297"/>
      <c r="T1" s="1297"/>
      <c r="U1" s="1297"/>
      <c r="V1" s="1297"/>
      <c r="W1" s="1297"/>
      <c r="X1" s="1297"/>
      <c r="Y1" s="1297"/>
      <c r="Z1" s="1297"/>
      <c r="AA1" s="1297"/>
      <c r="AB1" s="1297"/>
      <c r="AC1" s="1297"/>
      <c r="AD1" s="1297"/>
      <c r="AE1" s="1297"/>
      <c r="AF1" s="1297"/>
      <c r="AG1" s="1297"/>
    </row>
    <row r="2" spans="1:40" ht="15.5">
      <c r="A2" s="926"/>
      <c r="B2" s="1297"/>
      <c r="C2" s="1297"/>
      <c r="D2" s="1297"/>
      <c r="E2" s="1297"/>
      <c r="F2" s="1297"/>
      <c r="G2" s="1297"/>
      <c r="H2" s="1297"/>
      <c r="I2" s="1297"/>
      <c r="J2" s="1297"/>
      <c r="K2" s="1297"/>
      <c r="L2" s="1297"/>
      <c r="M2" s="1297"/>
      <c r="N2" s="1297"/>
      <c r="O2" s="1297"/>
      <c r="P2" s="1297"/>
      <c r="Q2" s="1297"/>
      <c r="R2" s="1297"/>
      <c r="S2" s="1297"/>
      <c r="T2" s="1297"/>
      <c r="U2" s="1297"/>
      <c r="V2" s="1297"/>
      <c r="W2" s="1297"/>
      <c r="X2" s="1297"/>
      <c r="Y2" s="1297"/>
      <c r="Z2" s="1297"/>
      <c r="AA2" s="1297"/>
      <c r="AB2" s="1297"/>
      <c r="AC2" s="1297"/>
      <c r="AD2" s="1297"/>
      <c r="AE2" s="1297"/>
      <c r="AF2" s="1297"/>
      <c r="AG2" s="1297"/>
    </row>
    <row r="3" spans="1:40" ht="24" customHeight="1">
      <c r="A3" s="805" t="s">
        <v>0</v>
      </c>
      <c r="B3" s="476"/>
      <c r="C3" s="476"/>
      <c r="D3" s="477"/>
      <c r="E3" s="478"/>
      <c r="F3" s="477"/>
      <c r="G3" s="478"/>
      <c r="H3" s="477"/>
      <c r="I3" s="478"/>
      <c r="K3" s="476"/>
      <c r="L3" s="403"/>
      <c r="M3" s="476"/>
      <c r="N3" s="477"/>
      <c r="O3" s="478"/>
      <c r="P3" s="477"/>
      <c r="Q3" s="478"/>
      <c r="R3" s="477"/>
      <c r="S3" s="478"/>
      <c r="T3" s="477"/>
      <c r="U3" s="478"/>
      <c r="V3" s="477"/>
      <c r="W3" s="478"/>
      <c r="X3" s="477"/>
      <c r="Y3" s="478"/>
      <c r="Z3" s="795" t="s">
        <v>557</v>
      </c>
      <c r="AA3" s="476"/>
      <c r="AC3" s="476"/>
      <c r="AE3" s="476"/>
    </row>
    <row r="4" spans="1:40" ht="16.5">
      <c r="A4" s="805" t="s">
        <v>1290</v>
      </c>
      <c r="B4" s="1298"/>
      <c r="C4" s="1298"/>
      <c r="D4" s="480"/>
      <c r="E4" s="478"/>
      <c r="F4" s="1298"/>
      <c r="G4" s="478"/>
      <c r="H4" s="1298"/>
      <c r="I4" s="478"/>
      <c r="J4" s="1298"/>
      <c r="K4" s="1298"/>
      <c r="L4" s="1298"/>
      <c r="M4" s="481"/>
      <c r="N4" s="1298"/>
      <c r="O4" s="478"/>
      <c r="P4" s="1298"/>
      <c r="Q4" s="478"/>
      <c r="R4" s="1298"/>
      <c r="S4" s="478"/>
      <c r="T4" s="1298"/>
      <c r="U4" s="478"/>
      <c r="V4" s="1298"/>
      <c r="W4" s="478"/>
      <c r="X4" s="1298"/>
      <c r="Y4" s="478"/>
      <c r="Z4" s="1299"/>
      <c r="AA4" s="482"/>
      <c r="AC4" s="476"/>
    </row>
    <row r="5" spans="1:40" ht="16.5">
      <c r="A5" s="806" t="s">
        <v>1080</v>
      </c>
      <c r="B5" s="1298"/>
      <c r="C5" s="1298"/>
      <c r="D5" s="1298"/>
      <c r="E5" s="478"/>
      <c r="F5" s="1298"/>
      <c r="G5" s="478"/>
      <c r="H5" s="1298"/>
      <c r="I5" s="478"/>
      <c r="J5" s="1298"/>
      <c r="K5" s="1298"/>
      <c r="L5" s="1298"/>
      <c r="M5" s="481"/>
      <c r="N5" s="1298"/>
      <c r="O5" s="478"/>
      <c r="P5" s="1298"/>
      <c r="Q5" s="478"/>
      <c r="R5" s="1298"/>
      <c r="S5" s="478"/>
      <c r="T5" s="1298"/>
      <c r="U5" s="478"/>
      <c r="V5" s="1298"/>
      <c r="W5" s="478"/>
      <c r="X5" s="1298"/>
      <c r="Y5" s="478"/>
      <c r="Z5" s="1299"/>
    </row>
    <row r="6" spans="1:40" ht="18" customHeight="1">
      <c r="A6" s="483" t="str">
        <f>'Cashflow Governmental'!A6</f>
        <v xml:space="preserve">FISCAL YEAR 2021-2022   </v>
      </c>
      <c r="B6" s="1298"/>
      <c r="C6" s="1298"/>
      <c r="D6" s="485"/>
      <c r="E6" s="478"/>
      <c r="F6" s="1298"/>
      <c r="G6" s="478"/>
      <c r="H6" s="1298"/>
      <c r="I6" s="478"/>
      <c r="J6" s="1298"/>
      <c r="K6" s="1298"/>
      <c r="L6" s="1298"/>
      <c r="M6" s="481"/>
      <c r="N6" s="1298"/>
      <c r="O6" s="478"/>
      <c r="P6" s="1298"/>
      <c r="Q6" s="478"/>
      <c r="R6" s="1298"/>
      <c r="S6" s="478"/>
      <c r="T6" s="1298"/>
      <c r="U6" s="478"/>
      <c r="V6" s="1298"/>
      <c r="W6" s="478"/>
      <c r="X6" s="1298"/>
      <c r="Y6" s="478"/>
      <c r="Z6" s="1299"/>
    </row>
    <row r="7" spans="1:40" ht="15" customHeight="1">
      <c r="A7" s="484"/>
      <c r="B7" s="1298"/>
      <c r="C7" s="1298"/>
      <c r="D7" s="1298"/>
      <c r="E7" s="478"/>
      <c r="F7" s="1298"/>
      <c r="G7" s="478"/>
      <c r="H7" s="1298"/>
      <c r="I7" s="478"/>
      <c r="J7" s="1298"/>
      <c r="K7" s="1298"/>
      <c r="L7" s="1298"/>
      <c r="M7" s="481"/>
      <c r="N7" s="1298"/>
      <c r="O7" s="478"/>
      <c r="P7" s="1298"/>
      <c r="Q7" s="478"/>
      <c r="R7" s="1300"/>
      <c r="S7" s="478"/>
      <c r="T7" s="1300"/>
      <c r="U7" s="478"/>
      <c r="V7" s="1300"/>
      <c r="W7" s="478"/>
      <c r="X7" s="1300"/>
      <c r="Y7" s="478"/>
      <c r="Z7" s="1299"/>
    </row>
    <row r="8" spans="1:40" ht="15.5">
      <c r="A8" s="475"/>
      <c r="B8" s="1298"/>
      <c r="C8" s="1298"/>
      <c r="D8" s="1298"/>
      <c r="E8" s="478"/>
      <c r="F8" s="1298"/>
      <c r="G8" s="478"/>
      <c r="H8" s="1298"/>
      <c r="I8" s="478"/>
      <c r="J8" s="1298"/>
      <c r="K8" s="1298"/>
      <c r="L8" s="1298"/>
      <c r="M8" s="478"/>
      <c r="N8" s="1298"/>
      <c r="O8" s="478"/>
      <c r="P8" s="1298"/>
      <c r="Q8" s="478"/>
      <c r="R8" s="1298"/>
      <c r="S8" s="478"/>
      <c r="T8" s="1298"/>
      <c r="U8" s="478"/>
      <c r="V8" s="1298"/>
      <c r="W8" s="478"/>
      <c r="X8" s="1298"/>
      <c r="Y8" s="478"/>
      <c r="Z8" s="486"/>
      <c r="AA8" s="487"/>
    </row>
    <row r="9" spans="1:40" ht="15" customHeight="1">
      <c r="A9" s="1301"/>
      <c r="B9" s="898" t="str">
        <f>'Cashflow Governmental'!C13</f>
        <v>2021</v>
      </c>
      <c r="C9" s="488"/>
      <c r="D9" s="488"/>
      <c r="E9" s="481"/>
      <c r="F9" s="488"/>
      <c r="G9" s="481"/>
      <c r="H9" s="488"/>
      <c r="I9" s="481"/>
      <c r="J9" s="488"/>
      <c r="K9" s="488"/>
      <c r="L9" s="489"/>
      <c r="M9" s="481"/>
      <c r="N9" s="489"/>
      <c r="O9" s="481"/>
      <c r="P9" s="489"/>
      <c r="Q9" s="481"/>
      <c r="R9" s="489"/>
      <c r="S9" s="481"/>
      <c r="T9" s="898">
        <f>'Cashflow Governmental'!U13</f>
        <v>2022</v>
      </c>
      <c r="U9" s="481"/>
      <c r="V9" s="489"/>
      <c r="W9" s="481"/>
      <c r="X9" s="489"/>
      <c r="Y9" s="481"/>
      <c r="Z9" s="490" t="s">
        <v>1571</v>
      </c>
      <c r="AA9" s="490"/>
    </row>
    <row r="10" spans="1:40" ht="15" customHeight="1">
      <c r="A10" s="1301"/>
      <c r="B10" s="491" t="s">
        <v>123</v>
      </c>
      <c r="C10" s="492"/>
      <c r="D10" s="489" t="s">
        <v>124</v>
      </c>
      <c r="E10" s="481"/>
      <c r="F10" s="489" t="s">
        <v>125</v>
      </c>
      <c r="G10" s="481"/>
      <c r="H10" s="489" t="s">
        <v>126</v>
      </c>
      <c r="I10" s="481"/>
      <c r="J10" s="489" t="s">
        <v>127</v>
      </c>
      <c r="K10" s="493"/>
      <c r="L10" s="489" t="s">
        <v>142</v>
      </c>
      <c r="M10" s="481"/>
      <c r="N10" s="489" t="s">
        <v>143</v>
      </c>
      <c r="O10" s="481"/>
      <c r="P10" s="489" t="s">
        <v>130</v>
      </c>
      <c r="Q10" s="481"/>
      <c r="R10" s="489" t="s">
        <v>131</v>
      </c>
      <c r="S10" s="481"/>
      <c r="T10" s="489" t="s">
        <v>132</v>
      </c>
      <c r="U10" s="481"/>
      <c r="V10" s="489" t="s">
        <v>133</v>
      </c>
      <c r="W10" s="481"/>
      <c r="X10" s="489" t="s">
        <v>184</v>
      </c>
      <c r="Y10" s="481"/>
      <c r="Z10" s="494" t="s">
        <v>1554</v>
      </c>
      <c r="AA10" s="494"/>
    </row>
    <row r="11" spans="1:40" ht="15" customHeight="1">
      <c r="A11" s="1301"/>
      <c r="B11" s="1560" t="s">
        <v>14</v>
      </c>
      <c r="C11" s="1302"/>
      <c r="D11" s="1560" t="s">
        <v>14</v>
      </c>
      <c r="E11" s="1303"/>
      <c r="F11" s="1560" t="s">
        <v>14</v>
      </c>
      <c r="G11" s="1303"/>
      <c r="H11" s="1560" t="s">
        <v>14</v>
      </c>
      <c r="I11" s="1303"/>
      <c r="J11" s="1560" t="s">
        <v>14</v>
      </c>
      <c r="K11" s="493"/>
      <c r="L11" s="1560" t="s">
        <v>14</v>
      </c>
      <c r="M11" s="1303"/>
      <c r="N11" s="1560" t="s">
        <v>14</v>
      </c>
      <c r="O11" s="1303"/>
      <c r="P11" s="1560" t="s">
        <v>14</v>
      </c>
      <c r="Q11" s="1303"/>
      <c r="R11" s="1560" t="s">
        <v>14</v>
      </c>
      <c r="S11" s="1303"/>
      <c r="T11" s="1560" t="s">
        <v>14</v>
      </c>
      <c r="U11" s="1303"/>
      <c r="V11" s="1560" t="s">
        <v>14</v>
      </c>
      <c r="W11" s="1303"/>
      <c r="X11" s="1560" t="s">
        <v>14</v>
      </c>
      <c r="Y11" s="1303"/>
      <c r="Z11" s="1559" t="s">
        <v>14</v>
      </c>
      <c r="AB11" s="495"/>
      <c r="AC11" s="495"/>
      <c r="AD11" s="495"/>
      <c r="AE11" s="495"/>
      <c r="AF11" s="495"/>
      <c r="AG11" s="495"/>
      <c r="AH11" s="495"/>
      <c r="AI11" s="495"/>
      <c r="AJ11" s="495"/>
      <c r="AK11" s="495"/>
      <c r="AL11" s="495"/>
      <c r="AM11" s="495"/>
      <c r="AN11" s="495"/>
    </row>
    <row r="12" spans="1:40" s="500" customFormat="1" ht="15" customHeight="1">
      <c r="A12" s="807" t="s">
        <v>467</v>
      </c>
      <c r="B12" s="509">
        <v>96722524</v>
      </c>
      <c r="C12" s="497"/>
      <c r="D12" s="496">
        <f>B45</f>
        <v>83609252</v>
      </c>
      <c r="E12" s="1304"/>
      <c r="F12" s="496">
        <f>D45</f>
        <v>39931404</v>
      </c>
      <c r="G12" s="1304"/>
      <c r="H12" s="496">
        <f>F45</f>
        <v>84394170</v>
      </c>
      <c r="I12" s="1304"/>
      <c r="J12" s="496">
        <f>H45</f>
        <v>74940119</v>
      </c>
      <c r="K12" s="498"/>
      <c r="L12" s="496">
        <f>J45</f>
        <v>56499178</v>
      </c>
      <c r="M12" s="499"/>
      <c r="N12" s="496"/>
      <c r="O12" s="496"/>
      <c r="P12" s="496"/>
      <c r="Q12" s="496"/>
      <c r="R12" s="496"/>
      <c r="S12" s="496"/>
      <c r="T12" s="496"/>
      <c r="U12" s="496"/>
      <c r="V12" s="496"/>
      <c r="W12" s="496"/>
      <c r="X12" s="496"/>
      <c r="Y12" s="496"/>
      <c r="Z12" s="496">
        <f>+B12</f>
        <v>96722524</v>
      </c>
    </row>
    <row r="13" spans="1:40" ht="15" customHeight="1">
      <c r="A13" s="1305"/>
      <c r="B13" s="1306"/>
      <c r="C13" s="1307"/>
      <c r="D13" s="1306"/>
      <c r="E13" s="1306"/>
      <c r="F13" s="1306"/>
      <c r="G13" s="1306"/>
      <c r="H13" s="1306"/>
      <c r="I13" s="1306"/>
      <c r="J13" s="1306"/>
      <c r="K13" s="493"/>
      <c r="L13" s="1306"/>
      <c r="M13" s="1306"/>
      <c r="N13" s="1306"/>
      <c r="O13" s="1306"/>
      <c r="P13" s="1306"/>
      <c r="Q13" s="1306"/>
      <c r="R13" s="1306"/>
      <c r="S13" s="1306"/>
      <c r="T13" s="1306"/>
      <c r="U13" s="1306"/>
      <c r="V13" s="1306"/>
      <c r="W13" s="1306"/>
      <c r="X13" s="1306"/>
      <c r="Y13" s="1306"/>
      <c r="Z13" s="1308"/>
    </row>
    <row r="14" spans="1:40" ht="15" customHeight="1">
      <c r="A14" s="501" t="s">
        <v>13</v>
      </c>
      <c r="B14" s="1306"/>
      <c r="C14" s="1307"/>
      <c r="D14" s="1306"/>
      <c r="E14" s="1306"/>
      <c r="F14" s="1306"/>
      <c r="G14" s="1306"/>
      <c r="H14" s="1306"/>
      <c r="I14" s="1306"/>
      <c r="J14" s="1306"/>
      <c r="K14" s="1306"/>
      <c r="L14" s="1306"/>
      <c r="M14" s="1306"/>
      <c r="N14" s="1306"/>
      <c r="O14" s="1306"/>
      <c r="P14" s="1306"/>
      <c r="Q14" s="1306"/>
      <c r="R14" s="1306"/>
      <c r="S14" s="1306"/>
      <c r="T14" s="1306"/>
      <c r="U14" s="1306"/>
      <c r="V14" s="1306"/>
      <c r="W14" s="1306"/>
      <c r="X14" s="1306"/>
      <c r="Y14" s="1306"/>
      <c r="Z14" s="1308"/>
      <c r="AC14" s="1851"/>
    </row>
    <row r="15" spans="1:40" ht="15" customHeight="1">
      <c r="A15" s="808" t="s">
        <v>1134</v>
      </c>
      <c r="B15" s="1314">
        <v>0</v>
      </c>
      <c r="C15" s="1315"/>
      <c r="D15" s="1314">
        <v>0</v>
      </c>
      <c r="E15" s="1314"/>
      <c r="F15" s="1314">
        <v>70000000</v>
      </c>
      <c r="G15" s="1309"/>
      <c r="H15" s="1314">
        <v>0</v>
      </c>
      <c r="I15" s="1309"/>
      <c r="J15" s="1851">
        <v>0</v>
      </c>
      <c r="K15" s="1309"/>
      <c r="L15" s="1314">
        <v>0</v>
      </c>
      <c r="M15" s="1306"/>
      <c r="N15" s="1314"/>
      <c r="O15" s="1309"/>
      <c r="P15" s="1314"/>
      <c r="Q15" s="1309"/>
      <c r="R15" s="1314"/>
      <c r="S15" s="1309"/>
      <c r="T15" s="1314"/>
      <c r="U15" s="1309"/>
      <c r="V15" s="1314"/>
      <c r="W15" s="1309"/>
      <c r="X15" s="1314"/>
      <c r="Y15" s="1309"/>
      <c r="Z15" s="1311">
        <f>SUM(B15:X15)</f>
        <v>70000000</v>
      </c>
    </row>
    <row r="16" spans="1:40" ht="15" customHeight="1">
      <c r="A16" s="808" t="s">
        <v>1376</v>
      </c>
      <c r="B16" s="1314">
        <v>1407</v>
      </c>
      <c r="C16" s="1315"/>
      <c r="D16" s="1314">
        <v>0</v>
      </c>
      <c r="E16" s="1314"/>
      <c r="F16" s="1314">
        <v>0</v>
      </c>
      <c r="G16" s="1309"/>
      <c r="H16" s="1314">
        <v>0</v>
      </c>
      <c r="I16" s="1309"/>
      <c r="J16" s="1851">
        <v>0</v>
      </c>
      <c r="K16" s="1309"/>
      <c r="L16" s="1314">
        <v>0</v>
      </c>
      <c r="M16" s="1306"/>
      <c r="N16" s="1314"/>
      <c r="O16" s="1309"/>
      <c r="P16" s="1314"/>
      <c r="Q16" s="1309"/>
      <c r="R16" s="1314"/>
      <c r="S16" s="1309"/>
      <c r="T16" s="1314"/>
      <c r="U16" s="1309"/>
      <c r="V16" s="1314"/>
      <c r="W16" s="1309"/>
      <c r="X16" s="1314"/>
      <c r="Y16" s="1309"/>
      <c r="Z16" s="1311">
        <f>SUM(B16:X16)</f>
        <v>1407</v>
      </c>
    </row>
    <row r="17" spans="1:28" s="500" customFormat="1" ht="22.5" customHeight="1">
      <c r="A17" s="501" t="s">
        <v>149</v>
      </c>
      <c r="B17" s="1558">
        <f>ROUND(SUM(B15:B16),0)</f>
        <v>1407</v>
      </c>
      <c r="C17" s="502"/>
      <c r="D17" s="1558">
        <f>ROUND(SUM(D15:D16),0)</f>
        <v>0</v>
      </c>
      <c r="E17" s="503"/>
      <c r="F17" s="1558">
        <f>ROUND(SUM(F15:F16),0)</f>
        <v>70000000</v>
      </c>
      <c r="G17" s="503"/>
      <c r="H17" s="1558">
        <f>ROUND(SUM(H15:H16),0)</f>
        <v>0</v>
      </c>
      <c r="I17" s="503"/>
      <c r="J17" s="1558">
        <f>ROUND(SUM(J15:J16),0)</f>
        <v>0</v>
      </c>
      <c r="K17" s="505"/>
      <c r="L17" s="1558">
        <f>ROUND(SUM(L15:L16),0)</f>
        <v>0</v>
      </c>
      <c r="M17" s="499"/>
      <c r="N17" s="1558">
        <f>ROUND(SUM(N15:N16),0)</f>
        <v>0</v>
      </c>
      <c r="O17" s="503"/>
      <c r="P17" s="1558">
        <f>ROUND(SUM(P15:P16),0)</f>
        <v>0</v>
      </c>
      <c r="Q17" s="503"/>
      <c r="R17" s="1558">
        <f>ROUND(SUM(R15:R16),0)</f>
        <v>0</v>
      </c>
      <c r="S17" s="503"/>
      <c r="T17" s="1558">
        <f>ROUND(SUM(T15:T16),0)</f>
        <v>0</v>
      </c>
      <c r="U17" s="503"/>
      <c r="V17" s="1558">
        <f>ROUND(SUM(V15:V16),0)</f>
        <v>0</v>
      </c>
      <c r="W17" s="503"/>
      <c r="X17" s="1558">
        <f>ROUND(SUM(X15:X16),0)</f>
        <v>0</v>
      </c>
      <c r="Y17" s="503"/>
      <c r="Z17" s="1558">
        <f>ROUND(SUM(Z15:Z16),0)</f>
        <v>70001407</v>
      </c>
      <c r="AB17" s="405"/>
    </row>
    <row r="18" spans="1:28" ht="15" customHeight="1">
      <c r="A18" s="1305"/>
      <c r="B18" s="1309"/>
      <c r="C18" s="1310"/>
      <c r="D18" s="1309"/>
      <c r="E18" s="1309"/>
      <c r="F18" s="1309"/>
      <c r="G18" s="1309"/>
      <c r="H18" s="1309"/>
      <c r="I18" s="1309"/>
      <c r="J18" s="1309"/>
      <c r="K18" s="1309"/>
      <c r="L18" s="1309"/>
      <c r="M18" s="1306"/>
      <c r="N18" s="1309"/>
      <c r="O18" s="1309"/>
      <c r="P18" s="1309"/>
      <c r="Q18" s="1309"/>
      <c r="R18" s="1309"/>
      <c r="S18" s="1309"/>
      <c r="T18" s="1309"/>
      <c r="U18" s="1309"/>
      <c r="V18" s="1309"/>
      <c r="W18" s="1309"/>
      <c r="X18" s="1309"/>
      <c r="Y18" s="1309"/>
      <c r="Z18" s="1313"/>
    </row>
    <row r="19" spans="1:28" ht="15" customHeight="1">
      <c r="A19" s="501" t="s">
        <v>22</v>
      </c>
      <c r="B19" s="1309"/>
      <c r="C19" s="1310"/>
      <c r="D19" s="1309"/>
      <c r="E19" s="1309"/>
      <c r="F19" s="1309"/>
      <c r="G19" s="1309"/>
      <c r="H19" s="1309"/>
      <c r="I19" s="1309"/>
      <c r="J19" s="1309"/>
      <c r="K19" s="1309"/>
      <c r="L19" s="1314"/>
      <c r="M19" s="1316"/>
      <c r="N19" s="1314"/>
      <c r="O19" s="1309"/>
      <c r="P19" s="1309"/>
      <c r="Q19" s="1309"/>
      <c r="R19" s="1309"/>
      <c r="S19" s="1309"/>
      <c r="T19" s="1309"/>
      <c r="U19" s="1309"/>
      <c r="V19" s="1309"/>
      <c r="W19" s="1309"/>
      <c r="X19" s="1309"/>
      <c r="Y19" s="1309"/>
      <c r="Z19" s="1311"/>
    </row>
    <row r="20" spans="1:28" ht="15" customHeight="1">
      <c r="A20" s="808" t="s">
        <v>1179</v>
      </c>
      <c r="B20" s="1309">
        <v>731174</v>
      </c>
      <c r="C20" s="1310"/>
      <c r="D20" s="1309">
        <v>1659409</v>
      </c>
      <c r="E20" s="1309"/>
      <c r="F20" s="1309">
        <v>2836458</v>
      </c>
      <c r="G20" s="1309"/>
      <c r="H20" s="1309">
        <v>1124218</v>
      </c>
      <c r="I20" s="1309"/>
      <c r="J20" s="1309">
        <v>1913433</v>
      </c>
      <c r="K20" s="1309"/>
      <c r="L20" s="1314">
        <v>2199742</v>
      </c>
      <c r="M20" s="1316"/>
      <c r="N20" s="1314"/>
      <c r="O20" s="1309"/>
      <c r="P20" s="1309"/>
      <c r="Q20" s="1309"/>
      <c r="R20" s="1309"/>
      <c r="S20" s="1309"/>
      <c r="T20" s="1309"/>
      <c r="U20" s="1309"/>
      <c r="V20" s="1309"/>
      <c r="W20" s="1309"/>
      <c r="X20" s="1309"/>
      <c r="Y20" s="1309"/>
      <c r="Z20" s="1311">
        <f t="shared" ref="Z20:Z27" si="0">ROUND(SUM(B20:X20),0)</f>
        <v>10464434</v>
      </c>
    </row>
    <row r="21" spans="1:28" ht="15" customHeight="1">
      <c r="A21" s="808" t="s">
        <v>1133</v>
      </c>
      <c r="B21" s="1309">
        <v>4076555</v>
      </c>
      <c r="C21" s="1315"/>
      <c r="D21" s="1314">
        <v>25384346</v>
      </c>
      <c r="E21" s="1314"/>
      <c r="F21" s="1314">
        <v>8629425</v>
      </c>
      <c r="G21" s="1314"/>
      <c r="H21" s="1314">
        <v>1424023</v>
      </c>
      <c r="I21" s="1314"/>
      <c r="J21" s="1314">
        <v>6832125</v>
      </c>
      <c r="K21" s="1314"/>
      <c r="L21" s="1314">
        <f>269424</f>
        <v>269424</v>
      </c>
      <c r="M21" s="1316"/>
      <c r="N21" s="1314" t="s">
        <v>14</v>
      </c>
      <c r="O21" s="1314"/>
      <c r="P21" s="1314"/>
      <c r="Q21" s="1314"/>
      <c r="R21" s="1314"/>
      <c r="S21" s="1314"/>
      <c r="T21" s="1314"/>
      <c r="U21" s="1314"/>
      <c r="V21" s="1314"/>
      <c r="W21" s="1314"/>
      <c r="X21" s="1314"/>
      <c r="Y21" s="1314"/>
      <c r="Z21" s="3921">
        <f>ROUND(SUM(B21:X21),0)</f>
        <v>46615898</v>
      </c>
    </row>
    <row r="22" spans="1:28" ht="15" customHeight="1">
      <c r="A22" s="808" t="s">
        <v>1209</v>
      </c>
      <c r="B22" s="1309">
        <v>379374</v>
      </c>
      <c r="C22" s="1315"/>
      <c r="D22" s="1314">
        <v>1452326</v>
      </c>
      <c r="E22" s="1314"/>
      <c r="F22" s="1314">
        <v>407573</v>
      </c>
      <c r="G22" s="1314"/>
      <c r="H22" s="1314">
        <v>29085</v>
      </c>
      <c r="I22" s="1314"/>
      <c r="J22" s="1314">
        <v>450219</v>
      </c>
      <c r="K22" s="1314"/>
      <c r="L22" s="1314">
        <v>490042</v>
      </c>
      <c r="M22" s="1316"/>
      <c r="N22" s="1314"/>
      <c r="O22" s="1314"/>
      <c r="P22" s="1314"/>
      <c r="Q22" s="1314"/>
      <c r="R22" s="1314"/>
      <c r="S22" s="1314"/>
      <c r="T22" s="1314"/>
      <c r="U22" s="1314"/>
      <c r="V22" s="1314"/>
      <c r="W22" s="1314"/>
      <c r="X22" s="1314"/>
      <c r="Y22" s="1314"/>
      <c r="Z22" s="3921">
        <f t="shared" si="0"/>
        <v>3208619</v>
      </c>
      <c r="AB22" s="3378"/>
    </row>
    <row r="23" spans="1:28" ht="15" customHeight="1">
      <c r="A23" s="808" t="s">
        <v>1186</v>
      </c>
      <c r="B23" s="1309">
        <v>0</v>
      </c>
      <c r="C23" s="1315"/>
      <c r="D23" s="1314">
        <v>1446891</v>
      </c>
      <c r="E23" s="1314"/>
      <c r="F23" s="1314">
        <v>415672</v>
      </c>
      <c r="G23" s="1314"/>
      <c r="H23" s="1314">
        <v>632562</v>
      </c>
      <c r="I23" s="1314"/>
      <c r="J23" s="1314">
        <f>514408</f>
        <v>514408</v>
      </c>
      <c r="K23" s="1314"/>
      <c r="L23" s="1314">
        <v>240587</v>
      </c>
      <c r="M23" s="1316"/>
      <c r="N23" s="1314"/>
      <c r="O23" s="1314"/>
      <c r="P23" s="1314"/>
      <c r="Q23" s="1314"/>
      <c r="R23" s="1314"/>
      <c r="S23" s="1314"/>
      <c r="T23" s="1314"/>
      <c r="U23" s="1314"/>
      <c r="V23" s="1314"/>
      <c r="W23" s="1314"/>
      <c r="X23" s="1314"/>
      <c r="Y23" s="1314"/>
      <c r="Z23" s="3921">
        <f t="shared" si="0"/>
        <v>3250120</v>
      </c>
    </row>
    <row r="24" spans="1:28" ht="15" customHeight="1">
      <c r="A24" s="808" t="s">
        <v>1377</v>
      </c>
      <c r="B24" s="1309">
        <v>192187</v>
      </c>
      <c r="C24" s="1315"/>
      <c r="D24" s="1314">
        <v>415645</v>
      </c>
      <c r="E24" s="1314"/>
      <c r="F24" s="1314">
        <v>0</v>
      </c>
      <c r="G24" s="1314"/>
      <c r="H24" s="1314">
        <v>672776</v>
      </c>
      <c r="I24" s="1314"/>
      <c r="J24" s="1314">
        <v>0</v>
      </c>
      <c r="K24" s="1314"/>
      <c r="L24" s="1314">
        <v>665222.36</v>
      </c>
      <c r="M24" s="1316"/>
      <c r="N24" s="1314"/>
      <c r="O24" s="1314"/>
      <c r="P24" s="1314"/>
      <c r="Q24" s="1314"/>
      <c r="R24" s="1314"/>
      <c r="S24" s="1314"/>
      <c r="T24" s="1314"/>
      <c r="U24" s="1314"/>
      <c r="V24" s="1314"/>
      <c r="W24" s="1314"/>
      <c r="X24" s="1314"/>
      <c r="Y24" s="1314"/>
      <c r="Z24" s="3921">
        <f t="shared" si="0"/>
        <v>1945830</v>
      </c>
    </row>
    <row r="25" spans="1:28" ht="15" customHeight="1">
      <c r="A25" s="808" t="s">
        <v>1223</v>
      </c>
      <c r="B25" s="1309">
        <v>0</v>
      </c>
      <c r="C25" s="1315"/>
      <c r="D25" s="1314">
        <v>0</v>
      </c>
      <c r="E25" s="1314"/>
      <c r="F25" s="1314">
        <v>0</v>
      </c>
      <c r="G25" s="1314"/>
      <c r="H25" s="1314">
        <v>0</v>
      </c>
      <c r="I25" s="1314"/>
      <c r="J25" s="1314">
        <v>0</v>
      </c>
      <c r="K25" s="1314"/>
      <c r="L25" s="1314">
        <v>0</v>
      </c>
      <c r="M25" s="1316"/>
      <c r="N25" s="1314"/>
      <c r="O25" s="1314"/>
      <c r="P25" s="1314"/>
      <c r="Q25" s="1314"/>
      <c r="R25" s="1314"/>
      <c r="S25" s="1314"/>
      <c r="T25" s="1314"/>
      <c r="U25" s="1314"/>
      <c r="V25" s="1314"/>
      <c r="W25" s="1314"/>
      <c r="X25" s="1314"/>
      <c r="Y25" s="1314"/>
      <c r="Z25" s="3921">
        <f t="shared" si="0"/>
        <v>0</v>
      </c>
    </row>
    <row r="26" spans="1:28" ht="15" customHeight="1">
      <c r="A26" s="808" t="s">
        <v>1132</v>
      </c>
      <c r="B26" s="1309">
        <v>0</v>
      </c>
      <c r="C26" s="1315"/>
      <c r="D26" s="1314">
        <v>276017</v>
      </c>
      <c r="E26" s="1314"/>
      <c r="F26" s="1314">
        <v>1910168</v>
      </c>
      <c r="G26" s="1314"/>
      <c r="H26" s="1314">
        <v>28159</v>
      </c>
      <c r="I26" s="1314"/>
      <c r="J26" s="1314">
        <v>1640711</v>
      </c>
      <c r="K26" s="1314"/>
      <c r="L26" s="1314">
        <v>2489128</v>
      </c>
      <c r="M26" s="1316"/>
      <c r="N26" s="1314"/>
      <c r="O26" s="1314"/>
      <c r="P26" s="1314"/>
      <c r="Q26" s="1314"/>
      <c r="R26" s="1314"/>
      <c r="S26" s="1314"/>
      <c r="T26" s="1314"/>
      <c r="U26" s="1314"/>
      <c r="V26" s="1314"/>
      <c r="W26" s="1314"/>
      <c r="X26" s="1314"/>
      <c r="Y26" s="1314"/>
      <c r="Z26" s="3921">
        <f t="shared" si="0"/>
        <v>6344183</v>
      </c>
    </row>
    <row r="27" spans="1:28" ht="15" customHeight="1">
      <c r="A27" s="808" t="s">
        <v>1201</v>
      </c>
      <c r="B27" s="1309">
        <v>0</v>
      </c>
      <c r="C27" s="1315"/>
      <c r="D27" s="1314">
        <v>0</v>
      </c>
      <c r="E27" s="1314"/>
      <c r="F27" s="1314">
        <v>0</v>
      </c>
      <c r="G27" s="1314"/>
      <c r="H27" s="1314">
        <v>0</v>
      </c>
      <c r="I27" s="1314"/>
      <c r="J27" s="1314">
        <v>0</v>
      </c>
      <c r="K27" s="1314"/>
      <c r="L27" s="1314">
        <v>0</v>
      </c>
      <c r="M27" s="1316"/>
      <c r="N27" s="1314"/>
      <c r="O27" s="1314"/>
      <c r="P27" s="1314"/>
      <c r="Q27" s="1314"/>
      <c r="R27" s="1314"/>
      <c r="S27" s="1314"/>
      <c r="T27" s="1314"/>
      <c r="U27" s="1314"/>
      <c r="V27" s="1314"/>
      <c r="W27" s="1314"/>
      <c r="X27" s="1314"/>
      <c r="Y27" s="1314"/>
      <c r="Z27" s="3921">
        <f t="shared" si="0"/>
        <v>0</v>
      </c>
    </row>
    <row r="28" spans="1:28" ht="14.9" customHeight="1">
      <c r="A28" s="808" t="s">
        <v>1210</v>
      </c>
      <c r="B28" s="1309">
        <v>0</v>
      </c>
      <c r="C28" s="1315"/>
      <c r="D28" s="1314">
        <v>0</v>
      </c>
      <c r="E28" s="1314"/>
      <c r="F28" s="1314">
        <v>994530</v>
      </c>
      <c r="G28" s="1314"/>
      <c r="H28" s="1314">
        <v>1437634</v>
      </c>
      <c r="I28" s="1314"/>
      <c r="J28" s="1314">
        <v>49999</v>
      </c>
      <c r="K28" s="1314"/>
      <c r="L28" s="1314">
        <v>2500000</v>
      </c>
      <c r="M28" s="1316"/>
      <c r="N28" s="1314"/>
      <c r="O28" s="1314"/>
      <c r="P28" s="1314"/>
      <c r="Q28" s="1314"/>
      <c r="R28" s="1314"/>
      <c r="S28" s="1314"/>
      <c r="T28" s="1314"/>
      <c r="U28" s="1314"/>
      <c r="V28" s="1314"/>
      <c r="W28" s="1314"/>
      <c r="X28" s="1314"/>
      <c r="Y28" s="1314"/>
      <c r="Z28" s="3921">
        <f>ROUND(SUM(B28:X28),0)</f>
        <v>4982163</v>
      </c>
    </row>
    <row r="29" spans="1:28" ht="15" customHeight="1">
      <c r="A29" s="808" t="s">
        <v>1206</v>
      </c>
      <c r="B29" s="1309">
        <v>606923</v>
      </c>
      <c r="C29" s="1315"/>
      <c r="D29" s="1314">
        <v>2912068</v>
      </c>
      <c r="E29" s="1314"/>
      <c r="F29" s="1314">
        <v>843903</v>
      </c>
      <c r="G29" s="1314"/>
      <c r="H29" s="1314">
        <v>12017</v>
      </c>
      <c r="I29" s="1314"/>
      <c r="J29" s="1314">
        <v>1256401</v>
      </c>
      <c r="K29" s="1314"/>
      <c r="L29" s="1314">
        <v>364844</v>
      </c>
      <c r="M29" s="1316"/>
      <c r="N29" s="1314"/>
      <c r="O29" s="1314"/>
      <c r="P29" s="1314"/>
      <c r="Q29" s="1314"/>
      <c r="R29" s="1314"/>
      <c r="S29" s="1314"/>
      <c r="T29" s="1314"/>
      <c r="U29" s="1314"/>
      <c r="V29" s="1314"/>
      <c r="W29" s="1314"/>
      <c r="X29" s="1314"/>
      <c r="Y29" s="1314"/>
      <c r="Z29" s="1311">
        <f>ROUND(SUM(B29:X29),0)</f>
        <v>5996156</v>
      </c>
    </row>
    <row r="30" spans="1:28" ht="15" customHeight="1">
      <c r="A30" s="808" t="s">
        <v>1131</v>
      </c>
      <c r="B30" s="1309">
        <v>0</v>
      </c>
      <c r="C30" s="1315"/>
      <c r="D30" s="1314">
        <v>0</v>
      </c>
      <c r="E30" s="1314"/>
      <c r="F30" s="1314">
        <v>0</v>
      </c>
      <c r="G30" s="1314"/>
      <c r="H30" s="1314">
        <v>0</v>
      </c>
      <c r="I30" s="1314"/>
      <c r="J30" s="1314">
        <v>0</v>
      </c>
      <c r="K30" s="1314"/>
      <c r="L30" s="1314">
        <v>0</v>
      </c>
      <c r="M30" s="1316"/>
      <c r="N30" s="1314"/>
      <c r="O30" s="1314"/>
      <c r="P30" s="1314"/>
      <c r="Q30" s="1314"/>
      <c r="R30" s="1314"/>
      <c r="S30" s="1314"/>
      <c r="T30" s="1314"/>
      <c r="U30" s="1314"/>
      <c r="V30" s="1314"/>
      <c r="W30" s="1314"/>
      <c r="X30" s="1314"/>
      <c r="Y30" s="1314"/>
      <c r="Z30" s="1311">
        <f t="shared" ref="Z30:Z32" si="1">ROUND(SUM(B30:X30),0)</f>
        <v>0</v>
      </c>
    </row>
    <row r="31" spans="1:28" ht="15" customHeight="1">
      <c r="A31" s="808" t="s">
        <v>1164</v>
      </c>
      <c r="B31" s="1309">
        <v>0</v>
      </c>
      <c r="C31" s="1315"/>
      <c r="D31" s="1314">
        <v>0</v>
      </c>
      <c r="E31" s="1314"/>
      <c r="F31" s="1314">
        <v>0</v>
      </c>
      <c r="G31" s="1314"/>
      <c r="H31" s="1314">
        <v>0</v>
      </c>
      <c r="I31" s="1314"/>
      <c r="J31" s="1314">
        <v>-338</v>
      </c>
      <c r="K31" s="1314"/>
      <c r="L31" s="1314">
        <v>0</v>
      </c>
      <c r="M31" s="1316"/>
      <c r="N31" s="1314"/>
      <c r="O31" s="1314"/>
      <c r="P31" s="1314"/>
      <c r="Q31" s="1314"/>
      <c r="R31" s="1314"/>
      <c r="S31" s="1314"/>
      <c r="T31" s="1314"/>
      <c r="U31" s="1314"/>
      <c r="V31" s="1314"/>
      <c r="W31" s="1314"/>
      <c r="X31" s="1314"/>
      <c r="Y31" s="1314"/>
      <c r="Z31" s="1311">
        <f>ROUND(SUM(B31:X31),0)</f>
        <v>-338</v>
      </c>
      <c r="AA31" s="1719"/>
      <c r="AB31" s="1719"/>
    </row>
    <row r="32" spans="1:28" ht="15" customHeight="1">
      <c r="A32" s="808" t="s">
        <v>1130</v>
      </c>
      <c r="B32" s="1309">
        <v>-101562</v>
      </c>
      <c r="C32" s="1315"/>
      <c r="D32" s="1314">
        <v>0</v>
      </c>
      <c r="E32" s="1314"/>
      <c r="F32" s="1314">
        <v>338083</v>
      </c>
      <c r="G32" s="1314"/>
      <c r="H32" s="1314">
        <v>0</v>
      </c>
      <c r="I32" s="1314"/>
      <c r="J32" s="1314">
        <v>-149466</v>
      </c>
      <c r="K32" s="1314"/>
      <c r="L32" s="1314">
        <v>0</v>
      </c>
      <c r="M32" s="1316"/>
      <c r="N32" s="1314"/>
      <c r="O32" s="1314"/>
      <c r="P32" s="1314"/>
      <c r="Q32" s="1314"/>
      <c r="R32" s="1314"/>
      <c r="S32" s="1314"/>
      <c r="T32" s="1314"/>
      <c r="U32" s="1314"/>
      <c r="V32" s="1314"/>
      <c r="W32" s="1314"/>
      <c r="X32" s="1314"/>
      <c r="Y32" s="1314"/>
      <c r="Z32" s="1311">
        <f t="shared" si="1"/>
        <v>87055</v>
      </c>
    </row>
    <row r="33" spans="1:28" ht="15" customHeight="1">
      <c r="A33" s="808" t="s">
        <v>1129</v>
      </c>
      <c r="B33" s="1309">
        <v>0</v>
      </c>
      <c r="C33" s="1315"/>
      <c r="D33" s="1314">
        <v>0</v>
      </c>
      <c r="E33" s="1314"/>
      <c r="F33" s="1314">
        <v>0</v>
      </c>
      <c r="G33" s="1314"/>
      <c r="H33" s="1314">
        <v>0</v>
      </c>
      <c r="I33" s="1314"/>
      <c r="J33" s="1314">
        <v>0</v>
      </c>
      <c r="K33" s="1314"/>
      <c r="L33" s="1314">
        <v>0</v>
      </c>
      <c r="M33" s="1316"/>
      <c r="N33" s="1314"/>
      <c r="O33" s="1314"/>
      <c r="P33" s="1314"/>
      <c r="Q33" s="1314"/>
      <c r="R33" s="1314"/>
      <c r="S33" s="1314"/>
      <c r="T33" s="1314"/>
      <c r="U33" s="1314"/>
      <c r="V33" s="1314"/>
      <c r="W33" s="1314"/>
      <c r="X33" s="1314"/>
      <c r="Y33" s="1314"/>
      <c r="Z33" s="1311">
        <f>ROUND(SUM(B33:X33),0)</f>
        <v>0</v>
      </c>
    </row>
    <row r="34" spans="1:28" ht="15" customHeight="1">
      <c r="A34" s="808" t="s">
        <v>1128</v>
      </c>
      <c r="B34" s="1309">
        <v>866444</v>
      </c>
      <c r="C34" s="1315"/>
      <c r="D34" s="1314">
        <v>1948402</v>
      </c>
      <c r="E34" s="1314"/>
      <c r="F34" s="1314">
        <v>2911422</v>
      </c>
      <c r="G34" s="1314"/>
      <c r="H34" s="1314">
        <f>1491953</f>
        <v>1491953</v>
      </c>
      <c r="I34" s="1314"/>
      <c r="J34" s="1314">
        <v>283784</v>
      </c>
      <c r="K34" s="1314"/>
      <c r="L34" s="1314">
        <v>260226</v>
      </c>
      <c r="M34" s="1316"/>
      <c r="N34" s="1314"/>
      <c r="O34" s="1314"/>
      <c r="P34" s="1314"/>
      <c r="Q34" s="1314"/>
      <c r="R34" s="1314"/>
      <c r="S34" s="1314"/>
      <c r="T34" s="1314"/>
      <c r="U34" s="1314"/>
      <c r="V34" s="1314"/>
      <c r="W34" s="1314"/>
      <c r="X34" s="1314"/>
      <c r="Y34" s="1314"/>
      <c r="Z34" s="1311">
        <f>ROUND(SUM(B34:X34),0)</f>
        <v>7762231</v>
      </c>
    </row>
    <row r="35" spans="1:28" ht="15" customHeight="1">
      <c r="A35" s="808" t="s">
        <v>1171</v>
      </c>
      <c r="B35" s="1309">
        <v>0</v>
      </c>
      <c r="C35" s="1315"/>
      <c r="D35" s="1314">
        <v>0</v>
      </c>
      <c r="E35" s="1314"/>
      <c r="F35" s="1314">
        <v>0</v>
      </c>
      <c r="G35" s="1314"/>
      <c r="H35" s="1314">
        <v>0</v>
      </c>
      <c r="I35" s="1314"/>
      <c r="J35" s="1314">
        <v>0</v>
      </c>
      <c r="K35" s="1314"/>
      <c r="L35" s="1314">
        <v>0</v>
      </c>
      <c r="M35" s="1316"/>
      <c r="N35" s="1314"/>
      <c r="O35" s="1314"/>
      <c r="P35" s="1314"/>
      <c r="Q35" s="1314"/>
      <c r="R35" s="1314"/>
      <c r="S35" s="1314"/>
      <c r="T35" s="1314"/>
      <c r="U35" s="1314"/>
      <c r="V35" s="1314"/>
      <c r="W35" s="1314"/>
      <c r="X35" s="1314"/>
      <c r="Y35" s="1314"/>
      <c r="Z35" s="1311">
        <f>ROUND(SUM(B35:X35),0)</f>
        <v>0</v>
      </c>
    </row>
    <row r="36" spans="1:28" ht="15" customHeight="1">
      <c r="A36" s="808" t="s">
        <v>1145</v>
      </c>
      <c r="B36" s="1314">
        <v>6363584</v>
      </c>
      <c r="C36" s="1315"/>
      <c r="D36" s="1314">
        <v>8182744</v>
      </c>
      <c r="E36" s="1314"/>
      <c r="F36" s="1314">
        <v>6250000</v>
      </c>
      <c r="G36" s="1314"/>
      <c r="H36" s="1314">
        <v>2601624</v>
      </c>
      <c r="I36" s="1314"/>
      <c r="J36" s="1314">
        <v>5649665</v>
      </c>
      <c r="K36" s="1314"/>
      <c r="L36" s="1314">
        <f>7719461</f>
        <v>7719461</v>
      </c>
      <c r="M36" s="1316"/>
      <c r="N36" s="1314"/>
      <c r="O36" s="1314"/>
      <c r="P36" s="1314"/>
      <c r="Q36" s="1314"/>
      <c r="R36" s="1314"/>
      <c r="S36" s="1314"/>
      <c r="T36" s="1314"/>
      <c r="U36" s="1314"/>
      <c r="V36" s="1314"/>
      <c r="W36" s="1314"/>
      <c r="X36" s="1314"/>
      <c r="Y36" s="1314"/>
      <c r="Z36" s="1311">
        <f>ROUND(SUM(B36:X36),0)</f>
        <v>36767078</v>
      </c>
    </row>
    <row r="37" spans="1:28" ht="22.5" customHeight="1">
      <c r="A37" s="506" t="s">
        <v>155</v>
      </c>
      <c r="B37" s="1557">
        <f>ROUND(SUM(B20:B36),0)</f>
        <v>13114679</v>
      </c>
      <c r="C37" s="1315"/>
      <c r="D37" s="1557">
        <f>ROUND(SUM(D20:D36),0)</f>
        <v>43677848</v>
      </c>
      <c r="E37" s="1314"/>
      <c r="F37" s="1557">
        <f>ROUND(SUM(F20:F36),0)</f>
        <v>25537234</v>
      </c>
      <c r="G37" s="1314"/>
      <c r="H37" s="1557">
        <f>ROUND(SUM(H20:H36),0)</f>
        <v>9454051</v>
      </c>
      <c r="I37" s="1314"/>
      <c r="J37" s="1557">
        <f>ROUND(SUM(J20:J36),0)</f>
        <v>18440941</v>
      </c>
      <c r="K37" s="1314"/>
      <c r="L37" s="1557">
        <f>ROUND(SUM(L20:L36),0)</f>
        <v>17198676</v>
      </c>
      <c r="M37" s="1316"/>
      <c r="N37" s="1557">
        <f>ROUND(SUM(N20:N36),0)</f>
        <v>0</v>
      </c>
      <c r="O37" s="1314"/>
      <c r="P37" s="1557">
        <f>ROUND(SUM(P20:P36),0)</f>
        <v>0</v>
      </c>
      <c r="Q37" s="1314"/>
      <c r="R37" s="1557">
        <f>ROUND(SUM(R20:R36),0)</f>
        <v>0</v>
      </c>
      <c r="S37" s="1314"/>
      <c r="T37" s="1557">
        <f>ROUND(SUM(T20:T36),0)</f>
        <v>0</v>
      </c>
      <c r="U37" s="1314"/>
      <c r="V37" s="1557">
        <f>ROUND(SUM(V20:V36),0)</f>
        <v>0</v>
      </c>
      <c r="W37" s="1314"/>
      <c r="X37" s="1557">
        <f>ROUND(SUM(X20:X36),0)</f>
        <v>0</v>
      </c>
      <c r="Y37" s="1314"/>
      <c r="Z37" s="1557">
        <f>ROUND(SUM(Z20:Z36),0)</f>
        <v>127423429</v>
      </c>
    </row>
    <row r="38" spans="1:28" ht="15" customHeight="1">
      <c r="A38" s="506"/>
      <c r="B38" s="1314"/>
      <c r="C38" s="1315"/>
      <c r="D38" s="1314"/>
      <c r="E38" s="1314"/>
      <c r="F38" s="1320"/>
      <c r="G38" s="1314"/>
      <c r="H38" s="1320"/>
      <c r="I38" s="1314"/>
      <c r="J38" s="1314"/>
      <c r="K38" s="1314"/>
      <c r="L38" s="1319"/>
      <c r="M38" s="1316"/>
      <c r="N38" s="1319"/>
      <c r="O38" s="1314"/>
      <c r="P38" s="1318"/>
      <c r="Q38" s="1314"/>
      <c r="R38" s="1320"/>
      <c r="S38" s="1314"/>
      <c r="T38" s="1320"/>
      <c r="U38" s="1314"/>
      <c r="V38" s="1315"/>
      <c r="W38" s="1314"/>
      <c r="X38" s="1320"/>
      <c r="Y38" s="1314"/>
      <c r="Z38" s="1311"/>
    </row>
    <row r="39" spans="1:28" ht="15" customHeight="1">
      <c r="A39" s="507" t="s">
        <v>481</v>
      </c>
      <c r="B39" s="1320"/>
      <c r="C39" s="1321"/>
      <c r="D39" s="1320"/>
      <c r="E39" s="1314"/>
      <c r="F39" s="1319"/>
      <c r="G39" s="1314"/>
      <c r="H39" s="1320"/>
      <c r="I39" s="1314"/>
      <c r="J39" s="1320"/>
      <c r="K39" s="1314"/>
      <c r="L39" s="1320"/>
      <c r="M39" s="1316"/>
      <c r="N39" s="1320"/>
      <c r="O39" s="1314"/>
      <c r="P39" s="1318"/>
      <c r="Q39" s="1314"/>
      <c r="R39" s="1320"/>
      <c r="S39" s="1314"/>
      <c r="T39" s="1320"/>
      <c r="U39" s="1314"/>
      <c r="V39" s="1319"/>
      <c r="W39" s="1314"/>
      <c r="X39" s="1319"/>
      <c r="Y39" s="1314"/>
      <c r="Z39" s="1311"/>
    </row>
    <row r="40" spans="1:28" ht="15" customHeight="1">
      <c r="A40" s="808" t="s">
        <v>483</v>
      </c>
      <c r="B40" s="1314">
        <v>0</v>
      </c>
      <c r="C40" s="1321"/>
      <c r="D40" s="1314">
        <v>0</v>
      </c>
      <c r="E40" s="1314"/>
      <c r="F40" s="1314">
        <v>0</v>
      </c>
      <c r="G40" s="1314"/>
      <c r="H40" s="1314">
        <v>0</v>
      </c>
      <c r="I40" s="1314"/>
      <c r="J40" s="1314">
        <v>0</v>
      </c>
      <c r="K40" s="1314"/>
      <c r="L40" s="1314">
        <v>0</v>
      </c>
      <c r="M40" s="1316"/>
      <c r="N40" s="1314"/>
      <c r="O40" s="1314"/>
      <c r="P40" s="1314"/>
      <c r="Q40" s="1314"/>
      <c r="R40" s="1314"/>
      <c r="S40" s="1314"/>
      <c r="T40" s="1314"/>
      <c r="U40" s="1314"/>
      <c r="V40" s="1314"/>
      <c r="W40" s="1314"/>
      <c r="X40" s="1314"/>
      <c r="Y40" s="1314"/>
      <c r="Z40" s="1311">
        <f>ROUND(SUM(B40:X40),0)</f>
        <v>0</v>
      </c>
    </row>
    <row r="41" spans="1:28" ht="22.5" customHeight="1">
      <c r="A41" s="501" t="s">
        <v>487</v>
      </c>
      <c r="B41" s="1556">
        <f>ROUND(SUM(B40:B40),0)</f>
        <v>0</v>
      </c>
      <c r="C41" s="1312"/>
      <c r="D41" s="1556">
        <f>ROUND(SUM(D40:D40),0)</f>
        <v>0</v>
      </c>
      <c r="E41" s="1309"/>
      <c r="F41" s="1556">
        <f>ROUND(SUM(F40:F40),0)</f>
        <v>0</v>
      </c>
      <c r="G41" s="1309"/>
      <c r="H41" s="1556">
        <f>ROUND(SUM(H40:H40),0)</f>
        <v>0</v>
      </c>
      <c r="I41" s="1309"/>
      <c r="J41" s="1556">
        <f>ROUND(SUM(J40:J40),0)</f>
        <v>0</v>
      </c>
      <c r="K41" s="1309"/>
      <c r="L41" s="1556">
        <f>ROUND(SUM(L40:L40),0)</f>
        <v>0</v>
      </c>
      <c r="M41" s="1306"/>
      <c r="N41" s="1556">
        <f>ROUND(SUM(N40:N40),0)</f>
        <v>0</v>
      </c>
      <c r="O41" s="1309"/>
      <c r="P41" s="1556">
        <f>ROUND(SUM(P40:P40),0)</f>
        <v>0</v>
      </c>
      <c r="Q41" s="1309"/>
      <c r="R41" s="1556">
        <f>ROUND(SUM(R40:R40),0)</f>
        <v>0</v>
      </c>
      <c r="S41" s="1309"/>
      <c r="T41" s="1556">
        <f>ROUND(SUM(T40:T40),0)</f>
        <v>0</v>
      </c>
      <c r="U41" s="1309"/>
      <c r="V41" s="1556">
        <f>ROUND(SUM(V40:V40),0)</f>
        <v>0</v>
      </c>
      <c r="W41" s="1309"/>
      <c r="X41" s="1556">
        <f>ROUND(SUM(X40:X40),0)</f>
        <v>0</v>
      </c>
      <c r="Y41" s="1309"/>
      <c r="Z41" s="1556">
        <f>ROUND(SUM(Z40:Z40),0)</f>
        <v>0</v>
      </c>
    </row>
    <row r="42" spans="1:28" ht="15" customHeight="1">
      <c r="B42" s="1554"/>
      <c r="C42" s="1312"/>
      <c r="D42" s="1554"/>
      <c r="E42" s="1309"/>
      <c r="F42" s="1553"/>
      <c r="G42" s="1309"/>
      <c r="H42" s="1554"/>
      <c r="I42" s="1309"/>
      <c r="J42" s="1554"/>
      <c r="K42" s="1309"/>
      <c r="L42" s="1554"/>
      <c r="M42" s="1306"/>
      <c r="N42" s="1554"/>
      <c r="O42" s="1309"/>
      <c r="P42" s="1555"/>
      <c r="Q42" s="1309"/>
      <c r="R42" s="1554"/>
      <c r="S42" s="1309"/>
      <c r="T42" s="1554"/>
      <c r="U42" s="1309"/>
      <c r="V42" s="1553"/>
      <c r="W42" s="1309"/>
      <c r="X42" s="1322"/>
      <c r="Y42" s="1309"/>
      <c r="Z42" s="1552"/>
    </row>
    <row r="43" spans="1:28" s="500" customFormat="1" ht="20.25" customHeight="1">
      <c r="A43" s="501" t="s">
        <v>488</v>
      </c>
      <c r="B43" s="1323">
        <f>ROUND(B37+B41,0)</f>
        <v>13114679</v>
      </c>
      <c r="C43" s="502"/>
      <c r="D43" s="1323">
        <f>ROUND(D37+D41,0)</f>
        <v>43677848</v>
      </c>
      <c r="E43" s="503"/>
      <c r="F43" s="1323">
        <f>ROUND(F37+F41,0)</f>
        <v>25537234</v>
      </c>
      <c r="G43" s="503"/>
      <c r="H43" s="1323">
        <f>ROUND(H37+H41,0)</f>
        <v>9454051</v>
      </c>
      <c r="I43" s="503"/>
      <c r="J43" s="1323">
        <f>ROUND(J37+J41,0)</f>
        <v>18440941</v>
      </c>
      <c r="K43" s="502"/>
      <c r="L43" s="1323">
        <f>ROUND(L37+L41,0)</f>
        <v>17198676</v>
      </c>
      <c r="M43" s="499"/>
      <c r="N43" s="1323">
        <f>ROUND(N37+N41,0)</f>
        <v>0</v>
      </c>
      <c r="O43" s="503"/>
      <c r="P43" s="1323">
        <f>ROUND(P37+P41,0)</f>
        <v>0</v>
      </c>
      <c r="Q43" s="503"/>
      <c r="R43" s="1323">
        <f>ROUND(R37+R41,0)</f>
        <v>0</v>
      </c>
      <c r="S43" s="503"/>
      <c r="T43" s="1323">
        <f>ROUND(T37+T41,0)</f>
        <v>0</v>
      </c>
      <c r="U43" s="503"/>
      <c r="V43" s="1323">
        <f>ROUND(V37+V41,0)</f>
        <v>0</v>
      </c>
      <c r="W43" s="503"/>
      <c r="X43" s="1323">
        <f>ROUND(X37+X41,0)</f>
        <v>0</v>
      </c>
      <c r="Y43" s="503"/>
      <c r="Z43" s="1323">
        <f>ROUND(Z37+Z41,0)</f>
        <v>127423429</v>
      </c>
      <c r="AB43" s="405"/>
    </row>
    <row r="44" spans="1:28" ht="15" customHeight="1">
      <c r="A44" s="1305"/>
      <c r="B44" s="1307"/>
      <c r="C44" s="1307"/>
      <c r="D44" s="1307"/>
      <c r="E44" s="1306"/>
      <c r="F44" s="1307"/>
      <c r="G44" s="1306"/>
      <c r="H44" s="1307"/>
      <c r="I44" s="1306"/>
      <c r="J44" s="1551"/>
      <c r="K44" s="1307"/>
      <c r="L44" s="1551"/>
      <c r="M44" s="1306"/>
      <c r="N44" s="1551"/>
      <c r="O44" s="1306"/>
      <c r="P44" s="1551"/>
      <c r="Q44" s="1306"/>
      <c r="R44" s="1551"/>
      <c r="S44" s="1306"/>
      <c r="T44" s="1551"/>
      <c r="U44" s="1306"/>
      <c r="V44" s="1551"/>
      <c r="W44" s="1306"/>
      <c r="X44" s="1551"/>
      <c r="Y44" s="1306"/>
      <c r="Z44" s="1324"/>
    </row>
    <row r="45" spans="1:28" s="500" customFormat="1" ht="20.25" customHeight="1" thickBot="1">
      <c r="A45" s="507" t="s">
        <v>489</v>
      </c>
      <c r="B45" s="1550">
        <f>ROUND(B12+B17-B43,0)</f>
        <v>83609252</v>
      </c>
      <c r="C45" s="497"/>
      <c r="D45" s="1550">
        <f>ROUND(D12+D17-D43,0)</f>
        <v>39931404</v>
      </c>
      <c r="E45" s="1304"/>
      <c r="F45" s="1550">
        <f>ROUND(F12+F17-F43,0)</f>
        <v>84394170</v>
      </c>
      <c r="G45" s="1304"/>
      <c r="H45" s="3895">
        <f>ROUND(H12+H17-H43,0)</f>
        <v>74940119</v>
      </c>
      <c r="I45" s="3896"/>
      <c r="J45" s="3911">
        <f>ROUND(J12+J17-J43,0)</f>
        <v>56499178</v>
      </c>
      <c r="K45" s="3897"/>
      <c r="L45" s="3895">
        <f>ROUND(L12+L17-L43,0)</f>
        <v>39300502</v>
      </c>
      <c r="M45" s="3898"/>
      <c r="N45" s="3895">
        <f>ROUND(N12+N17-N43,0)</f>
        <v>0</v>
      </c>
      <c r="O45" s="3899"/>
      <c r="P45" s="3895">
        <f>ROUND(P12+P17-P43,0)</f>
        <v>0</v>
      </c>
      <c r="Q45" s="3899"/>
      <c r="R45" s="3895">
        <f>ROUND(R12+R17-R43,0)</f>
        <v>0</v>
      </c>
      <c r="S45" s="3899"/>
      <c r="T45" s="3895">
        <f>ROUND(T12+T17-T43,0)</f>
        <v>0</v>
      </c>
      <c r="U45" s="3899"/>
      <c r="V45" s="3895">
        <f>ROUND(V12+V17-V43,0)</f>
        <v>0</v>
      </c>
      <c r="W45" s="3899"/>
      <c r="X45" s="3895">
        <f>ROUND(X12+X17-X43,0)</f>
        <v>0</v>
      </c>
      <c r="Y45" s="3899"/>
      <c r="Z45" s="3911">
        <f>ROUND(Z12+Z17-Z43,0)</f>
        <v>39300502</v>
      </c>
    </row>
    <row r="46" spans="1:28" ht="15" customHeight="1" thickTop="1">
      <c r="A46" s="1305"/>
      <c r="B46" s="1302"/>
      <c r="C46" s="1302"/>
      <c r="D46" s="1302"/>
      <c r="E46" s="1325"/>
      <c r="F46" s="1302"/>
      <c r="G46" s="1325"/>
      <c r="H46" s="1302"/>
      <c r="I46" s="1325"/>
      <c r="J46" s="1302"/>
      <c r="K46" s="1302"/>
      <c r="L46" s="1302"/>
      <c r="M46" s="1325"/>
      <c r="N46" s="1302"/>
      <c r="O46" s="1325"/>
      <c r="P46" s="1302"/>
      <c r="Q46" s="1325"/>
      <c r="R46" s="1302"/>
      <c r="S46" s="1325"/>
      <c r="T46" s="1302"/>
      <c r="U46" s="1325"/>
      <c r="V46" s="1302"/>
      <c r="W46" s="1325"/>
      <c r="X46" s="1302"/>
      <c r="Y46" s="1325"/>
      <c r="Z46" s="1324"/>
    </row>
    <row r="47" spans="1:28" ht="20.149999999999999" customHeight="1">
      <c r="A47" s="510"/>
      <c r="B47" s="1326"/>
      <c r="C47" s="1326"/>
      <c r="D47" s="1326"/>
      <c r="E47" s="1303"/>
      <c r="F47" s="1326"/>
      <c r="G47" s="1303"/>
      <c r="H47" s="1326"/>
      <c r="I47" s="1303"/>
      <c r="J47" s="1326"/>
      <c r="K47" s="1326"/>
      <c r="L47" s="1326"/>
      <c r="M47" s="1303"/>
      <c r="N47" s="1326"/>
      <c r="O47" s="1303"/>
      <c r="P47" s="1326"/>
      <c r="Q47" s="1303"/>
      <c r="R47" s="1326"/>
      <c r="S47" s="1303"/>
      <c r="T47" s="1326"/>
      <c r="U47" s="1303"/>
      <c r="V47" s="1326"/>
      <c r="W47" s="1303"/>
      <c r="X47" s="1326"/>
      <c r="Y47" s="1303"/>
      <c r="Z47" s="1308"/>
    </row>
    <row r="48" spans="1:28">
      <c r="L48" s="1547" t="s">
        <v>14</v>
      </c>
    </row>
    <row r="49" spans="1:26" ht="18" customHeight="1">
      <c r="A49" s="1549" t="s">
        <v>1291</v>
      </c>
      <c r="B49" s="1298"/>
      <c r="C49" s="1298"/>
      <c r="D49" s="1298"/>
      <c r="E49" s="478"/>
      <c r="F49" s="1298"/>
      <c r="G49" s="478"/>
      <c r="H49" s="1298"/>
      <c r="I49" s="478"/>
      <c r="J49" s="1298"/>
      <c r="K49" s="1298"/>
      <c r="L49" s="1298"/>
      <c r="M49" s="1303"/>
      <c r="N49" s="1298" t="s">
        <v>14</v>
      </c>
      <c r="O49" s="478"/>
      <c r="P49" s="1298"/>
      <c r="Q49" s="478"/>
      <c r="R49" s="1298"/>
      <c r="S49" s="478"/>
      <c r="T49" s="1298"/>
      <c r="U49" s="478"/>
      <c r="V49" s="1298"/>
      <c r="W49" s="478"/>
      <c r="X49" s="1298"/>
      <c r="Y49" s="478"/>
      <c r="Z49" s="1299"/>
    </row>
    <row r="50" spans="1:26" ht="20.149999999999999" customHeight="1">
      <c r="A50" s="1548" t="s">
        <v>1219</v>
      </c>
      <c r="B50" s="1326"/>
      <c r="C50" s="1326"/>
      <c r="D50" s="1326"/>
      <c r="E50" s="1303"/>
      <c r="F50" s="1326"/>
      <c r="G50" s="1303"/>
      <c r="H50" s="1326"/>
      <c r="I50" s="1303"/>
      <c r="J50" s="1326"/>
      <c r="K50" s="1326"/>
      <c r="L50" s="1326"/>
      <c r="M50" s="1303"/>
      <c r="N50" s="1326" t="s">
        <v>14</v>
      </c>
      <c r="O50" s="1303"/>
      <c r="P50" s="1326"/>
      <c r="Q50" s="1303"/>
      <c r="R50" s="1326"/>
      <c r="S50" s="1303"/>
      <c r="T50" s="1326"/>
      <c r="U50" s="1303"/>
      <c r="V50" s="1326"/>
      <c r="W50" s="1303"/>
      <c r="X50" s="1326"/>
      <c r="Y50" s="1303"/>
      <c r="Z50" s="1308"/>
    </row>
    <row r="51" spans="1:26" ht="20.149999999999999" customHeight="1">
      <c r="A51" s="1548"/>
      <c r="B51" s="1326"/>
      <c r="C51" s="1326"/>
      <c r="D51" s="1326"/>
      <c r="E51" s="1303"/>
      <c r="F51" s="1326"/>
      <c r="G51" s="1303"/>
      <c r="H51" s="1326"/>
      <c r="I51" s="1303"/>
      <c r="J51" s="1326"/>
      <c r="K51" s="1326"/>
      <c r="L51" s="1326"/>
      <c r="M51" s="1303"/>
      <c r="N51" s="1326" t="s">
        <v>14</v>
      </c>
      <c r="O51" s="1303"/>
      <c r="P51" s="1326"/>
      <c r="Q51" s="1303"/>
      <c r="R51" s="1326"/>
      <c r="S51" s="1303"/>
      <c r="T51" s="1326"/>
      <c r="U51" s="1303"/>
      <c r="V51" s="1326"/>
      <c r="W51" s="1303"/>
      <c r="X51" s="1326"/>
      <c r="Y51" s="1303"/>
      <c r="Z51" s="1308"/>
    </row>
    <row r="52" spans="1:26" ht="20.149999999999999" customHeight="1">
      <c r="A52" s="1573"/>
      <c r="B52" s="477"/>
      <c r="C52" s="477"/>
      <c r="D52" s="477"/>
      <c r="E52" s="478"/>
      <c r="F52" s="477"/>
      <c r="G52" s="478"/>
      <c r="H52" s="477"/>
      <c r="I52" s="478"/>
      <c r="J52" s="477"/>
      <c r="K52" s="477"/>
      <c r="L52" s="477"/>
      <c r="M52" s="478"/>
      <c r="N52" s="477"/>
      <c r="O52" s="478"/>
      <c r="P52" s="477"/>
      <c r="Q52" s="478"/>
      <c r="R52" s="477"/>
      <c r="S52" s="478"/>
      <c r="T52" s="477"/>
      <c r="U52" s="478"/>
      <c r="V52" s="477"/>
      <c r="W52" s="478"/>
      <c r="X52" s="477"/>
      <c r="Y52" s="478"/>
      <c r="Z52" s="406"/>
    </row>
    <row r="53" spans="1:26" ht="20.149999999999999" customHeight="1">
      <c r="A53" s="475"/>
      <c r="B53" s="477"/>
      <c r="C53" s="477"/>
      <c r="D53" s="477"/>
      <c r="E53" s="478"/>
      <c r="F53" s="477"/>
      <c r="G53" s="478"/>
      <c r="H53" s="477"/>
      <c r="I53" s="478"/>
      <c r="J53" s="477"/>
      <c r="K53" s="477"/>
      <c r="L53" s="477"/>
      <c r="M53" s="478"/>
      <c r="N53" s="477"/>
      <c r="O53" s="478"/>
      <c r="P53" s="477"/>
      <c r="Q53" s="478"/>
      <c r="R53" s="477"/>
      <c r="S53" s="478"/>
      <c r="T53" s="477"/>
      <c r="U53" s="478"/>
      <c r="V53" s="477"/>
      <c r="W53" s="478"/>
      <c r="X53" s="477"/>
      <c r="Y53" s="478"/>
      <c r="Z53" s="406"/>
    </row>
    <row r="54" spans="1:26" ht="20.149999999999999" customHeight="1">
      <c r="A54" s="475"/>
      <c r="B54" s="477"/>
      <c r="C54" s="477"/>
      <c r="D54" s="477"/>
      <c r="E54" s="478"/>
      <c r="F54" s="477"/>
      <c r="G54" s="478"/>
      <c r="H54" s="477"/>
      <c r="I54" s="478"/>
      <c r="J54" s="477"/>
      <c r="K54" s="477"/>
      <c r="L54" s="477"/>
      <c r="M54" s="478"/>
      <c r="N54" s="477"/>
      <c r="O54" s="478"/>
      <c r="P54" s="477"/>
      <c r="Q54" s="478"/>
      <c r="R54" s="477"/>
      <c r="S54" s="478"/>
      <c r="T54" s="477"/>
      <c r="U54" s="478"/>
      <c r="V54" s="477"/>
      <c r="W54" s="478"/>
      <c r="X54" s="477"/>
      <c r="Y54" s="478"/>
      <c r="Z54" s="406"/>
    </row>
    <row r="55" spans="1:26" ht="20.149999999999999" customHeight="1">
      <c r="A55" s="475"/>
      <c r="B55" s="477"/>
      <c r="C55" s="477"/>
      <c r="D55" s="477"/>
      <c r="E55" s="478"/>
      <c r="F55" s="477"/>
      <c r="G55" s="478"/>
      <c r="H55" s="477"/>
      <c r="I55" s="478"/>
      <c r="J55" s="477"/>
      <c r="K55" s="477"/>
      <c r="L55" s="477"/>
      <c r="M55" s="478"/>
      <c r="N55" s="477"/>
      <c r="O55" s="478"/>
      <c r="P55" s="477"/>
      <c r="Q55" s="478"/>
      <c r="R55" s="477"/>
      <c r="S55" s="478"/>
      <c r="T55" s="477"/>
      <c r="U55" s="478"/>
      <c r="V55" s="477"/>
      <c r="W55" s="478"/>
      <c r="X55" s="477"/>
      <c r="Y55" s="478"/>
      <c r="Z55" s="406"/>
    </row>
    <row r="56" spans="1:26" ht="20.149999999999999" customHeight="1">
      <c r="A56" s="475"/>
      <c r="B56" s="477"/>
      <c r="C56" s="477"/>
      <c r="D56" s="477"/>
      <c r="E56" s="478"/>
      <c r="F56" s="477"/>
      <c r="G56" s="478"/>
      <c r="H56" s="477"/>
      <c r="I56" s="478"/>
      <c r="J56" s="477"/>
      <c r="K56" s="477"/>
      <c r="L56" s="477"/>
      <c r="M56" s="478"/>
      <c r="N56" s="477"/>
      <c r="O56" s="478"/>
      <c r="P56" s="477"/>
      <c r="Q56" s="478"/>
      <c r="R56" s="477"/>
      <c r="S56" s="478"/>
      <c r="T56" s="477"/>
      <c r="U56" s="478"/>
      <c r="V56" s="477"/>
      <c r="W56" s="478"/>
      <c r="X56" s="477"/>
      <c r="Y56" s="478"/>
      <c r="Z56" s="406"/>
    </row>
    <row r="57" spans="1:26">
      <c r="A57" s="475"/>
      <c r="B57" s="477"/>
      <c r="C57" s="477"/>
      <c r="D57" s="477"/>
      <c r="E57" s="478"/>
      <c r="F57" s="477"/>
      <c r="G57" s="478"/>
      <c r="H57" s="477"/>
      <c r="I57" s="478"/>
      <c r="J57" s="477"/>
      <c r="K57" s="477"/>
      <c r="L57" s="477"/>
      <c r="M57" s="478"/>
      <c r="N57" s="477"/>
      <c r="O57" s="478"/>
      <c r="P57" s="477"/>
      <c r="Q57" s="478"/>
      <c r="R57" s="477"/>
      <c r="S57" s="478"/>
      <c r="T57" s="477"/>
      <c r="U57" s="478"/>
      <c r="V57" s="477"/>
      <c r="W57" s="478"/>
      <c r="X57" s="477"/>
      <c r="Y57" s="478"/>
      <c r="Z57" s="406"/>
    </row>
    <row r="58" spans="1:26">
      <c r="A58" s="475"/>
      <c r="B58" s="477"/>
      <c r="C58" s="477"/>
      <c r="D58" s="477"/>
      <c r="E58" s="478"/>
      <c r="F58" s="477"/>
      <c r="G58" s="478"/>
      <c r="H58" s="477"/>
      <c r="I58" s="478"/>
      <c r="J58" s="477"/>
      <c r="K58" s="477"/>
      <c r="L58" s="477"/>
      <c r="M58" s="478"/>
      <c r="N58" s="477"/>
      <c r="O58" s="478"/>
      <c r="P58" s="477"/>
      <c r="Q58" s="478"/>
      <c r="R58" s="477"/>
      <c r="S58" s="478"/>
      <c r="T58" s="477"/>
      <c r="U58" s="478"/>
      <c r="V58" s="477"/>
      <c r="W58" s="478"/>
      <c r="X58" s="477"/>
      <c r="Y58" s="478"/>
      <c r="Z58" s="406"/>
    </row>
    <row r="59" spans="1:26">
      <c r="A59" s="475"/>
      <c r="B59" s="477"/>
      <c r="C59" s="477"/>
      <c r="D59" s="477"/>
      <c r="E59" s="478"/>
      <c r="F59" s="477"/>
      <c r="G59" s="478"/>
      <c r="H59" s="477"/>
      <c r="I59" s="478"/>
      <c r="J59" s="477"/>
      <c r="K59" s="477"/>
      <c r="L59" s="477"/>
      <c r="M59" s="478"/>
      <c r="N59" s="477"/>
      <c r="O59" s="478"/>
      <c r="P59" s="477"/>
      <c r="Q59" s="478"/>
      <c r="R59" s="477"/>
      <c r="S59" s="478"/>
      <c r="T59" s="477"/>
      <c r="U59" s="478"/>
      <c r="V59" s="477"/>
      <c r="W59" s="478"/>
      <c r="X59" s="477"/>
      <c r="Y59" s="478"/>
      <c r="Z59" s="406"/>
    </row>
    <row r="60" spans="1:26">
      <c r="A60" s="475"/>
      <c r="B60" s="477"/>
      <c r="C60" s="477"/>
      <c r="D60" s="477"/>
      <c r="E60" s="478"/>
      <c r="F60" s="477"/>
      <c r="G60" s="478"/>
      <c r="H60" s="477"/>
      <c r="I60" s="478"/>
      <c r="J60" s="477"/>
      <c r="K60" s="477"/>
      <c r="L60" s="477"/>
      <c r="M60" s="478"/>
      <c r="N60" s="477"/>
      <c r="O60" s="478"/>
      <c r="P60" s="477"/>
      <c r="Q60" s="478"/>
      <c r="R60" s="477"/>
      <c r="S60" s="478"/>
      <c r="T60" s="477"/>
      <c r="U60" s="478"/>
      <c r="V60" s="477"/>
      <c r="W60" s="478"/>
      <c r="X60" s="477"/>
      <c r="Y60" s="478"/>
      <c r="Z60" s="406"/>
    </row>
    <row r="61" spans="1:26">
      <c r="A61" s="475"/>
      <c r="B61" s="477"/>
      <c r="C61" s="477"/>
      <c r="D61" s="477"/>
      <c r="E61" s="478"/>
      <c r="F61" s="477"/>
      <c r="G61" s="478"/>
      <c r="H61" s="477"/>
      <c r="I61" s="478"/>
      <c r="J61" s="477"/>
      <c r="K61" s="477"/>
      <c r="L61" s="477"/>
      <c r="M61" s="478"/>
      <c r="N61" s="477"/>
      <c r="O61" s="478"/>
      <c r="P61" s="477"/>
      <c r="Q61" s="478"/>
      <c r="R61" s="477"/>
      <c r="S61" s="478"/>
      <c r="T61" s="477"/>
      <c r="U61" s="478"/>
      <c r="V61" s="477"/>
      <c r="W61" s="478"/>
      <c r="X61" s="477"/>
      <c r="Y61" s="478"/>
      <c r="Z61" s="406"/>
    </row>
    <row r="62" spans="1:26">
      <c r="A62" s="475"/>
      <c r="B62" s="477"/>
      <c r="C62" s="477"/>
      <c r="D62" s="477"/>
      <c r="E62" s="478"/>
      <c r="F62" s="477"/>
      <c r="G62" s="478"/>
      <c r="H62" s="477"/>
      <c r="I62" s="478"/>
      <c r="J62" s="477"/>
      <c r="K62" s="477"/>
      <c r="L62" s="477"/>
      <c r="M62" s="478"/>
      <c r="N62" s="477"/>
      <c r="O62" s="478"/>
      <c r="P62" s="477"/>
      <c r="Q62" s="478"/>
      <c r="R62" s="477"/>
      <c r="S62" s="478"/>
      <c r="T62" s="477"/>
      <c r="U62" s="478"/>
      <c r="V62" s="477"/>
      <c r="W62" s="478"/>
      <c r="X62" s="477"/>
      <c r="Y62" s="478"/>
      <c r="Z62" s="406"/>
    </row>
    <row r="63" spans="1:26">
      <c r="A63" s="475"/>
      <c r="B63" s="477"/>
      <c r="C63" s="477"/>
      <c r="D63" s="477"/>
      <c r="E63" s="478"/>
      <c r="F63" s="477"/>
      <c r="G63" s="478"/>
      <c r="H63" s="477"/>
      <c r="I63" s="478"/>
      <c r="J63" s="477"/>
      <c r="K63" s="477"/>
      <c r="L63" s="477"/>
      <c r="M63" s="478"/>
      <c r="N63" s="477"/>
      <c r="O63" s="478"/>
      <c r="P63" s="477"/>
      <c r="Q63" s="478"/>
      <c r="R63" s="477"/>
      <c r="S63" s="478"/>
      <c r="T63" s="477"/>
      <c r="U63" s="478"/>
      <c r="V63" s="477"/>
      <c r="W63" s="478"/>
      <c r="X63" s="477"/>
      <c r="Y63" s="478"/>
      <c r="Z63" s="406"/>
    </row>
    <row r="64" spans="1:26">
      <c r="A64" s="475"/>
      <c r="B64" s="477"/>
      <c r="C64" s="477"/>
      <c r="D64" s="477"/>
      <c r="E64" s="478"/>
      <c r="F64" s="477"/>
      <c r="G64" s="478"/>
      <c r="H64" s="477"/>
      <c r="I64" s="478"/>
      <c r="J64" s="477"/>
      <c r="K64" s="477"/>
      <c r="L64" s="477"/>
      <c r="M64" s="478"/>
      <c r="N64" s="477"/>
      <c r="O64" s="478"/>
      <c r="P64" s="477"/>
      <c r="Q64" s="478"/>
      <c r="R64" s="477"/>
      <c r="S64" s="478"/>
      <c r="T64" s="477"/>
      <c r="U64" s="478"/>
      <c r="V64" s="477"/>
      <c r="W64" s="478"/>
      <c r="X64" s="477"/>
      <c r="Y64" s="478"/>
      <c r="Z64" s="406"/>
    </row>
    <row r="65" spans="1:26">
      <c r="A65" s="475"/>
      <c r="B65" s="477"/>
      <c r="C65" s="477"/>
      <c r="D65" s="477"/>
      <c r="E65" s="478"/>
      <c r="F65" s="477"/>
      <c r="G65" s="478"/>
      <c r="H65" s="477"/>
      <c r="I65" s="478"/>
      <c r="J65" s="477"/>
      <c r="K65" s="477"/>
      <c r="L65" s="477"/>
      <c r="M65" s="478"/>
      <c r="N65" s="477"/>
      <c r="O65" s="478"/>
      <c r="P65" s="477"/>
      <c r="Q65" s="478"/>
      <c r="R65" s="477"/>
      <c r="S65" s="478"/>
      <c r="T65" s="477"/>
      <c r="U65" s="478"/>
      <c r="V65" s="477"/>
      <c r="W65" s="478"/>
      <c r="X65" s="477"/>
      <c r="Y65" s="478"/>
      <c r="Z65" s="406"/>
    </row>
    <row r="66" spans="1:26">
      <c r="A66" s="475"/>
      <c r="B66" s="477"/>
      <c r="C66" s="477"/>
      <c r="D66" s="477"/>
      <c r="E66" s="478"/>
      <c r="F66" s="477"/>
      <c r="G66" s="478"/>
      <c r="H66" s="477"/>
      <c r="I66" s="478"/>
      <c r="J66" s="477"/>
      <c r="K66" s="477"/>
      <c r="L66" s="477"/>
      <c r="M66" s="478"/>
      <c r="N66" s="477"/>
      <c r="O66" s="478"/>
      <c r="P66" s="477"/>
      <c r="Q66" s="478"/>
      <c r="R66" s="477"/>
      <c r="S66" s="478"/>
      <c r="T66" s="477"/>
      <c r="U66" s="478"/>
      <c r="V66" s="477"/>
      <c r="W66" s="478"/>
      <c r="X66" s="477"/>
      <c r="Y66" s="478"/>
      <c r="Z66" s="406"/>
    </row>
    <row r="67" spans="1:26">
      <c r="A67" s="475"/>
      <c r="B67" s="477"/>
      <c r="C67" s="477"/>
      <c r="D67" s="477"/>
      <c r="E67" s="478"/>
      <c r="F67" s="477"/>
      <c r="G67" s="478"/>
      <c r="H67" s="477"/>
      <c r="I67" s="478"/>
      <c r="J67" s="477"/>
      <c r="K67" s="477"/>
      <c r="L67" s="477"/>
      <c r="M67" s="478"/>
      <c r="N67" s="477"/>
      <c r="O67" s="478"/>
      <c r="P67" s="477"/>
      <c r="Q67" s="478"/>
      <c r="R67" s="477"/>
      <c r="S67" s="478"/>
      <c r="T67" s="477"/>
      <c r="U67" s="478"/>
      <c r="V67" s="477"/>
      <c r="W67" s="478"/>
      <c r="X67" s="477"/>
      <c r="Y67" s="478"/>
      <c r="Z67" s="406"/>
    </row>
    <row r="68" spans="1:26">
      <c r="A68" s="475"/>
      <c r="B68" s="477"/>
      <c r="C68" s="477"/>
      <c r="D68" s="477"/>
      <c r="E68" s="478"/>
      <c r="F68" s="477"/>
      <c r="G68" s="478"/>
      <c r="H68" s="477"/>
      <c r="I68" s="478"/>
      <c r="J68" s="477"/>
      <c r="K68" s="477"/>
      <c r="L68" s="477"/>
      <c r="M68" s="478"/>
      <c r="N68" s="477"/>
      <c r="O68" s="478"/>
      <c r="P68" s="477"/>
      <c r="Q68" s="478"/>
      <c r="R68" s="477"/>
      <c r="S68" s="478"/>
      <c r="T68" s="477"/>
      <c r="U68" s="478"/>
      <c r="V68" s="477"/>
      <c r="W68" s="478"/>
      <c r="X68" s="477"/>
      <c r="Y68" s="478"/>
      <c r="Z68" s="406"/>
    </row>
    <row r="69" spans="1:26">
      <c r="A69" s="475"/>
      <c r="B69" s="477"/>
      <c r="C69" s="477"/>
      <c r="D69" s="477"/>
      <c r="E69" s="478"/>
      <c r="F69" s="477"/>
      <c r="G69" s="478"/>
      <c r="H69" s="477"/>
      <c r="I69" s="478"/>
      <c r="J69" s="477"/>
      <c r="K69" s="477"/>
      <c r="L69" s="477"/>
      <c r="M69" s="478"/>
      <c r="N69" s="477"/>
      <c r="O69" s="478"/>
      <c r="P69" s="477"/>
      <c r="Q69" s="478"/>
      <c r="R69" s="477"/>
      <c r="S69" s="478"/>
      <c r="T69" s="477"/>
      <c r="U69" s="478"/>
      <c r="V69" s="477"/>
      <c r="W69" s="478"/>
      <c r="X69" s="477"/>
      <c r="Y69" s="478"/>
      <c r="Z69" s="406"/>
    </row>
    <row r="70" spans="1:26">
      <c r="A70" s="475"/>
      <c r="B70" s="477"/>
      <c r="C70" s="477"/>
      <c r="D70" s="477"/>
      <c r="E70" s="478"/>
      <c r="F70" s="477"/>
      <c r="G70" s="478"/>
      <c r="H70" s="477"/>
      <c r="I70" s="478"/>
      <c r="J70" s="477"/>
      <c r="K70" s="477"/>
      <c r="L70" s="477"/>
      <c r="M70" s="478"/>
      <c r="N70" s="477"/>
      <c r="O70" s="478"/>
      <c r="P70" s="477"/>
      <c r="Q70" s="478"/>
      <c r="R70" s="477"/>
      <c r="S70" s="478"/>
      <c r="T70" s="477"/>
      <c r="U70" s="478"/>
      <c r="V70" s="477"/>
      <c r="W70" s="478"/>
      <c r="X70" s="477"/>
      <c r="Y70" s="478"/>
      <c r="Z70" s="406"/>
    </row>
    <row r="71" spans="1:26">
      <c r="A71" s="475"/>
      <c r="B71" s="477"/>
      <c r="C71" s="477"/>
      <c r="D71" s="477"/>
      <c r="E71" s="478"/>
      <c r="F71" s="477"/>
      <c r="G71" s="478"/>
      <c r="H71" s="477"/>
      <c r="I71" s="478"/>
      <c r="J71" s="477"/>
      <c r="K71" s="477"/>
      <c r="L71" s="477"/>
      <c r="M71" s="478"/>
      <c r="N71" s="477"/>
      <c r="O71" s="478"/>
      <c r="P71" s="477"/>
      <c r="Q71" s="478"/>
      <c r="R71" s="477"/>
      <c r="S71" s="478"/>
      <c r="T71" s="477"/>
      <c r="U71" s="478"/>
      <c r="V71" s="477"/>
      <c r="W71" s="478"/>
      <c r="X71" s="477"/>
      <c r="Y71" s="478"/>
      <c r="Z71" s="406"/>
    </row>
    <row r="72" spans="1:26">
      <c r="A72" s="475"/>
      <c r="B72" s="477"/>
      <c r="C72" s="477"/>
      <c r="D72" s="477"/>
      <c r="E72" s="478"/>
      <c r="F72" s="477"/>
      <c r="G72" s="478"/>
      <c r="H72" s="477"/>
      <c r="I72" s="478"/>
      <c r="J72" s="477"/>
      <c r="K72" s="477"/>
      <c r="L72" s="477"/>
      <c r="M72" s="478"/>
      <c r="N72" s="477"/>
      <c r="O72" s="478"/>
      <c r="P72" s="477"/>
      <c r="Q72" s="478"/>
      <c r="R72" s="477"/>
      <c r="S72" s="478"/>
      <c r="T72" s="477"/>
      <c r="U72" s="478"/>
      <c r="V72" s="477"/>
      <c r="W72" s="478"/>
      <c r="X72" s="477"/>
      <c r="Y72" s="478"/>
      <c r="Z72" s="406"/>
    </row>
    <row r="73" spans="1:26">
      <c r="A73" s="475"/>
      <c r="B73" s="477"/>
      <c r="C73" s="477"/>
      <c r="D73" s="477"/>
      <c r="E73" s="478"/>
      <c r="F73" s="477"/>
      <c r="G73" s="478"/>
      <c r="H73" s="477"/>
      <c r="I73" s="478"/>
      <c r="J73" s="477"/>
      <c r="K73" s="477"/>
      <c r="L73" s="477"/>
      <c r="M73" s="478"/>
      <c r="N73" s="477"/>
      <c r="O73" s="478"/>
      <c r="P73" s="477"/>
      <c r="Q73" s="478"/>
      <c r="R73" s="477"/>
      <c r="S73" s="478"/>
      <c r="T73" s="477"/>
      <c r="U73" s="478"/>
      <c r="V73" s="477"/>
      <c r="W73" s="478"/>
      <c r="X73" s="477"/>
      <c r="Y73" s="478"/>
      <c r="Z73" s="406"/>
    </row>
    <row r="74" spans="1:26">
      <c r="A74" s="475"/>
      <c r="B74" s="477"/>
      <c r="C74" s="477"/>
      <c r="D74" s="477"/>
      <c r="E74" s="478"/>
      <c r="F74" s="477"/>
      <c r="G74" s="478"/>
      <c r="H74" s="477"/>
      <c r="I74" s="478"/>
      <c r="J74" s="477"/>
      <c r="K74" s="477"/>
      <c r="L74" s="477"/>
      <c r="M74" s="478"/>
      <c r="N74" s="477"/>
      <c r="O74" s="478"/>
      <c r="P74" s="477"/>
      <c r="Q74" s="478"/>
      <c r="R74" s="477"/>
      <c r="S74" s="478"/>
      <c r="T74" s="477"/>
      <c r="U74" s="478"/>
      <c r="V74" s="477"/>
      <c r="W74" s="478"/>
      <c r="X74" s="477"/>
      <c r="Y74" s="478"/>
      <c r="Z74" s="406"/>
    </row>
    <row r="75" spans="1:26">
      <c r="A75" s="475"/>
      <c r="B75" s="477"/>
      <c r="C75" s="477"/>
      <c r="D75" s="477"/>
      <c r="E75" s="478"/>
      <c r="F75" s="477"/>
      <c r="G75" s="478"/>
      <c r="H75" s="477"/>
      <c r="I75" s="478"/>
      <c r="J75" s="477"/>
      <c r="K75" s="477"/>
      <c r="L75" s="477"/>
      <c r="M75" s="478"/>
      <c r="N75" s="477"/>
      <c r="O75" s="478"/>
      <c r="P75" s="477"/>
      <c r="Q75" s="478"/>
      <c r="R75" s="477"/>
      <c r="S75" s="478"/>
      <c r="T75" s="477"/>
      <c r="U75" s="478"/>
      <c r="V75" s="477"/>
      <c r="W75" s="478"/>
      <c r="X75" s="477"/>
      <c r="Y75" s="478"/>
      <c r="Z75" s="406"/>
    </row>
    <row r="76" spans="1:26">
      <c r="A76" s="475"/>
      <c r="B76" s="477"/>
      <c r="C76" s="477"/>
      <c r="D76" s="477"/>
      <c r="E76" s="478"/>
      <c r="F76" s="477"/>
      <c r="G76" s="478"/>
      <c r="H76" s="477"/>
      <c r="I76" s="478"/>
      <c r="J76" s="477"/>
      <c r="K76" s="477"/>
      <c r="L76" s="477"/>
      <c r="M76" s="478"/>
      <c r="N76" s="477"/>
      <c r="O76" s="478"/>
      <c r="P76" s="477"/>
      <c r="Q76" s="478"/>
      <c r="R76" s="477"/>
      <c r="S76" s="478"/>
      <c r="T76" s="477"/>
      <c r="U76" s="478"/>
      <c r="V76" s="477"/>
      <c r="W76" s="478"/>
      <c r="X76" s="477"/>
      <c r="Y76" s="478"/>
      <c r="Z76" s="406"/>
    </row>
    <row r="77" spans="1:26">
      <c r="A77" s="475"/>
      <c r="B77" s="477"/>
      <c r="C77" s="477"/>
      <c r="D77" s="477"/>
      <c r="E77" s="478"/>
      <c r="F77" s="477"/>
      <c r="G77" s="478"/>
      <c r="H77" s="477"/>
      <c r="I77" s="478"/>
      <c r="J77" s="477"/>
      <c r="K77" s="477"/>
      <c r="L77" s="477"/>
      <c r="M77" s="478"/>
      <c r="N77" s="477"/>
      <c r="O77" s="478"/>
      <c r="P77" s="477"/>
      <c r="Q77" s="478"/>
      <c r="R77" s="477"/>
      <c r="S77" s="478"/>
      <c r="T77" s="477"/>
      <c r="U77" s="478"/>
      <c r="V77" s="477"/>
      <c r="W77" s="478"/>
      <c r="X77" s="477"/>
      <c r="Y77" s="478"/>
      <c r="Z77" s="406"/>
    </row>
    <row r="78" spans="1:26">
      <c r="A78" s="475"/>
      <c r="B78" s="477"/>
      <c r="C78" s="477"/>
      <c r="D78" s="477"/>
      <c r="E78" s="478"/>
      <c r="F78" s="477"/>
      <c r="G78" s="478"/>
      <c r="H78" s="477"/>
      <c r="I78" s="478"/>
      <c r="J78" s="477"/>
      <c r="K78" s="477"/>
      <c r="L78" s="477"/>
      <c r="M78" s="478"/>
      <c r="N78" s="477"/>
      <c r="O78" s="478"/>
      <c r="P78" s="477"/>
      <c r="Q78" s="478"/>
      <c r="R78" s="477"/>
      <c r="S78" s="478"/>
      <c r="T78" s="477"/>
      <c r="U78" s="478"/>
      <c r="V78" s="477"/>
      <c r="W78" s="478"/>
      <c r="X78" s="477"/>
      <c r="Y78" s="478"/>
      <c r="Z78" s="406"/>
    </row>
    <row r="79" spans="1:26">
      <c r="A79" s="475"/>
      <c r="B79" s="477"/>
      <c r="C79" s="477"/>
      <c r="D79" s="477"/>
      <c r="E79" s="478"/>
      <c r="F79" s="477"/>
      <c r="G79" s="478"/>
      <c r="H79" s="477"/>
      <c r="I79" s="478"/>
      <c r="J79" s="477"/>
      <c r="K79" s="477"/>
      <c r="L79" s="477"/>
      <c r="M79" s="478"/>
      <c r="N79" s="477"/>
      <c r="O79" s="478"/>
      <c r="P79" s="477"/>
      <c r="Q79" s="478"/>
      <c r="R79" s="477"/>
      <c r="S79" s="478"/>
      <c r="T79" s="477"/>
      <c r="U79" s="478"/>
      <c r="V79" s="477"/>
      <c r="W79" s="478"/>
      <c r="X79" s="477"/>
      <c r="Y79" s="478"/>
      <c r="Z79" s="406"/>
    </row>
    <row r="80" spans="1:26">
      <c r="A80" s="475"/>
      <c r="B80" s="477"/>
      <c r="C80" s="477"/>
      <c r="D80" s="477"/>
      <c r="E80" s="478"/>
      <c r="F80" s="477"/>
      <c r="G80" s="478"/>
      <c r="H80" s="477"/>
      <c r="I80" s="478"/>
      <c r="J80" s="477"/>
      <c r="K80" s="477"/>
      <c r="L80" s="477"/>
      <c r="M80" s="478"/>
      <c r="N80" s="477"/>
      <c r="O80" s="478"/>
      <c r="P80" s="477"/>
      <c r="Q80" s="478"/>
      <c r="R80" s="477"/>
      <c r="S80" s="478"/>
      <c r="T80" s="477"/>
      <c r="U80" s="478"/>
      <c r="V80" s="477"/>
      <c r="W80" s="478"/>
      <c r="X80" s="477"/>
      <c r="Y80" s="478"/>
      <c r="Z80" s="406"/>
    </row>
    <row r="81" spans="1:26">
      <c r="A81" s="475"/>
      <c r="B81" s="477"/>
      <c r="C81" s="477"/>
      <c r="D81" s="477"/>
      <c r="E81" s="478"/>
      <c r="F81" s="477"/>
      <c r="G81" s="478"/>
      <c r="H81" s="477"/>
      <c r="I81" s="478"/>
      <c r="J81" s="477"/>
      <c r="K81" s="477"/>
      <c r="L81" s="477"/>
      <c r="M81" s="478"/>
      <c r="N81" s="477"/>
      <c r="O81" s="478"/>
      <c r="P81" s="477"/>
      <c r="Q81" s="478"/>
      <c r="R81" s="477"/>
      <c r="S81" s="478"/>
      <c r="T81" s="477"/>
      <c r="U81" s="478"/>
      <c r="V81" s="477"/>
      <c r="W81" s="478"/>
      <c r="X81" s="477"/>
      <c r="Y81" s="478"/>
      <c r="Z81" s="406"/>
    </row>
    <row r="82" spans="1:26">
      <c r="A82" s="475"/>
      <c r="B82" s="477"/>
      <c r="C82" s="477"/>
      <c r="D82" s="477"/>
      <c r="E82" s="478"/>
      <c r="F82" s="477"/>
      <c r="G82" s="478"/>
      <c r="H82" s="477"/>
      <c r="I82" s="478"/>
      <c r="J82" s="477"/>
      <c r="K82" s="477"/>
      <c r="L82" s="477"/>
      <c r="M82" s="478"/>
      <c r="N82" s="477"/>
      <c r="O82" s="478"/>
      <c r="P82" s="477"/>
      <c r="Q82" s="478"/>
      <c r="R82" s="477"/>
      <c r="S82" s="478"/>
      <c r="T82" s="477"/>
      <c r="U82" s="478"/>
      <c r="V82" s="477"/>
      <c r="W82" s="478"/>
      <c r="X82" s="477"/>
      <c r="Y82" s="478"/>
      <c r="Z82" s="406"/>
    </row>
    <row r="83" spans="1:26">
      <c r="A83" s="475"/>
      <c r="B83" s="477"/>
      <c r="C83" s="477"/>
      <c r="D83" s="477"/>
      <c r="E83" s="478"/>
      <c r="F83" s="477"/>
      <c r="G83" s="478"/>
      <c r="H83" s="477"/>
      <c r="I83" s="478"/>
      <c r="J83" s="477"/>
      <c r="K83" s="477"/>
      <c r="L83" s="477"/>
      <c r="M83" s="478"/>
      <c r="N83" s="477"/>
      <c r="O83" s="478"/>
      <c r="P83" s="477"/>
      <c r="Q83" s="478"/>
      <c r="R83" s="477"/>
      <c r="S83" s="478"/>
      <c r="T83" s="477"/>
      <c r="U83" s="478"/>
      <c r="V83" s="477"/>
      <c r="W83" s="478"/>
      <c r="X83" s="477"/>
      <c r="Y83" s="478"/>
      <c r="Z83" s="406"/>
    </row>
    <row r="84" spans="1:26">
      <c r="A84" s="475"/>
      <c r="B84" s="477"/>
      <c r="C84" s="477"/>
      <c r="D84" s="477"/>
      <c r="E84" s="478"/>
      <c r="F84" s="477"/>
      <c r="G84" s="478"/>
      <c r="H84" s="477"/>
      <c r="I84" s="478"/>
      <c r="J84" s="477"/>
      <c r="K84" s="477"/>
      <c r="L84" s="477"/>
      <c r="M84" s="478"/>
      <c r="N84" s="477"/>
      <c r="O84" s="478"/>
      <c r="P84" s="477"/>
      <c r="Q84" s="478"/>
      <c r="R84" s="477"/>
      <c r="S84" s="478"/>
      <c r="T84" s="477"/>
      <c r="U84" s="478"/>
      <c r="V84" s="477"/>
      <c r="W84" s="478"/>
      <c r="X84" s="477"/>
      <c r="Y84" s="478"/>
      <c r="Z84" s="406"/>
    </row>
    <row r="85" spans="1:26">
      <c r="A85" s="475"/>
      <c r="B85" s="477"/>
      <c r="C85" s="477"/>
      <c r="D85" s="477"/>
      <c r="E85" s="478"/>
      <c r="F85" s="477"/>
      <c r="G85" s="478"/>
      <c r="H85" s="477"/>
      <c r="I85" s="478"/>
      <c r="J85" s="477"/>
      <c r="K85" s="477"/>
      <c r="L85" s="477"/>
      <c r="M85" s="478"/>
      <c r="N85" s="477"/>
      <c r="O85" s="478"/>
      <c r="P85" s="477"/>
      <c r="Q85" s="478"/>
      <c r="R85" s="477"/>
      <c r="S85" s="478"/>
      <c r="T85" s="477"/>
      <c r="U85" s="478"/>
      <c r="V85" s="477"/>
      <c r="W85" s="478"/>
      <c r="X85" s="477"/>
      <c r="Y85" s="478"/>
      <c r="Z85" s="406"/>
    </row>
    <row r="86" spans="1:26">
      <c r="A86" s="475"/>
      <c r="B86" s="477"/>
      <c r="C86" s="477"/>
      <c r="D86" s="477"/>
      <c r="E86" s="478"/>
      <c r="F86" s="477"/>
      <c r="G86" s="478"/>
      <c r="H86" s="477"/>
      <c r="I86" s="478"/>
      <c r="J86" s="477"/>
      <c r="K86" s="477"/>
      <c r="L86" s="477"/>
      <c r="M86" s="478"/>
      <c r="N86" s="477"/>
      <c r="O86" s="478"/>
      <c r="P86" s="477"/>
      <c r="Q86" s="478"/>
      <c r="R86" s="477"/>
      <c r="S86" s="478"/>
      <c r="T86" s="477"/>
      <c r="U86" s="478"/>
      <c r="V86" s="477"/>
      <c r="W86" s="478"/>
      <c r="X86" s="477"/>
      <c r="Y86" s="478"/>
      <c r="Z86" s="406"/>
    </row>
    <row r="87" spans="1:26">
      <c r="A87" s="475"/>
      <c r="B87" s="477"/>
      <c r="C87" s="477"/>
      <c r="D87" s="477"/>
      <c r="E87" s="478"/>
      <c r="F87" s="477"/>
      <c r="G87" s="478"/>
      <c r="H87" s="477"/>
      <c r="I87" s="478"/>
      <c r="J87" s="477"/>
      <c r="K87" s="477"/>
      <c r="L87" s="477"/>
      <c r="M87" s="478"/>
      <c r="N87" s="477"/>
      <c r="O87" s="478"/>
      <c r="P87" s="477"/>
      <c r="Q87" s="478"/>
      <c r="R87" s="477"/>
      <c r="S87" s="478"/>
      <c r="T87" s="477"/>
      <c r="U87" s="478"/>
      <c r="V87" s="477"/>
      <c r="W87" s="478"/>
      <c r="X87" s="477"/>
      <c r="Y87" s="478"/>
      <c r="Z87" s="406"/>
    </row>
    <row r="88" spans="1:26">
      <c r="A88" s="475"/>
      <c r="B88" s="477"/>
      <c r="C88" s="477"/>
      <c r="D88" s="477"/>
      <c r="E88" s="478"/>
      <c r="F88" s="477"/>
      <c r="G88" s="478"/>
      <c r="H88" s="477"/>
      <c r="I88" s="478"/>
      <c r="J88" s="477"/>
      <c r="K88" s="477"/>
      <c r="L88" s="477"/>
      <c r="M88" s="478"/>
      <c r="N88" s="477"/>
      <c r="O88" s="478"/>
      <c r="P88" s="477"/>
      <c r="Q88" s="478"/>
      <c r="R88" s="477"/>
      <c r="S88" s="478"/>
      <c r="T88" s="477"/>
      <c r="U88" s="478"/>
      <c r="V88" s="477"/>
      <c r="W88" s="478"/>
      <c r="X88" s="477"/>
      <c r="Y88" s="478"/>
      <c r="Z88" s="406"/>
    </row>
    <row r="89" spans="1:26">
      <c r="A89" s="475"/>
      <c r="B89" s="477"/>
      <c r="C89" s="477"/>
      <c r="D89" s="477"/>
      <c r="E89" s="478"/>
      <c r="F89" s="477"/>
      <c r="G89" s="478"/>
      <c r="H89" s="477"/>
      <c r="I89" s="478"/>
      <c r="J89" s="477"/>
      <c r="K89" s="477"/>
      <c r="L89" s="477"/>
      <c r="M89" s="478"/>
      <c r="N89" s="477"/>
      <c r="O89" s="478"/>
      <c r="P89" s="477"/>
      <c r="Q89" s="478"/>
      <c r="R89" s="477"/>
      <c r="S89" s="478"/>
      <c r="T89" s="477"/>
      <c r="U89" s="478"/>
      <c r="V89" s="477"/>
      <c r="W89" s="478"/>
      <c r="X89" s="477"/>
      <c r="Y89" s="478"/>
      <c r="Z89" s="406"/>
    </row>
    <row r="90" spans="1:26">
      <c r="A90" s="475"/>
      <c r="B90" s="477"/>
      <c r="C90" s="477"/>
      <c r="D90" s="477"/>
      <c r="E90" s="478"/>
      <c r="F90" s="477"/>
      <c r="G90" s="478"/>
      <c r="H90" s="477"/>
      <c r="I90" s="478"/>
      <c r="J90" s="477"/>
      <c r="K90" s="477"/>
      <c r="L90" s="477"/>
      <c r="M90" s="478"/>
      <c r="N90" s="477"/>
      <c r="O90" s="478"/>
      <c r="P90" s="477"/>
      <c r="Q90" s="478"/>
      <c r="R90" s="477"/>
      <c r="S90" s="478"/>
      <c r="T90" s="477"/>
      <c r="U90" s="478"/>
      <c r="V90" s="477"/>
      <c r="W90" s="478"/>
      <c r="X90" s="477"/>
      <c r="Y90" s="478"/>
      <c r="Z90" s="406"/>
    </row>
    <row r="91" spans="1:26">
      <c r="A91" s="475"/>
      <c r="B91" s="477"/>
      <c r="C91" s="477"/>
      <c r="D91" s="477"/>
      <c r="E91" s="478"/>
      <c r="F91" s="477"/>
      <c r="G91" s="478"/>
      <c r="H91" s="477"/>
      <c r="I91" s="478"/>
      <c r="J91" s="477"/>
      <c r="K91" s="477"/>
      <c r="L91" s="477"/>
      <c r="M91" s="478"/>
      <c r="N91" s="477"/>
      <c r="O91" s="478"/>
      <c r="P91" s="477"/>
      <c r="Q91" s="478"/>
      <c r="R91" s="477"/>
      <c r="S91" s="478"/>
      <c r="T91" s="477"/>
      <c r="U91" s="478"/>
      <c r="V91" s="477"/>
      <c r="W91" s="478"/>
      <c r="X91" s="477"/>
      <c r="Y91" s="478"/>
      <c r="Z91" s="406"/>
    </row>
    <row r="92" spans="1:26">
      <c r="A92" s="475"/>
      <c r="B92" s="477"/>
      <c r="C92" s="477"/>
      <c r="D92" s="477"/>
      <c r="E92" s="478"/>
      <c r="F92" s="477"/>
      <c r="G92" s="478"/>
      <c r="H92" s="477"/>
      <c r="I92" s="478"/>
      <c r="J92" s="477"/>
      <c r="K92" s="477"/>
      <c r="L92" s="477"/>
      <c r="M92" s="478"/>
      <c r="N92" s="477"/>
      <c r="O92" s="478"/>
      <c r="P92" s="477"/>
      <c r="Q92" s="478"/>
      <c r="R92" s="477"/>
      <c r="S92" s="478"/>
      <c r="T92" s="477"/>
      <c r="U92" s="478"/>
      <c r="V92" s="477"/>
      <c r="W92" s="478"/>
      <c r="X92" s="477"/>
      <c r="Y92" s="478"/>
      <c r="Z92" s="406"/>
    </row>
    <row r="93" spans="1:26">
      <c r="A93" s="475"/>
      <c r="B93" s="477"/>
      <c r="C93" s="477"/>
      <c r="D93" s="477"/>
      <c r="E93" s="478"/>
      <c r="F93" s="477"/>
      <c r="G93" s="478"/>
      <c r="H93" s="477"/>
      <c r="I93" s="478"/>
      <c r="J93" s="477"/>
      <c r="K93" s="477"/>
      <c r="L93" s="477"/>
      <c r="M93" s="478"/>
      <c r="N93" s="477"/>
      <c r="O93" s="478"/>
      <c r="P93" s="477"/>
      <c r="Q93" s="478"/>
      <c r="R93" s="477"/>
      <c r="S93" s="478"/>
      <c r="T93" s="477"/>
      <c r="U93" s="478"/>
      <c r="V93" s="477"/>
      <c r="W93" s="478"/>
      <c r="X93" s="477"/>
      <c r="Y93" s="478"/>
      <c r="Z93" s="406"/>
    </row>
    <row r="94" spans="1:26">
      <c r="A94" s="475"/>
      <c r="B94" s="477"/>
      <c r="C94" s="477"/>
      <c r="D94" s="477"/>
      <c r="E94" s="478"/>
      <c r="F94" s="477"/>
      <c r="G94" s="478"/>
      <c r="H94" s="477"/>
      <c r="I94" s="478"/>
      <c r="J94" s="477"/>
      <c r="K94" s="477"/>
      <c r="L94" s="477"/>
      <c r="M94" s="478"/>
      <c r="N94" s="477"/>
      <c r="O94" s="478"/>
      <c r="P94" s="477"/>
      <c r="Q94" s="478"/>
      <c r="R94" s="477"/>
      <c r="S94" s="478"/>
      <c r="T94" s="477"/>
      <c r="U94" s="478"/>
      <c r="V94" s="477"/>
      <c r="W94" s="478"/>
      <c r="X94" s="477"/>
      <c r="Y94" s="478"/>
      <c r="Z94" s="406"/>
    </row>
  </sheetData>
  <sortState xmlns:xlrd2="http://schemas.microsoft.com/office/spreadsheetml/2017/richdata2" ref="A19:AN28">
    <sortCondition ref="A19:A28"/>
  </sortState>
  <printOptions horizontalCentered="1"/>
  <pageMargins left="0.25" right="0.25" top="0.5" bottom="0.25" header="0" footer="0.25"/>
  <pageSetup scale="42" firstPageNumber="56"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Q73"/>
  <sheetViews>
    <sheetView showGridLines="0" zoomScale="80" zoomScaleNormal="70" workbookViewId="0"/>
  </sheetViews>
  <sheetFormatPr defaultColWidth="8.84375" defaultRowHeight="17.25" customHeight="1"/>
  <cols>
    <col min="1" max="1" width="62.07421875" style="3722" customWidth="1"/>
    <col min="2" max="2" width="2.07421875" style="3549" customWidth="1"/>
    <col min="3" max="3" width="26" style="3722" customWidth="1"/>
    <col min="4" max="4" width="22.07421875" style="3722" customWidth="1"/>
    <col min="5" max="5" width="25.07421875" style="3722" customWidth="1"/>
    <col min="6" max="6" width="2" style="3722" customWidth="1"/>
    <col min="7" max="7" width="24.07421875" style="3552" customWidth="1"/>
    <col min="8" max="8" width="22.53515625" style="3549" customWidth="1"/>
    <col min="9" max="9" width="26.53515625" style="3549" customWidth="1"/>
    <col min="10" max="10" width="19.84375" style="3782" customWidth="1"/>
    <col min="11" max="11" width="21.84375" style="3782" customWidth="1"/>
    <col min="12" max="12" width="18" style="3782" bestFit="1" customWidth="1"/>
    <col min="13" max="13" width="15.07421875" style="3549" bestFit="1" customWidth="1"/>
    <col min="14" max="16384" width="8.84375" style="3549"/>
  </cols>
  <sheetData>
    <row r="1" spans="1:13" ht="17.25" customHeight="1">
      <c r="A1" s="1486" t="s">
        <v>882</v>
      </c>
    </row>
    <row r="3" spans="1:13" ht="25.4" customHeight="1">
      <c r="A3" s="3748" t="s">
        <v>0</v>
      </c>
      <c r="C3" s="3550"/>
      <c r="D3" s="3550"/>
      <c r="E3" s="3550"/>
      <c r="F3" s="3551"/>
      <c r="H3" s="3554" t="s">
        <v>14</v>
      </c>
      <c r="I3" s="3555" t="s">
        <v>1332</v>
      </c>
    </row>
    <row r="4" spans="1:13" ht="25.4" customHeight="1">
      <c r="A4" s="3749" t="s">
        <v>1356</v>
      </c>
      <c r="C4" s="3550"/>
      <c r="D4" s="3550"/>
      <c r="E4" s="3550"/>
      <c r="F4" s="3551"/>
    </row>
    <row r="5" spans="1:13" ht="21" customHeight="1">
      <c r="A5" s="3855" t="str">
        <f>'HCRA '!A6</f>
        <v xml:space="preserve">FISCAL YEAR 2021-2022   </v>
      </c>
      <c r="C5" s="3550"/>
      <c r="D5" s="3550"/>
      <c r="E5" s="3550"/>
      <c r="F5" s="3551"/>
    </row>
    <row r="6" spans="1:13" ht="17.25" customHeight="1">
      <c r="A6" s="3750"/>
      <c r="C6" s="3550"/>
      <c r="D6" s="3550"/>
      <c r="E6" s="3550"/>
      <c r="F6" s="3551"/>
    </row>
    <row r="7" spans="1:13" ht="17.25" customHeight="1">
      <c r="A7" s="3751"/>
      <c r="B7" s="3601"/>
      <c r="C7" s="4001" t="s">
        <v>1560</v>
      </c>
      <c r="D7" s="4002"/>
      <c r="E7" s="4002"/>
      <c r="F7" s="3712"/>
      <c r="G7" s="4002" t="s">
        <v>1569</v>
      </c>
      <c r="H7" s="4002"/>
      <c r="I7" s="4002"/>
    </row>
    <row r="8" spans="1:13" ht="17.25" customHeight="1">
      <c r="A8" s="3751"/>
      <c r="B8" s="3601"/>
      <c r="C8" s="3751"/>
      <c r="D8" s="3751"/>
      <c r="E8" s="3751"/>
      <c r="F8" s="3751"/>
      <c r="G8" s="3714"/>
      <c r="H8" s="3601"/>
      <c r="I8" s="3601"/>
    </row>
    <row r="9" spans="1:13" ht="17.25" customHeight="1">
      <c r="A9" s="3602"/>
      <c r="B9" s="3601"/>
      <c r="C9" s="3602" t="s">
        <v>1294</v>
      </c>
      <c r="D9" s="3602" t="s">
        <v>1295</v>
      </c>
      <c r="E9" s="3602" t="s">
        <v>1572</v>
      </c>
      <c r="F9" s="3602"/>
      <c r="G9" s="3602" t="s">
        <v>1294</v>
      </c>
      <c r="H9" s="3602" t="s">
        <v>1295</v>
      </c>
      <c r="I9" s="3553" t="s">
        <v>1296</v>
      </c>
    </row>
    <row r="10" spans="1:13" s="3754" customFormat="1" ht="17.25" customHeight="1">
      <c r="A10" s="3752"/>
      <c r="B10" s="3717"/>
      <c r="C10" s="3753"/>
      <c r="D10" s="3753"/>
      <c r="E10" s="3753"/>
      <c r="F10" s="3753"/>
      <c r="G10" s="3570"/>
      <c r="H10" s="3570"/>
      <c r="I10" s="3570"/>
      <c r="J10" s="3788"/>
      <c r="K10" s="3788"/>
      <c r="L10" s="3788"/>
    </row>
    <row r="11" spans="1:13" s="3758" customFormat="1" ht="17.25" customHeight="1">
      <c r="A11" s="3755" t="s">
        <v>1297</v>
      </c>
      <c r="B11" s="3756"/>
      <c r="C11" s="3571">
        <v>0</v>
      </c>
      <c r="D11" s="3571">
        <v>60138509</v>
      </c>
      <c r="E11" s="3757">
        <f>C11+D11</f>
        <v>60138509</v>
      </c>
      <c r="F11" s="3757"/>
      <c r="G11" s="3571">
        <v>0</v>
      </c>
      <c r="H11" s="3571">
        <v>126273514</v>
      </c>
      <c r="I11" s="3757">
        <f>G11+H11</f>
        <v>126273514</v>
      </c>
      <c r="J11" s="3812"/>
      <c r="K11" s="3812"/>
      <c r="L11" s="3812"/>
    </row>
    <row r="12" spans="1:13" s="3758" customFormat="1" ht="17.25" customHeight="1">
      <c r="A12" s="3755" t="s">
        <v>1321</v>
      </c>
      <c r="B12" s="3756"/>
      <c r="C12" s="3760">
        <v>32725986</v>
      </c>
      <c r="D12" s="3572">
        <v>13359362.16</v>
      </c>
      <c r="E12" s="3567">
        <f>C12+D12</f>
        <v>46085348.159999996</v>
      </c>
      <c r="F12" s="3567"/>
      <c r="G12" s="3760">
        <v>74550190</v>
      </c>
      <c r="H12" s="3572">
        <v>11422618.65</v>
      </c>
      <c r="I12" s="3567">
        <f>G12+H12</f>
        <v>85972808.650000006</v>
      </c>
      <c r="J12" s="3812"/>
      <c r="K12" s="3812"/>
      <c r="L12" s="3812"/>
      <c r="M12" s="3759"/>
    </row>
    <row r="13" spans="1:13" s="3758" customFormat="1" ht="17.25" customHeight="1">
      <c r="A13" s="3755" t="s">
        <v>1322</v>
      </c>
      <c r="B13" s="3756"/>
      <c r="C13" s="3760">
        <v>0</v>
      </c>
      <c r="D13" s="3572">
        <v>479979735</v>
      </c>
      <c r="E13" s="3567">
        <f t="shared" ref="E13:E56" si="0">C13+D13</f>
        <v>479979735</v>
      </c>
      <c r="F13" s="3567"/>
      <c r="G13" s="3760">
        <f t="shared" ref="G13:G55" si="1">C13</f>
        <v>0</v>
      </c>
      <c r="H13" s="3572">
        <v>990381484.78999996</v>
      </c>
      <c r="I13" s="3567">
        <f t="shared" ref="I13:I56" si="2">G13+H13</f>
        <v>990381484.78999996</v>
      </c>
      <c r="J13" s="3812"/>
      <c r="K13" s="3812"/>
      <c r="L13" s="3812"/>
    </row>
    <row r="14" spans="1:13" s="3758" customFormat="1" ht="17.25" customHeight="1">
      <c r="A14" s="3556" t="s">
        <v>1312</v>
      </c>
      <c r="B14" s="3761"/>
      <c r="C14" s="3760">
        <v>4823013.05</v>
      </c>
      <c r="D14" s="3572">
        <v>45553772</v>
      </c>
      <c r="E14" s="3567">
        <f t="shared" si="0"/>
        <v>50376785.049999997</v>
      </c>
      <c r="F14" s="3567"/>
      <c r="G14" s="3760">
        <v>31268419.870000001</v>
      </c>
      <c r="H14" s="3572">
        <v>224763431</v>
      </c>
      <c r="I14" s="3567">
        <f t="shared" si="2"/>
        <v>256031850.87</v>
      </c>
      <c r="J14" s="3812"/>
      <c r="K14" s="3812"/>
      <c r="L14" s="3812"/>
    </row>
    <row r="15" spans="1:13" s="3758" customFormat="1" ht="17.25" customHeight="1">
      <c r="A15" s="3755" t="s">
        <v>1323</v>
      </c>
      <c r="B15" s="3756"/>
      <c r="C15" s="3760">
        <v>0</v>
      </c>
      <c r="D15" s="3572">
        <v>0</v>
      </c>
      <c r="E15" s="3567">
        <f t="shared" si="0"/>
        <v>0</v>
      </c>
      <c r="F15" s="3567"/>
      <c r="G15" s="3760">
        <f t="shared" si="1"/>
        <v>0</v>
      </c>
      <c r="H15" s="3572">
        <f t="shared" ref="H15:H56" si="3">D15</f>
        <v>0</v>
      </c>
      <c r="I15" s="3567">
        <f t="shared" si="2"/>
        <v>0</v>
      </c>
      <c r="J15" s="3812"/>
      <c r="K15" s="3812"/>
      <c r="L15" s="3812"/>
    </row>
    <row r="16" spans="1:13" s="3758" customFormat="1" ht="17.25" customHeight="1">
      <c r="A16" s="3755" t="s">
        <v>1324</v>
      </c>
      <c r="B16" s="3756"/>
      <c r="C16" s="3760">
        <v>915317.23</v>
      </c>
      <c r="D16" s="3572">
        <v>0</v>
      </c>
      <c r="E16" s="3567">
        <f t="shared" si="0"/>
        <v>915317.23</v>
      </c>
      <c r="F16" s="3567"/>
      <c r="G16" s="3760">
        <v>5552185.1399999997</v>
      </c>
      <c r="H16" s="3572">
        <f t="shared" si="3"/>
        <v>0</v>
      </c>
      <c r="I16" s="3567">
        <f t="shared" si="2"/>
        <v>5552185.1399999997</v>
      </c>
      <c r="J16" s="3812"/>
      <c r="K16" s="3812"/>
      <c r="L16" s="3812"/>
    </row>
    <row r="17" spans="1:12" s="3758" customFormat="1" ht="17.25" customHeight="1">
      <c r="A17" s="3755" t="s">
        <v>1325</v>
      </c>
      <c r="B17" s="3756"/>
      <c r="C17" s="3760">
        <v>0</v>
      </c>
      <c r="D17" s="3572">
        <v>0</v>
      </c>
      <c r="E17" s="3567">
        <f t="shared" si="0"/>
        <v>0</v>
      </c>
      <c r="F17" s="3567"/>
      <c r="G17" s="3760">
        <v>0</v>
      </c>
      <c r="H17" s="3572">
        <f t="shared" si="3"/>
        <v>0</v>
      </c>
      <c r="I17" s="3567">
        <f t="shared" si="2"/>
        <v>0</v>
      </c>
      <c r="J17" s="3812"/>
      <c r="K17" s="3812"/>
      <c r="L17" s="3812"/>
    </row>
    <row r="18" spans="1:12" s="3758" customFormat="1" ht="17.25" customHeight="1">
      <c r="A18" s="3755" t="s">
        <v>1298</v>
      </c>
      <c r="B18" s="3756"/>
      <c r="C18" s="3760">
        <v>55641.630000000005</v>
      </c>
      <c r="D18" s="3572">
        <v>0</v>
      </c>
      <c r="E18" s="3567">
        <f t="shared" si="0"/>
        <v>55641.630000000005</v>
      </c>
      <c r="F18" s="3567"/>
      <c r="G18" s="3760">
        <v>73022.09</v>
      </c>
      <c r="H18" s="3572">
        <f t="shared" si="3"/>
        <v>0</v>
      </c>
      <c r="I18" s="3567">
        <f t="shared" si="2"/>
        <v>73022.09</v>
      </c>
      <c r="J18" s="3812"/>
      <c r="K18" s="3812"/>
      <c r="L18" s="3812"/>
    </row>
    <row r="19" spans="1:12" s="3758" customFormat="1" ht="17.25" customHeight="1">
      <c r="A19" s="3755" t="s">
        <v>1299</v>
      </c>
      <c r="B19" s="3756"/>
      <c r="C19" s="3760">
        <v>0</v>
      </c>
      <c r="D19" s="3572">
        <v>1901428.4300000002</v>
      </c>
      <c r="E19" s="3567">
        <f t="shared" si="0"/>
        <v>1901428.4300000002</v>
      </c>
      <c r="F19" s="3567"/>
      <c r="G19" s="3760">
        <f t="shared" si="1"/>
        <v>0</v>
      </c>
      <c r="H19" s="3572">
        <v>6160584.9800000004</v>
      </c>
      <c r="I19" s="3567">
        <f t="shared" si="2"/>
        <v>6160584.9800000004</v>
      </c>
      <c r="J19" s="3812"/>
      <c r="K19" s="3812"/>
      <c r="L19" s="3812"/>
    </row>
    <row r="20" spans="1:12" s="3758" customFormat="1" ht="17.25" customHeight="1">
      <c r="A20" s="3755" t="s">
        <v>1300</v>
      </c>
      <c r="B20" s="3756"/>
      <c r="C20" s="3760">
        <v>320964.33</v>
      </c>
      <c r="D20" s="3572">
        <v>0</v>
      </c>
      <c r="E20" s="3567">
        <f t="shared" si="0"/>
        <v>320964.33</v>
      </c>
      <c r="F20" s="3567"/>
      <c r="G20" s="3760">
        <v>2026953.05</v>
      </c>
      <c r="H20" s="3572">
        <f t="shared" si="3"/>
        <v>0</v>
      </c>
      <c r="I20" s="3567">
        <f t="shared" si="2"/>
        <v>2026953.05</v>
      </c>
      <c r="J20" s="3812"/>
      <c r="K20" s="3812"/>
      <c r="L20" s="3812"/>
    </row>
    <row r="21" spans="1:12" s="3758" customFormat="1" ht="17.25" customHeight="1">
      <c r="A21" s="3755" t="s">
        <v>1342</v>
      </c>
      <c r="B21" s="3756"/>
      <c r="C21" s="3760">
        <v>0</v>
      </c>
      <c r="D21" s="3572">
        <v>0</v>
      </c>
      <c r="E21" s="3567">
        <f t="shared" si="0"/>
        <v>0</v>
      </c>
      <c r="F21" s="3567"/>
      <c r="G21" s="3760">
        <f t="shared" si="1"/>
        <v>0</v>
      </c>
      <c r="H21" s="3572">
        <f t="shared" si="3"/>
        <v>0</v>
      </c>
      <c r="I21" s="3567">
        <f t="shared" si="2"/>
        <v>0</v>
      </c>
      <c r="J21" s="3812"/>
      <c r="K21" s="3812"/>
      <c r="L21" s="3812"/>
    </row>
    <row r="22" spans="1:12" s="3758" customFormat="1" ht="17.25" customHeight="1">
      <c r="A22" s="3755" t="s">
        <v>1326</v>
      </c>
      <c r="B22" s="3756"/>
      <c r="C22" s="3760">
        <v>0</v>
      </c>
      <c r="D22" s="3572">
        <v>0</v>
      </c>
      <c r="E22" s="3567">
        <f t="shared" si="0"/>
        <v>0</v>
      </c>
      <c r="F22" s="3567"/>
      <c r="G22" s="3760">
        <v>2156641.19</v>
      </c>
      <c r="H22" s="3572">
        <f t="shared" si="3"/>
        <v>0</v>
      </c>
      <c r="I22" s="3567">
        <f t="shared" si="2"/>
        <v>2156641.19</v>
      </c>
      <c r="J22" s="3812"/>
      <c r="K22" s="3812"/>
      <c r="L22" s="3812"/>
    </row>
    <row r="23" spans="1:12" s="3758" customFormat="1" ht="17.25" customHeight="1">
      <c r="A23" s="3755" t="s">
        <v>1301</v>
      </c>
      <c r="B23" s="3756"/>
      <c r="C23" s="3760">
        <v>0</v>
      </c>
      <c r="D23" s="3572">
        <v>0</v>
      </c>
      <c r="E23" s="3567">
        <f t="shared" si="0"/>
        <v>0</v>
      </c>
      <c r="F23" s="3567"/>
      <c r="G23" s="3760">
        <f t="shared" si="1"/>
        <v>0</v>
      </c>
      <c r="H23" s="3572">
        <f t="shared" si="3"/>
        <v>0</v>
      </c>
      <c r="I23" s="3567">
        <f t="shared" si="2"/>
        <v>0</v>
      </c>
      <c r="J23" s="3812"/>
      <c r="K23" s="3812"/>
      <c r="L23" s="3812"/>
    </row>
    <row r="24" spans="1:12" s="3758" customFormat="1" ht="17.25" customHeight="1">
      <c r="A24" s="3755" t="s">
        <v>1343</v>
      </c>
      <c r="B24" s="3756"/>
      <c r="C24" s="3760">
        <v>0</v>
      </c>
      <c r="D24" s="3572">
        <v>0</v>
      </c>
      <c r="E24" s="3567">
        <f t="shared" si="0"/>
        <v>0</v>
      </c>
      <c r="F24" s="3567"/>
      <c r="G24" s="3760">
        <f t="shared" si="1"/>
        <v>0</v>
      </c>
      <c r="H24" s="3572">
        <f t="shared" si="3"/>
        <v>0</v>
      </c>
      <c r="I24" s="3567">
        <f t="shared" si="2"/>
        <v>0</v>
      </c>
      <c r="J24" s="3812"/>
      <c r="K24" s="3812"/>
      <c r="L24" s="3812"/>
    </row>
    <row r="25" spans="1:12" s="3758" customFormat="1" ht="17.25" customHeight="1">
      <c r="A25" s="3755" t="s">
        <v>1327</v>
      </c>
      <c r="B25" s="3756"/>
      <c r="C25" s="3760">
        <v>0</v>
      </c>
      <c r="D25" s="3572">
        <v>0</v>
      </c>
      <c r="E25" s="3567">
        <f t="shared" si="0"/>
        <v>0</v>
      </c>
      <c r="F25" s="3567"/>
      <c r="G25" s="3760">
        <f t="shared" si="1"/>
        <v>0</v>
      </c>
      <c r="H25" s="3572">
        <f t="shared" si="3"/>
        <v>0</v>
      </c>
      <c r="I25" s="3567">
        <f t="shared" si="2"/>
        <v>0</v>
      </c>
      <c r="J25" s="3812"/>
      <c r="K25" s="3812"/>
      <c r="L25" s="3812"/>
    </row>
    <row r="26" spans="1:12" s="3758" customFormat="1" ht="17.25" customHeight="1">
      <c r="A26" s="3755" t="s">
        <v>1328</v>
      </c>
      <c r="B26" s="3756"/>
      <c r="C26" s="3760">
        <v>0</v>
      </c>
      <c r="D26" s="3572">
        <v>0</v>
      </c>
      <c r="E26" s="3567">
        <f t="shared" si="0"/>
        <v>0</v>
      </c>
      <c r="F26" s="3567"/>
      <c r="G26" s="3760">
        <f t="shared" si="1"/>
        <v>0</v>
      </c>
      <c r="H26" s="3572">
        <f t="shared" si="3"/>
        <v>0</v>
      </c>
      <c r="I26" s="3567">
        <f t="shared" si="2"/>
        <v>0</v>
      </c>
      <c r="J26" s="3812"/>
      <c r="K26" s="3812"/>
      <c r="L26" s="3812"/>
    </row>
    <row r="27" spans="1:12" s="3758" customFormat="1" ht="17.25" customHeight="1">
      <c r="A27" s="3755" t="s">
        <v>1372</v>
      </c>
      <c r="B27" s="3756"/>
      <c r="C27" s="3760">
        <v>0</v>
      </c>
      <c r="D27" s="3572">
        <v>0</v>
      </c>
      <c r="E27" s="3567">
        <f t="shared" si="0"/>
        <v>0</v>
      </c>
      <c r="F27" s="3567"/>
      <c r="G27" s="3760">
        <f t="shared" si="1"/>
        <v>0</v>
      </c>
      <c r="H27" s="3572">
        <f t="shared" si="3"/>
        <v>0</v>
      </c>
      <c r="I27" s="3567">
        <f t="shared" si="2"/>
        <v>0</v>
      </c>
      <c r="J27" s="3812"/>
      <c r="K27" s="3812"/>
      <c r="L27" s="3812"/>
    </row>
    <row r="28" spans="1:12" s="3758" customFormat="1" ht="17.25" customHeight="1">
      <c r="A28" s="3755" t="s">
        <v>1337</v>
      </c>
      <c r="B28" s="3756"/>
      <c r="C28" s="3760">
        <v>1500000</v>
      </c>
      <c r="D28" s="3572">
        <v>0</v>
      </c>
      <c r="E28" s="3567">
        <f t="shared" si="0"/>
        <v>1500000</v>
      </c>
      <c r="F28" s="3567"/>
      <c r="G28" s="3760">
        <v>1500000</v>
      </c>
      <c r="H28" s="3572">
        <f t="shared" si="3"/>
        <v>0</v>
      </c>
      <c r="I28" s="3567">
        <f t="shared" si="2"/>
        <v>1500000</v>
      </c>
      <c r="J28" s="3812"/>
      <c r="K28" s="3812"/>
      <c r="L28" s="3812"/>
    </row>
    <row r="29" spans="1:12" s="3758" customFormat="1" ht="17.25" customHeight="1">
      <c r="A29" s="3755" t="s">
        <v>1302</v>
      </c>
      <c r="B29" s="3756"/>
      <c r="C29" s="3760">
        <v>0</v>
      </c>
      <c r="D29" s="3572">
        <v>0</v>
      </c>
      <c r="E29" s="3567">
        <f t="shared" si="0"/>
        <v>0</v>
      </c>
      <c r="F29" s="3567"/>
      <c r="G29" s="3760">
        <f t="shared" si="1"/>
        <v>0</v>
      </c>
      <c r="H29" s="3572">
        <f t="shared" si="3"/>
        <v>0</v>
      </c>
      <c r="I29" s="3567">
        <f t="shared" si="2"/>
        <v>0</v>
      </c>
      <c r="J29" s="3812"/>
      <c r="K29" s="3812"/>
      <c r="L29" s="3812"/>
    </row>
    <row r="30" spans="1:12" s="3758" customFormat="1" ht="17.25" customHeight="1">
      <c r="A30" s="3755" t="s">
        <v>1303</v>
      </c>
      <c r="B30" s="3756"/>
      <c r="C30" s="3760">
        <v>994692.02</v>
      </c>
      <c r="D30" s="3572">
        <v>0</v>
      </c>
      <c r="E30" s="3567">
        <f t="shared" si="0"/>
        <v>994692.02</v>
      </c>
      <c r="F30" s="3567"/>
      <c r="G30" s="3760">
        <v>6004589.4100000001</v>
      </c>
      <c r="H30" s="3572">
        <v>0</v>
      </c>
      <c r="I30" s="3567">
        <f t="shared" si="2"/>
        <v>6004589.4100000001</v>
      </c>
      <c r="J30" s="3812"/>
      <c r="K30" s="3812"/>
      <c r="L30" s="3812"/>
    </row>
    <row r="31" spans="1:12" s="3758" customFormat="1" ht="17.25" customHeight="1">
      <c r="A31" s="3755" t="s">
        <v>1336</v>
      </c>
      <c r="B31" s="3756"/>
      <c r="C31" s="3760">
        <v>0</v>
      </c>
      <c r="D31" s="3572">
        <v>0</v>
      </c>
      <c r="E31" s="3567">
        <f t="shared" si="0"/>
        <v>0</v>
      </c>
      <c r="F31" s="3567"/>
      <c r="G31" s="3760">
        <f t="shared" si="1"/>
        <v>0</v>
      </c>
      <c r="H31" s="3572">
        <f t="shared" si="3"/>
        <v>0</v>
      </c>
      <c r="I31" s="3567">
        <f t="shared" si="2"/>
        <v>0</v>
      </c>
      <c r="J31" s="3812"/>
      <c r="K31" s="3812"/>
      <c r="L31" s="3812"/>
    </row>
    <row r="32" spans="1:12" s="3758" customFormat="1" ht="17.25" customHeight="1">
      <c r="A32" s="3755" t="s">
        <v>1339</v>
      </c>
      <c r="B32" s="3756"/>
      <c r="C32" s="3760">
        <v>2721867.09</v>
      </c>
      <c r="D32" s="3572">
        <v>0</v>
      </c>
      <c r="E32" s="3567">
        <f t="shared" si="0"/>
        <v>2721867.09</v>
      </c>
      <c r="F32" s="3567"/>
      <c r="G32" s="3760">
        <v>11025236.470000001</v>
      </c>
      <c r="H32" s="3572">
        <f t="shared" si="3"/>
        <v>0</v>
      </c>
      <c r="I32" s="3567">
        <f t="shared" si="2"/>
        <v>11025236.470000001</v>
      </c>
      <c r="J32" s="3812"/>
      <c r="K32" s="3812"/>
      <c r="L32" s="3812"/>
    </row>
    <row r="33" spans="1:12" s="3758" customFormat="1" ht="17.25" customHeight="1">
      <c r="A33" s="3755" t="s">
        <v>1304</v>
      </c>
      <c r="B33" s="3756"/>
      <c r="C33" s="3760">
        <v>1303460.98</v>
      </c>
      <c r="D33" s="3572">
        <v>2202065.41</v>
      </c>
      <c r="E33" s="3567">
        <f t="shared" si="0"/>
        <v>3505526.39</v>
      </c>
      <c r="F33" s="3567"/>
      <c r="G33" s="3760">
        <v>12399207.41</v>
      </c>
      <c r="H33" s="3572">
        <v>7083807.9500000002</v>
      </c>
      <c r="I33" s="3567">
        <f t="shared" si="2"/>
        <v>19483015.359999999</v>
      </c>
      <c r="J33" s="3812"/>
      <c r="K33" s="3812"/>
      <c r="L33" s="3812"/>
    </row>
    <row r="34" spans="1:12" s="3758" customFormat="1" ht="17.25" customHeight="1">
      <c r="A34" s="3755" t="s">
        <v>1305</v>
      </c>
      <c r="B34" s="3756"/>
      <c r="C34" s="3760">
        <v>0</v>
      </c>
      <c r="D34" s="3572">
        <v>0</v>
      </c>
      <c r="E34" s="3567">
        <f t="shared" si="0"/>
        <v>0</v>
      </c>
      <c r="F34" s="3567"/>
      <c r="G34" s="3760">
        <f t="shared" si="1"/>
        <v>0</v>
      </c>
      <c r="H34" s="3572">
        <f t="shared" si="3"/>
        <v>0</v>
      </c>
      <c r="I34" s="3567">
        <f t="shared" si="2"/>
        <v>0</v>
      </c>
      <c r="J34" s="3812"/>
      <c r="K34" s="3812"/>
      <c r="L34" s="3812"/>
    </row>
    <row r="35" spans="1:12" s="3758" customFormat="1" ht="17.25" customHeight="1">
      <c r="A35" s="3755" t="s">
        <v>1306</v>
      </c>
      <c r="B35" s="3756"/>
      <c r="C35" s="3760">
        <v>0</v>
      </c>
      <c r="D35" s="3572">
        <v>0</v>
      </c>
      <c r="E35" s="3567">
        <f t="shared" si="0"/>
        <v>0</v>
      </c>
      <c r="F35" s="3567"/>
      <c r="G35" s="3760">
        <v>7338194</v>
      </c>
      <c r="H35" s="3572">
        <f t="shared" si="3"/>
        <v>0</v>
      </c>
      <c r="I35" s="3567">
        <f t="shared" si="2"/>
        <v>7338194</v>
      </c>
      <c r="J35" s="3812"/>
      <c r="K35" s="3812"/>
      <c r="L35" s="3812"/>
    </row>
    <row r="36" spans="1:12" s="3758" customFormat="1" ht="17.25" customHeight="1">
      <c r="A36" s="3755" t="s">
        <v>1313</v>
      </c>
      <c r="B36" s="3756"/>
      <c r="C36" s="3760">
        <v>69341267.140000001</v>
      </c>
      <c r="D36" s="3572">
        <v>0</v>
      </c>
      <c r="E36" s="3567">
        <f t="shared" si="0"/>
        <v>69341267.140000001</v>
      </c>
      <c r="F36" s="3567"/>
      <c r="G36" s="3760">
        <v>306878031.13999999</v>
      </c>
      <c r="H36" s="3572">
        <f t="shared" si="3"/>
        <v>0</v>
      </c>
      <c r="I36" s="3567">
        <f t="shared" si="2"/>
        <v>306878031.13999999</v>
      </c>
      <c r="J36" s="3812"/>
      <c r="K36" s="3812"/>
      <c r="L36" s="3812"/>
    </row>
    <row r="37" spans="1:12" s="3758" customFormat="1" ht="17.25" customHeight="1">
      <c r="A37" s="3755" t="s">
        <v>1370</v>
      </c>
      <c r="B37" s="3756"/>
      <c r="C37" s="3760">
        <v>0</v>
      </c>
      <c r="D37" s="3572">
        <v>0</v>
      </c>
      <c r="E37" s="3567">
        <f t="shared" si="0"/>
        <v>0</v>
      </c>
      <c r="F37" s="3567"/>
      <c r="G37" s="3760">
        <v>578400.75</v>
      </c>
      <c r="H37" s="3572">
        <f t="shared" si="3"/>
        <v>0</v>
      </c>
      <c r="I37" s="3567">
        <f t="shared" si="2"/>
        <v>578400.75</v>
      </c>
      <c r="J37" s="3812"/>
      <c r="K37" s="3812"/>
      <c r="L37" s="3812"/>
    </row>
    <row r="38" spans="1:12" s="3758" customFormat="1" ht="17.25" customHeight="1">
      <c r="A38" s="3755" t="s">
        <v>1314</v>
      </c>
      <c r="B38" s="3756"/>
      <c r="C38" s="3760">
        <v>2661148</v>
      </c>
      <c r="D38" s="3572">
        <v>0</v>
      </c>
      <c r="E38" s="3567">
        <f t="shared" si="0"/>
        <v>2661148</v>
      </c>
      <c r="F38" s="3567"/>
      <c r="G38" s="3760">
        <v>71976855.719999999</v>
      </c>
      <c r="H38" s="3572">
        <f t="shared" si="3"/>
        <v>0</v>
      </c>
      <c r="I38" s="3567">
        <f t="shared" si="2"/>
        <v>71976855.719999999</v>
      </c>
      <c r="J38" s="3812"/>
      <c r="K38" s="3812"/>
      <c r="L38" s="3812"/>
    </row>
    <row r="39" spans="1:12" s="3758" customFormat="1" ht="17.25" customHeight="1">
      <c r="A39" s="3755" t="s">
        <v>1315</v>
      </c>
      <c r="B39" s="3756"/>
      <c r="C39" s="3760">
        <v>16993730.760000002</v>
      </c>
      <c r="D39" s="3572">
        <v>0</v>
      </c>
      <c r="E39" s="3567">
        <f t="shared" si="0"/>
        <v>16993730.760000002</v>
      </c>
      <c r="F39" s="3567"/>
      <c r="G39" s="3760">
        <v>108181778.98</v>
      </c>
      <c r="H39" s="3572">
        <f t="shared" si="3"/>
        <v>0</v>
      </c>
      <c r="I39" s="3567">
        <f t="shared" si="2"/>
        <v>108181778.98</v>
      </c>
      <c r="J39" s="3812"/>
      <c r="K39" s="3812"/>
      <c r="L39" s="3812"/>
    </row>
    <row r="40" spans="1:12" s="3758" customFormat="1" ht="17.25" customHeight="1">
      <c r="A40" s="3755" t="s">
        <v>1307</v>
      </c>
      <c r="B40" s="3756"/>
      <c r="C40" s="3760">
        <v>111566159.38</v>
      </c>
      <c r="D40" s="3572">
        <v>0</v>
      </c>
      <c r="E40" s="3567">
        <f t="shared" si="0"/>
        <v>111566159.38</v>
      </c>
      <c r="F40" s="3567"/>
      <c r="G40" s="3760">
        <v>584417725.78999996</v>
      </c>
      <c r="H40" s="3572">
        <f t="shared" si="3"/>
        <v>0</v>
      </c>
      <c r="I40" s="3567">
        <f t="shared" si="2"/>
        <v>584417725.78999996</v>
      </c>
      <c r="J40" s="3812"/>
      <c r="K40" s="3812"/>
      <c r="L40" s="3812"/>
    </row>
    <row r="41" spans="1:12" s="3758" customFormat="1" ht="17.25" customHeight="1">
      <c r="A41" s="3755" t="s">
        <v>1316</v>
      </c>
      <c r="B41" s="3756"/>
      <c r="C41" s="3760">
        <v>-191538850.22</v>
      </c>
      <c r="D41" s="3572">
        <v>0</v>
      </c>
      <c r="E41" s="3567">
        <f t="shared" si="0"/>
        <v>-191538850.22</v>
      </c>
      <c r="F41" s="3567"/>
      <c r="G41" s="3760">
        <v>1948244754.3499999</v>
      </c>
      <c r="H41" s="3572">
        <f t="shared" si="3"/>
        <v>0</v>
      </c>
      <c r="I41" s="3567">
        <f t="shared" si="2"/>
        <v>1948244754.3499999</v>
      </c>
      <c r="J41" s="3812"/>
      <c r="K41" s="3812"/>
      <c r="L41" s="3812"/>
    </row>
    <row r="42" spans="1:12" s="3758" customFormat="1" ht="17.25" customHeight="1">
      <c r="A42" s="3755" t="s">
        <v>1317</v>
      </c>
      <c r="B42" s="3756"/>
      <c r="C42" s="3760">
        <v>285487996.63</v>
      </c>
      <c r="D42" s="3572">
        <v>0</v>
      </c>
      <c r="E42" s="3567">
        <f t="shared" si="0"/>
        <v>285487996.63</v>
      </c>
      <c r="F42" s="3567"/>
      <c r="G42" s="3760">
        <v>2626522913.4699998</v>
      </c>
      <c r="H42" s="3572">
        <f t="shared" si="3"/>
        <v>0</v>
      </c>
      <c r="I42" s="3567">
        <f t="shared" si="2"/>
        <v>2626522913.4699998</v>
      </c>
      <c r="J42" s="3812"/>
      <c r="K42" s="3812"/>
      <c r="L42" s="3812"/>
    </row>
    <row r="43" spans="1:12" s="3758" customFormat="1" ht="17.25" customHeight="1">
      <c r="A43" s="3755" t="s">
        <v>1308</v>
      </c>
      <c r="B43" s="3756"/>
      <c r="C43" s="3760">
        <v>15287462.41</v>
      </c>
      <c r="D43" s="3572">
        <v>0</v>
      </c>
      <c r="E43" s="3567">
        <f t="shared" si="0"/>
        <v>15287462.41</v>
      </c>
      <c r="F43" s="3567"/>
      <c r="G43" s="3760">
        <v>83470116.430000007</v>
      </c>
      <c r="H43" s="3572">
        <f t="shared" si="3"/>
        <v>0</v>
      </c>
      <c r="I43" s="3567">
        <f t="shared" si="2"/>
        <v>83470116.430000007</v>
      </c>
      <c r="J43" s="3812"/>
      <c r="K43" s="3812"/>
      <c r="L43" s="3812"/>
    </row>
    <row r="44" spans="1:12" s="3758" customFormat="1" ht="17.25" customHeight="1">
      <c r="A44" s="3755" t="s">
        <v>1318</v>
      </c>
      <c r="B44" s="3756"/>
      <c r="C44" s="3760">
        <v>14307642.4</v>
      </c>
      <c r="D44" s="3572">
        <v>0</v>
      </c>
      <c r="E44" s="3567">
        <f t="shared" si="0"/>
        <v>14307642.4</v>
      </c>
      <c r="F44" s="3567"/>
      <c r="G44" s="3760">
        <v>67402244.280000001</v>
      </c>
      <c r="H44" s="3572">
        <f t="shared" si="3"/>
        <v>0</v>
      </c>
      <c r="I44" s="3567">
        <f t="shared" si="2"/>
        <v>67402244.280000001</v>
      </c>
      <c r="J44" s="3812"/>
      <c r="K44" s="3812"/>
      <c r="L44" s="3812"/>
    </row>
    <row r="45" spans="1:12" s="3758" customFormat="1" ht="17.25" customHeight="1">
      <c r="A45" s="3755" t="s">
        <v>1319</v>
      </c>
      <c r="B45" s="3756"/>
      <c r="C45" s="3760">
        <v>281762.84000000003</v>
      </c>
      <c r="D45" s="3572">
        <v>0</v>
      </c>
      <c r="E45" s="3567">
        <f t="shared" si="0"/>
        <v>281762.84000000003</v>
      </c>
      <c r="F45" s="3567"/>
      <c r="G45" s="3760">
        <v>1737080.82</v>
      </c>
      <c r="H45" s="3572">
        <f t="shared" si="3"/>
        <v>0</v>
      </c>
      <c r="I45" s="3567">
        <f t="shared" si="2"/>
        <v>1737080.82</v>
      </c>
      <c r="J45" s="3812"/>
      <c r="K45" s="3812"/>
      <c r="L45" s="3812"/>
    </row>
    <row r="46" spans="1:12" s="3758" customFormat="1" ht="17.25" customHeight="1">
      <c r="A46" s="3556" t="s">
        <v>1345</v>
      </c>
      <c r="B46" s="3756"/>
      <c r="C46" s="3760">
        <v>337169161.64999998</v>
      </c>
      <c r="D46" s="3572">
        <v>15772092</v>
      </c>
      <c r="E46" s="3567">
        <f t="shared" si="0"/>
        <v>352941253.64999998</v>
      </c>
      <c r="F46" s="3567"/>
      <c r="G46" s="3760">
        <v>2488399711.9099998</v>
      </c>
      <c r="H46" s="3572">
        <v>18033689</v>
      </c>
      <c r="I46" s="3567">
        <f t="shared" si="2"/>
        <v>2506433400.9099998</v>
      </c>
      <c r="J46" s="3812"/>
      <c r="K46" s="3812"/>
      <c r="L46" s="3812"/>
    </row>
    <row r="47" spans="1:12" s="3758" customFormat="1" ht="17.25" customHeight="1">
      <c r="A47" s="3755" t="s">
        <v>1320</v>
      </c>
      <c r="B47" s="3756"/>
      <c r="C47" s="3760">
        <v>74896426.239999995</v>
      </c>
      <c r="D47" s="3572">
        <v>0</v>
      </c>
      <c r="E47" s="3567">
        <f t="shared" si="0"/>
        <v>74896426.239999995</v>
      </c>
      <c r="F47" s="3567"/>
      <c r="G47" s="3760">
        <v>512123423</v>
      </c>
      <c r="H47" s="3572">
        <v>0</v>
      </c>
      <c r="I47" s="3567">
        <f t="shared" si="2"/>
        <v>512123423</v>
      </c>
      <c r="J47" s="3812"/>
      <c r="K47" s="3812"/>
      <c r="L47" s="3812"/>
    </row>
    <row r="48" spans="1:12" s="3758" customFormat="1" ht="17.25" customHeight="1">
      <c r="A48" s="3755" t="s">
        <v>1329</v>
      </c>
      <c r="B48" s="3756"/>
      <c r="C48" s="3760">
        <v>968757.25</v>
      </c>
      <c r="D48" s="3572">
        <v>0</v>
      </c>
      <c r="E48" s="3567">
        <f t="shared" si="0"/>
        <v>968757.25</v>
      </c>
      <c r="F48" s="3567"/>
      <c r="G48" s="3760">
        <f t="shared" si="1"/>
        <v>968757.25</v>
      </c>
      <c r="H48" s="3572">
        <f t="shared" si="3"/>
        <v>0</v>
      </c>
      <c r="I48" s="3567">
        <f t="shared" si="2"/>
        <v>968757.25</v>
      </c>
      <c r="J48" s="3812"/>
      <c r="K48" s="3812"/>
      <c r="L48" s="3812"/>
    </row>
    <row r="49" spans="1:12" s="3758" customFormat="1" ht="17.25" customHeight="1">
      <c r="A49" s="3755" t="s">
        <v>1373</v>
      </c>
      <c r="B49" s="3756"/>
      <c r="C49" s="3760">
        <v>0</v>
      </c>
      <c r="D49" s="3572">
        <v>0</v>
      </c>
      <c r="E49" s="3567">
        <f t="shared" si="0"/>
        <v>0</v>
      </c>
      <c r="F49" s="3567"/>
      <c r="G49" s="3760">
        <f t="shared" si="1"/>
        <v>0</v>
      </c>
      <c r="H49" s="3572">
        <f t="shared" si="3"/>
        <v>0</v>
      </c>
      <c r="I49" s="3567">
        <f t="shared" si="2"/>
        <v>0</v>
      </c>
      <c r="J49" s="3812"/>
      <c r="K49" s="3812"/>
      <c r="L49" s="3812"/>
    </row>
    <row r="50" spans="1:12" s="3758" customFormat="1" ht="17.25" customHeight="1">
      <c r="A50" s="3755" t="s">
        <v>1309</v>
      </c>
      <c r="B50" s="3756"/>
      <c r="C50" s="3760">
        <v>350000000</v>
      </c>
      <c r="D50" s="3572">
        <v>0</v>
      </c>
      <c r="E50" s="3567">
        <f t="shared" si="0"/>
        <v>350000000</v>
      </c>
      <c r="F50" s="3567"/>
      <c r="G50" s="3760">
        <v>2000000000</v>
      </c>
      <c r="H50" s="3572">
        <f t="shared" si="3"/>
        <v>0</v>
      </c>
      <c r="I50" s="3567">
        <f t="shared" si="2"/>
        <v>2000000000</v>
      </c>
      <c r="J50" s="3812"/>
      <c r="K50" s="3812"/>
      <c r="L50" s="3812"/>
    </row>
    <row r="51" spans="1:12" s="3758" customFormat="1" ht="17.25" customHeight="1">
      <c r="A51" s="3755" t="s">
        <v>1330</v>
      </c>
      <c r="B51" s="3756"/>
      <c r="C51" s="3760">
        <v>50548411.18</v>
      </c>
      <c r="D51" s="3572">
        <v>0</v>
      </c>
      <c r="E51" s="3567">
        <f t="shared" si="0"/>
        <v>50548411.18</v>
      </c>
      <c r="F51" s="3567"/>
      <c r="G51" s="3760">
        <v>309267810.06999999</v>
      </c>
      <c r="H51" s="3572">
        <f t="shared" si="3"/>
        <v>0</v>
      </c>
      <c r="I51" s="3567">
        <f t="shared" si="2"/>
        <v>309267810.06999999</v>
      </c>
      <c r="J51" s="3817"/>
      <c r="K51" s="3812"/>
      <c r="L51" s="3812"/>
    </row>
    <row r="52" spans="1:12" s="3758" customFormat="1" ht="17.25" customHeight="1">
      <c r="A52" s="3755" t="s">
        <v>1331</v>
      </c>
      <c r="B52" s="3756"/>
      <c r="C52" s="3760">
        <v>72018000</v>
      </c>
      <c r="D52" s="3572">
        <v>0</v>
      </c>
      <c r="E52" s="3567">
        <f t="shared" si="0"/>
        <v>72018000</v>
      </c>
      <c r="F52" s="3567"/>
      <c r="G52" s="3760">
        <v>339628000</v>
      </c>
      <c r="H52" s="3572">
        <f t="shared" si="3"/>
        <v>0</v>
      </c>
      <c r="I52" s="3567">
        <f t="shared" si="2"/>
        <v>339628000</v>
      </c>
      <c r="J52" s="3812"/>
      <c r="K52" s="3812"/>
      <c r="L52" s="3812"/>
    </row>
    <row r="53" spans="1:12" s="3758" customFormat="1" ht="17.25" customHeight="1">
      <c r="A53" s="3755" t="s">
        <v>1367</v>
      </c>
      <c r="B53" s="3756"/>
      <c r="C53" s="3760">
        <v>0</v>
      </c>
      <c r="D53" s="3572">
        <v>0</v>
      </c>
      <c r="E53" s="3567">
        <f t="shared" si="0"/>
        <v>0</v>
      </c>
      <c r="F53" s="3567"/>
      <c r="G53" s="3760">
        <f t="shared" si="1"/>
        <v>0</v>
      </c>
      <c r="H53" s="3572">
        <f t="shared" si="3"/>
        <v>0</v>
      </c>
      <c r="I53" s="3567">
        <f t="shared" si="2"/>
        <v>0</v>
      </c>
      <c r="J53" s="3812"/>
      <c r="K53" s="3812"/>
      <c r="L53" s="3812"/>
    </row>
    <row r="54" spans="1:12" s="3758" customFormat="1" ht="17.25" customHeight="1">
      <c r="A54" s="3755" t="s">
        <v>1368</v>
      </c>
      <c r="B54" s="3756"/>
      <c r="C54" s="3760">
        <v>0</v>
      </c>
      <c r="D54" s="3572">
        <v>0</v>
      </c>
      <c r="E54" s="3567">
        <f t="shared" si="0"/>
        <v>0</v>
      </c>
      <c r="F54" s="3567"/>
      <c r="G54" s="3760">
        <f t="shared" si="1"/>
        <v>0</v>
      </c>
      <c r="H54" s="3572">
        <f t="shared" si="3"/>
        <v>0</v>
      </c>
      <c r="I54" s="3567">
        <f t="shared" si="2"/>
        <v>0</v>
      </c>
      <c r="J54" s="3812"/>
      <c r="K54" s="3812"/>
      <c r="L54" s="3812"/>
    </row>
    <row r="55" spans="1:12" s="3758" customFormat="1" ht="17.25" customHeight="1">
      <c r="A55" s="3755" t="s">
        <v>1369</v>
      </c>
      <c r="B55" s="3756"/>
      <c r="C55" s="3760">
        <v>0</v>
      </c>
      <c r="D55" s="3572">
        <v>0</v>
      </c>
      <c r="E55" s="3567">
        <f t="shared" si="0"/>
        <v>0</v>
      </c>
      <c r="F55" s="3567"/>
      <c r="G55" s="3760">
        <f t="shared" si="1"/>
        <v>0</v>
      </c>
      <c r="H55" s="3572">
        <f t="shared" si="3"/>
        <v>0</v>
      </c>
      <c r="I55" s="3567">
        <f t="shared" si="2"/>
        <v>0</v>
      </c>
      <c r="J55" s="3812"/>
      <c r="K55" s="3812"/>
      <c r="L55" s="3812"/>
    </row>
    <row r="56" spans="1:12" s="3758" customFormat="1" ht="17.25" customHeight="1">
      <c r="A56" s="3755" t="s">
        <v>1371</v>
      </c>
      <c r="B56" s="3756"/>
      <c r="C56" s="3760">
        <v>0</v>
      </c>
      <c r="D56" s="3572">
        <v>0</v>
      </c>
      <c r="E56" s="3567">
        <f t="shared" si="0"/>
        <v>0</v>
      </c>
      <c r="F56" s="3567"/>
      <c r="G56" s="3760">
        <v>165561662.36000001</v>
      </c>
      <c r="H56" s="3572">
        <f t="shared" si="3"/>
        <v>0</v>
      </c>
      <c r="I56" s="3567">
        <f t="shared" si="2"/>
        <v>165561662.36000001</v>
      </c>
      <c r="J56" s="3812"/>
      <c r="K56" s="3812"/>
      <c r="L56" s="3812"/>
    </row>
    <row r="57" spans="1:12" s="3754" customFormat="1" ht="17.25" customHeight="1">
      <c r="A57" s="3762" t="s">
        <v>1340</v>
      </c>
      <c r="B57" s="3717"/>
      <c r="C57" s="3763">
        <f>SUM(C11:C56)</f>
        <v>1255350017.99</v>
      </c>
      <c r="D57" s="3763">
        <f t="shared" ref="D57:E57" si="4">SUM(D11:D56)</f>
        <v>618906963.99999988</v>
      </c>
      <c r="E57" s="3763">
        <f t="shared" si="4"/>
        <v>1874256981.9899998</v>
      </c>
      <c r="F57" s="3764"/>
      <c r="G57" s="3763">
        <f t="shared" ref="G57:I57" si="5">SUM(G11:G56)</f>
        <v>11769253904.950001</v>
      </c>
      <c r="H57" s="3763">
        <f t="shared" si="5"/>
        <v>1384119130.3700001</v>
      </c>
      <c r="I57" s="3763">
        <f t="shared" si="5"/>
        <v>13153373035.32</v>
      </c>
      <c r="J57" s="3788"/>
      <c r="K57" s="3812"/>
      <c r="L57" s="3812"/>
    </row>
    <row r="58" spans="1:12" ht="9.65" customHeight="1">
      <c r="A58" s="3751"/>
      <c r="B58" s="3601"/>
      <c r="C58" s="3574"/>
      <c r="D58" s="3574"/>
      <c r="E58" s="3574"/>
      <c r="F58" s="3574"/>
      <c r="G58" s="3575"/>
      <c r="H58" s="3575"/>
      <c r="I58" s="3575"/>
      <c r="K58" s="3812"/>
    </row>
    <row r="59" spans="1:12" ht="34.5" customHeight="1">
      <c r="A59" s="3765" t="s">
        <v>1354</v>
      </c>
      <c r="B59" s="3601"/>
      <c r="C59" s="3872">
        <v>-79403824.840000004</v>
      </c>
      <c r="D59" s="3906">
        <v>0</v>
      </c>
      <c r="E59" s="3907">
        <f>C59+D59</f>
        <v>-79403824.840000004</v>
      </c>
      <c r="F59" s="3908"/>
      <c r="G59" s="3822">
        <v>-722680343.25999999</v>
      </c>
      <c r="H59" s="3822">
        <v>0</v>
      </c>
      <c r="I59" s="3916">
        <f>G59+H59</f>
        <v>-722680343.25999999</v>
      </c>
      <c r="K59" s="3812"/>
      <c r="L59" s="3780"/>
    </row>
    <row r="60" spans="1:12" ht="15.65" customHeight="1">
      <c r="A60" s="3766"/>
      <c r="B60" s="3601"/>
      <c r="C60" s="3883"/>
      <c r="D60" s="3883"/>
      <c r="E60" s="3883"/>
      <c r="F60" s="3883"/>
      <c r="G60" s="3884"/>
      <c r="H60" s="3884" t="s">
        <v>14</v>
      </c>
      <c r="I60" s="3884"/>
      <c r="K60" s="3812"/>
    </row>
    <row r="61" spans="1:12" ht="17.25" customHeight="1" thickBot="1">
      <c r="A61" s="3766" t="s">
        <v>1310</v>
      </c>
      <c r="B61" s="3601"/>
      <c r="C61" s="3767">
        <f>+C57+C59</f>
        <v>1175946193.1500001</v>
      </c>
      <c r="D61" s="3603">
        <f>+D57</f>
        <v>618906963.99999988</v>
      </c>
      <c r="E61" s="3603">
        <f>+E57+E59</f>
        <v>1794853157.1499999</v>
      </c>
      <c r="F61" s="3719"/>
      <c r="G61" s="3603">
        <f>+G57+G59</f>
        <v>11046573561.690001</v>
      </c>
      <c r="H61" s="3603">
        <f>+H57</f>
        <v>1384119130.3700001</v>
      </c>
      <c r="I61" s="3603">
        <f>+I57+I59</f>
        <v>12430692692.059999</v>
      </c>
      <c r="J61" s="3780"/>
      <c r="K61" s="3812"/>
      <c r="L61" s="3780"/>
    </row>
    <row r="62" spans="1:12" ht="17.25" customHeight="1" thickTop="1">
      <c r="A62" s="3768"/>
      <c r="B62" s="3563"/>
      <c r="C62" s="3768"/>
      <c r="D62" s="3768"/>
      <c r="E62" s="3769"/>
      <c r="F62" s="3769"/>
      <c r="G62" s="3604"/>
      <c r="H62" s="3604"/>
      <c r="I62" s="3604"/>
      <c r="J62" s="3780"/>
      <c r="K62" s="3780"/>
    </row>
    <row r="63" spans="1:12" ht="16.399999999999999" customHeight="1">
      <c r="A63" s="3770" t="s">
        <v>1359</v>
      </c>
      <c r="B63" s="3563" t="s">
        <v>14</v>
      </c>
      <c r="C63" s="3877"/>
      <c r="D63" s="3885"/>
      <c r="E63" s="3886"/>
      <c r="F63" s="3790"/>
      <c r="G63" s="3600"/>
      <c r="H63" s="3600"/>
      <c r="I63" s="3600" t="s">
        <v>14</v>
      </c>
      <c r="J63" s="3780"/>
    </row>
    <row r="64" spans="1:12" ht="16.399999999999999" customHeight="1">
      <c r="A64" s="3773" t="s">
        <v>1362</v>
      </c>
      <c r="B64" s="3563"/>
      <c r="C64" s="3774"/>
      <c r="D64" s="3775"/>
      <c r="E64" s="3776"/>
      <c r="F64" s="3777"/>
      <c r="G64" s="3778">
        <v>0</v>
      </c>
      <c r="H64" s="3605"/>
      <c r="I64" s="3559"/>
      <c r="J64" s="3780"/>
    </row>
    <row r="65" spans="1:17" ht="16.399999999999999" customHeight="1">
      <c r="A65" s="3779" t="s">
        <v>1361</v>
      </c>
      <c r="B65" s="3563"/>
      <c r="C65" s="3771" t="s">
        <v>14</v>
      </c>
      <c r="D65" s="3768"/>
      <c r="E65" s="3771"/>
      <c r="F65" s="3768"/>
      <c r="G65" s="3780"/>
      <c r="H65" s="3563"/>
      <c r="I65" s="3772"/>
      <c r="J65" s="3780"/>
    </row>
    <row r="66" spans="1:17" s="3722" customFormat="1" ht="16.399999999999999" customHeight="1">
      <c r="A66" s="3779" t="s">
        <v>1365</v>
      </c>
      <c r="B66" s="3549"/>
      <c r="C66" s="3722" t="s">
        <v>14</v>
      </c>
      <c r="E66" s="3781"/>
      <c r="G66" s="3822"/>
      <c r="H66" s="3549"/>
      <c r="I66" s="3780" t="s">
        <v>14</v>
      </c>
      <c r="J66" s="3780"/>
      <c r="K66" s="3782"/>
      <c r="L66" s="3782"/>
      <c r="M66" s="3549"/>
      <c r="N66" s="3549"/>
      <c r="O66" s="3549"/>
      <c r="P66" s="3549"/>
      <c r="Q66" s="3549"/>
    </row>
    <row r="67" spans="1:17" s="3722" customFormat="1" ht="13.4" customHeight="1">
      <c r="A67" s="3779" t="s">
        <v>1357</v>
      </c>
      <c r="B67" s="3549"/>
      <c r="C67" s="3781"/>
      <c r="G67" s="3552"/>
      <c r="H67" s="3549"/>
      <c r="I67" s="3772" t="s">
        <v>14</v>
      </c>
      <c r="J67" s="3780"/>
      <c r="K67" s="3782"/>
      <c r="L67" s="3782"/>
      <c r="M67" s="3549"/>
      <c r="N67" s="3549"/>
      <c r="O67" s="3549"/>
      <c r="P67" s="3549"/>
      <c r="Q67" s="3549"/>
    </row>
    <row r="68" spans="1:17" ht="17.25" customHeight="1">
      <c r="A68" s="3779" t="s">
        <v>1348</v>
      </c>
    </row>
    <row r="69" spans="1:17" ht="17.25" customHeight="1">
      <c r="C69" s="3781"/>
    </row>
    <row r="70" spans="1:17" ht="17.25" customHeight="1">
      <c r="C70" s="3923"/>
      <c r="D70" s="3923"/>
      <c r="E70" s="3923"/>
      <c r="F70" s="3923"/>
      <c r="G70" s="3924"/>
      <c r="H70" s="3924"/>
      <c r="I70" s="3925"/>
    </row>
    <row r="71" spans="1:17" ht="17.25" customHeight="1">
      <c r="C71" s="3872"/>
      <c r="D71" s="3906"/>
      <c r="E71" s="3907"/>
      <c r="F71" s="3908"/>
      <c r="G71" s="3822"/>
      <c r="H71" s="3822"/>
      <c r="I71" s="3916"/>
    </row>
    <row r="72" spans="1:17" ht="17.25" customHeight="1">
      <c r="C72" s="3923"/>
      <c r="D72" s="3923"/>
      <c r="E72" s="3923"/>
      <c r="F72" s="3923"/>
      <c r="G72" s="3924"/>
      <c r="H72" s="3924"/>
      <c r="I72" s="3924"/>
    </row>
    <row r="73" spans="1:17" ht="17.25" customHeight="1">
      <c r="C73" s="3923"/>
      <c r="D73" s="3923"/>
      <c r="E73" s="3923"/>
      <c r="F73" s="3923"/>
      <c r="G73" s="3924"/>
      <c r="H73" s="3924"/>
      <c r="I73" s="3924"/>
    </row>
  </sheetData>
  <mergeCells count="2">
    <mergeCell ref="C7:E7"/>
    <mergeCell ref="G7:I7"/>
  </mergeCells>
  <printOptions horizontalCentered="1"/>
  <pageMargins left="0.17" right="0.18" top="0.44" bottom="0.27" header="0.23" footer="0.18"/>
  <pageSetup scale="47" firstPageNumber="57" orientation="landscape" useFirstPageNumber="1" r:id="rId1"/>
  <headerFooter scaleWithDoc="0" alignWithMargins="0">
    <oddFooter>&amp;C&amp;8&amp;P</oddFooter>
  </headerFooter>
  <ignoredErrors>
    <ignoredError sqref="D61"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50"/>
  <sheetViews>
    <sheetView showGridLines="0" zoomScale="90" zoomScaleNormal="80" workbookViewId="0"/>
  </sheetViews>
  <sheetFormatPr defaultColWidth="8.84375" defaultRowHeight="14.5"/>
  <cols>
    <col min="1" max="1" width="58.84375" style="3791" customWidth="1"/>
    <col min="2" max="2" width="2" style="3549" customWidth="1"/>
    <col min="3" max="3" width="21.07421875" style="3722" customWidth="1"/>
    <col min="4" max="4" width="21.84375" style="3722" customWidth="1"/>
    <col min="5" max="5" width="19.84375" style="3722" customWidth="1"/>
    <col min="6" max="6" width="0.84375" style="3722" customWidth="1"/>
    <col min="7" max="7" width="22.07421875" style="3552" customWidth="1"/>
    <col min="8" max="8" width="20.84375" style="3549" customWidth="1"/>
    <col min="9" max="9" width="21.84375" style="3549" customWidth="1"/>
    <col min="10" max="10" width="21.07421875" style="3549" customWidth="1"/>
    <col min="11" max="11" width="19.07421875" style="3549" customWidth="1"/>
    <col min="12" max="12" width="17.84375" style="3549" customWidth="1"/>
    <col min="13" max="13" width="14.07421875" style="3549" bestFit="1" customWidth="1"/>
    <col min="14" max="16384" width="8.84375" style="3549"/>
  </cols>
  <sheetData>
    <row r="1" spans="1:13" ht="15.5">
      <c r="A1" s="1486" t="s">
        <v>882</v>
      </c>
    </row>
    <row r="3" spans="1:13" ht="25.4" customHeight="1">
      <c r="A3" s="3748" t="s">
        <v>0</v>
      </c>
      <c r="C3" s="3550"/>
      <c r="D3" s="3550"/>
      <c r="E3" s="3550"/>
      <c r="F3" s="3551"/>
      <c r="I3" s="3555" t="s">
        <v>1335</v>
      </c>
    </row>
    <row r="4" spans="1:13" ht="25.4" customHeight="1">
      <c r="A4" s="3749" t="s">
        <v>1358</v>
      </c>
      <c r="C4" s="3550"/>
      <c r="D4" s="3550"/>
      <c r="E4" s="3550"/>
      <c r="F4" s="3551"/>
    </row>
    <row r="5" spans="1:13" ht="18.649999999999999" customHeight="1">
      <c r="A5" s="3855" t="str">
        <f>'Appendix H'!A5</f>
        <v xml:space="preserve">FISCAL YEAR 2021-2022   </v>
      </c>
      <c r="C5" s="3550"/>
      <c r="D5" s="3550"/>
      <c r="E5" s="3550"/>
      <c r="F5" s="3551"/>
    </row>
    <row r="6" spans="1:13" ht="21">
      <c r="A6" s="3785"/>
      <c r="C6" s="3550"/>
      <c r="D6" s="3550"/>
      <c r="E6" s="3550"/>
      <c r="F6" s="3551"/>
    </row>
    <row r="7" spans="1:13" ht="15.5">
      <c r="A7" s="3786"/>
      <c r="B7" s="3601"/>
      <c r="C7" s="4001" t="str">
        <f>'Appendix H'!C7:E7</f>
        <v>SEPTEMBER 2021</v>
      </c>
      <c r="D7" s="4002"/>
      <c r="E7" s="4002"/>
      <c r="F7" s="3712"/>
      <c r="G7" s="4002" t="str">
        <f>'Appendix H'!G7:I7</f>
        <v>6 MONTHS ENDED SEPTEMBER 30</v>
      </c>
      <c r="H7" s="4002"/>
      <c r="I7" s="4002"/>
    </row>
    <row r="8" spans="1:13" ht="15.5">
      <c r="A8" s="3786"/>
      <c r="B8" s="3601"/>
      <c r="C8" s="3713"/>
      <c r="D8" s="3713"/>
      <c r="E8" s="3713"/>
      <c r="F8" s="3713"/>
      <c r="G8" s="3714"/>
      <c r="H8" s="3601"/>
      <c r="I8" s="3601"/>
    </row>
    <row r="9" spans="1:13" ht="15.5">
      <c r="A9" s="3787"/>
      <c r="B9" s="3601"/>
      <c r="C9" s="3602" t="s">
        <v>1294</v>
      </c>
      <c r="D9" s="3602" t="s">
        <v>1295</v>
      </c>
      <c r="E9" s="3602" t="str">
        <f>'Appendix H'!E9</f>
        <v>September</v>
      </c>
      <c r="F9" s="3602"/>
      <c r="G9" s="3602" t="s">
        <v>1294</v>
      </c>
      <c r="H9" s="3602" t="s">
        <v>1295</v>
      </c>
      <c r="I9" s="3553" t="s">
        <v>1296</v>
      </c>
    </row>
    <row r="10" spans="1:13" s="3754" customFormat="1" ht="15.5">
      <c r="A10" s="3752"/>
      <c r="B10" s="3717"/>
      <c r="C10" s="3715"/>
      <c r="D10" s="3715"/>
      <c r="E10" s="3715"/>
      <c r="F10" s="3715"/>
      <c r="G10" s="3716"/>
      <c r="H10" s="3717"/>
      <c r="I10" s="3716"/>
    </row>
    <row r="11" spans="1:13" s="3758" customFormat="1" ht="15.5">
      <c r="A11" s="3755" t="s">
        <v>1338</v>
      </c>
      <c r="B11" s="3756"/>
      <c r="C11" s="3718">
        <v>14416154.42</v>
      </c>
      <c r="D11" s="3718">
        <v>0</v>
      </c>
      <c r="E11" s="3719">
        <f>C11+D11</f>
        <v>14416154.42</v>
      </c>
      <c r="F11" s="3719"/>
      <c r="G11" s="3718">
        <v>77896579.510000005</v>
      </c>
      <c r="H11" s="3718">
        <f>D11</f>
        <v>0</v>
      </c>
      <c r="I11" s="3719">
        <f>G11+H11</f>
        <v>77896579.510000005</v>
      </c>
      <c r="J11" s="3759"/>
      <c r="K11" s="3759"/>
      <c r="L11" s="3759"/>
    </row>
    <row r="12" spans="1:13" s="3758" customFormat="1" ht="15.5">
      <c r="A12" s="3755" t="s">
        <v>1312</v>
      </c>
      <c r="B12" s="3756"/>
      <c r="C12" s="3572">
        <v>0</v>
      </c>
      <c r="D12" s="3572">
        <v>29115190</v>
      </c>
      <c r="E12" s="3567">
        <f>C12+D12</f>
        <v>29115190</v>
      </c>
      <c r="F12" s="3567"/>
      <c r="G12" s="3572">
        <v>407339.79000000004</v>
      </c>
      <c r="H12" s="3572">
        <v>178538029</v>
      </c>
      <c r="I12" s="3567">
        <f>G12+H12</f>
        <v>178945368.78999999</v>
      </c>
      <c r="J12" s="3759"/>
      <c r="K12" s="3759"/>
      <c r="L12" s="3759"/>
      <c r="M12" s="3812"/>
    </row>
    <row r="13" spans="1:13" s="3758" customFormat="1" ht="15.5">
      <c r="A13" s="3755" t="s">
        <v>1311</v>
      </c>
      <c r="B13" s="3756"/>
      <c r="C13" s="3572">
        <v>0</v>
      </c>
      <c r="D13" s="3572">
        <v>0</v>
      </c>
      <c r="E13" s="3567">
        <f t="shared" ref="E13:E25" si="0">C13+D13</f>
        <v>0</v>
      </c>
      <c r="F13" s="3567"/>
      <c r="G13" s="3572">
        <f t="shared" ref="G13" si="1">C13</f>
        <v>0</v>
      </c>
      <c r="H13" s="3572">
        <f t="shared" ref="H13:H25" si="2">D13</f>
        <v>0</v>
      </c>
      <c r="I13" s="3567">
        <f t="shared" ref="I13:I25" si="3">G13+H13</f>
        <v>0</v>
      </c>
      <c r="J13" s="3759"/>
      <c r="K13" s="3759"/>
      <c r="L13" s="3759"/>
      <c r="M13" s="3812"/>
    </row>
    <row r="14" spans="1:13" s="3758" customFormat="1" ht="15.5">
      <c r="A14" s="3755" t="s">
        <v>1313</v>
      </c>
      <c r="B14" s="3756"/>
      <c r="C14" s="3572">
        <v>472548934.13999999</v>
      </c>
      <c r="D14" s="3572">
        <v>0</v>
      </c>
      <c r="E14" s="3567">
        <f t="shared" si="0"/>
        <v>472548934.13999999</v>
      </c>
      <c r="F14" s="3567"/>
      <c r="G14" s="3572">
        <v>2314312560.4299998</v>
      </c>
      <c r="H14" s="3572">
        <f t="shared" si="2"/>
        <v>0</v>
      </c>
      <c r="I14" s="3567">
        <f t="shared" si="3"/>
        <v>2314312560.4299998</v>
      </c>
      <c r="J14" s="3759"/>
      <c r="K14" s="3759"/>
      <c r="L14" s="3759"/>
      <c r="M14" s="3812"/>
    </row>
    <row r="15" spans="1:13" s="3758" customFormat="1" ht="15.5">
      <c r="A15" s="3755" t="s">
        <v>1314</v>
      </c>
      <c r="B15" s="3756"/>
      <c r="C15" s="3572">
        <v>29223292.460000001</v>
      </c>
      <c r="D15" s="3572">
        <v>0</v>
      </c>
      <c r="E15" s="3567">
        <f t="shared" si="0"/>
        <v>29223292.460000001</v>
      </c>
      <c r="F15" s="3567"/>
      <c r="G15" s="3572">
        <v>202690010.53</v>
      </c>
      <c r="H15" s="3572">
        <f t="shared" si="2"/>
        <v>0</v>
      </c>
      <c r="I15" s="3567">
        <f t="shared" si="3"/>
        <v>202690010.53</v>
      </c>
      <c r="J15" s="3759"/>
      <c r="K15" s="3759"/>
      <c r="L15" s="3759"/>
      <c r="M15" s="3812"/>
    </row>
    <row r="16" spans="1:13" s="3758" customFormat="1" ht="15.5">
      <c r="A16" s="3755" t="s">
        <v>1315</v>
      </c>
      <c r="B16" s="3756"/>
      <c r="C16" s="3572">
        <v>50193645.859999999</v>
      </c>
      <c r="D16" s="3572">
        <v>0</v>
      </c>
      <c r="E16" s="3567">
        <f t="shared" si="0"/>
        <v>50193645.859999999</v>
      </c>
      <c r="F16" s="3567"/>
      <c r="G16" s="3572">
        <v>332704556.56999999</v>
      </c>
      <c r="H16" s="3572">
        <f t="shared" si="2"/>
        <v>0</v>
      </c>
      <c r="I16" s="3567">
        <f t="shared" si="3"/>
        <v>332704556.56999999</v>
      </c>
      <c r="J16" s="3759"/>
      <c r="K16" s="3759"/>
      <c r="L16" s="3759"/>
      <c r="M16" s="3812"/>
    </row>
    <row r="17" spans="1:13" s="3758" customFormat="1" ht="15.5">
      <c r="A17" s="3755" t="s">
        <v>1307</v>
      </c>
      <c r="B17" s="3756"/>
      <c r="C17" s="3572">
        <v>137232381.97999999</v>
      </c>
      <c r="D17" s="3572">
        <v>0</v>
      </c>
      <c r="E17" s="3567">
        <f t="shared" si="0"/>
        <v>137232381.97999999</v>
      </c>
      <c r="F17" s="3567"/>
      <c r="G17" s="3572">
        <v>795798851.77999997</v>
      </c>
      <c r="H17" s="3572">
        <f t="shared" si="2"/>
        <v>0</v>
      </c>
      <c r="I17" s="3567">
        <f t="shared" si="3"/>
        <v>795798851.77999997</v>
      </c>
      <c r="J17" s="3759"/>
      <c r="K17" s="3759"/>
      <c r="L17" s="3759"/>
      <c r="M17" s="3812"/>
    </row>
    <row r="18" spans="1:13" s="3758" customFormat="1" ht="15.5">
      <c r="A18" s="3755" t="s">
        <v>1316</v>
      </c>
      <c r="B18" s="3756"/>
      <c r="C18" s="3572">
        <v>1377015420.3499999</v>
      </c>
      <c r="D18" s="3572">
        <v>0</v>
      </c>
      <c r="E18" s="3567">
        <f t="shared" si="0"/>
        <v>1377015420.3499999</v>
      </c>
      <c r="F18" s="3567"/>
      <c r="G18" s="3572">
        <v>8876141481.4699993</v>
      </c>
      <c r="H18" s="3572">
        <f t="shared" si="2"/>
        <v>0</v>
      </c>
      <c r="I18" s="3567">
        <f t="shared" si="3"/>
        <v>8876141481.4699993</v>
      </c>
      <c r="J18" s="3759"/>
      <c r="K18" s="3759"/>
      <c r="L18" s="3759"/>
      <c r="M18" s="3812"/>
    </row>
    <row r="19" spans="1:13" s="3758" customFormat="1" ht="15.5">
      <c r="A19" s="3755" t="s">
        <v>1317</v>
      </c>
      <c r="B19" s="3756"/>
      <c r="C19" s="3572">
        <v>1516171016.7900002</v>
      </c>
      <c r="D19" s="3572">
        <v>0</v>
      </c>
      <c r="E19" s="3567">
        <f t="shared" si="0"/>
        <v>1516171016.7900002</v>
      </c>
      <c r="F19" s="3567"/>
      <c r="G19" s="3572">
        <v>9394729111.5500011</v>
      </c>
      <c r="H19" s="3572">
        <f t="shared" si="2"/>
        <v>0</v>
      </c>
      <c r="I19" s="3567">
        <f t="shared" si="3"/>
        <v>9394729111.5500011</v>
      </c>
      <c r="J19" s="3759"/>
      <c r="K19" s="3759"/>
      <c r="L19" s="3759"/>
      <c r="M19" s="3812"/>
    </row>
    <row r="20" spans="1:13" s="3758" customFormat="1" ht="15.5">
      <c r="A20" s="3755" t="s">
        <v>1308</v>
      </c>
      <c r="B20" s="3756"/>
      <c r="C20" s="3572">
        <v>32098869.559999999</v>
      </c>
      <c r="D20" s="3572">
        <v>0</v>
      </c>
      <c r="E20" s="3567">
        <f t="shared" si="0"/>
        <v>32098869.559999999</v>
      </c>
      <c r="F20" s="3567"/>
      <c r="G20" s="3572">
        <v>213320857.68000001</v>
      </c>
      <c r="H20" s="3572">
        <f t="shared" si="2"/>
        <v>0</v>
      </c>
      <c r="I20" s="3567">
        <f t="shared" si="3"/>
        <v>213320857.68000001</v>
      </c>
      <c r="J20" s="3759"/>
      <c r="K20" s="3759"/>
      <c r="L20" s="3759"/>
      <c r="M20" s="3812"/>
    </row>
    <row r="21" spans="1:13" s="3758" customFormat="1" ht="15.5">
      <c r="A21" s="3755" t="s">
        <v>1318</v>
      </c>
      <c r="B21" s="3756"/>
      <c r="C21" s="3572">
        <v>42930137.57</v>
      </c>
      <c r="D21" s="3572">
        <v>0</v>
      </c>
      <c r="E21" s="3567">
        <f t="shared" si="0"/>
        <v>42930137.57</v>
      </c>
      <c r="F21" s="3567"/>
      <c r="G21" s="3572">
        <v>257328428.25999999</v>
      </c>
      <c r="H21" s="3572">
        <f t="shared" si="2"/>
        <v>0</v>
      </c>
      <c r="I21" s="3567">
        <f t="shared" si="3"/>
        <v>257328428.25999999</v>
      </c>
      <c r="J21" s="3759"/>
      <c r="K21" s="3759"/>
      <c r="L21" s="3759"/>
      <c r="M21" s="3812"/>
    </row>
    <row r="22" spans="1:13" s="3758" customFormat="1" ht="15.5">
      <c r="A22" s="3755" t="s">
        <v>1319</v>
      </c>
      <c r="B22" s="3756"/>
      <c r="C22" s="3572">
        <v>670338.51</v>
      </c>
      <c r="D22" s="3572">
        <v>0</v>
      </c>
      <c r="E22" s="3567">
        <f t="shared" si="0"/>
        <v>670338.51</v>
      </c>
      <c r="F22" s="3567"/>
      <c r="G22" s="3572">
        <v>5125681.18</v>
      </c>
      <c r="H22" s="3572">
        <f t="shared" si="2"/>
        <v>0</v>
      </c>
      <c r="I22" s="3567">
        <f t="shared" si="3"/>
        <v>5125681.18</v>
      </c>
      <c r="J22" s="3759"/>
      <c r="K22" s="3759"/>
      <c r="L22" s="3759"/>
      <c r="M22" s="3812"/>
    </row>
    <row r="23" spans="1:13" s="3758" customFormat="1" ht="15.5">
      <c r="A23" s="3755" t="s">
        <v>1344</v>
      </c>
      <c r="B23" s="3756"/>
      <c r="C23" s="3572">
        <v>-254014707.24000001</v>
      </c>
      <c r="D23" s="3572">
        <v>6375683</v>
      </c>
      <c r="E23" s="3567">
        <f t="shared" si="0"/>
        <v>-247639024.24000001</v>
      </c>
      <c r="F23" s="3567"/>
      <c r="G23" s="3572">
        <v>-143732845.19</v>
      </c>
      <c r="H23" s="3572">
        <v>24766076</v>
      </c>
      <c r="I23" s="3567">
        <f t="shared" si="3"/>
        <v>-118966769.19</v>
      </c>
      <c r="J23" s="3759"/>
      <c r="K23" s="3759"/>
      <c r="L23" s="3759"/>
      <c r="M23" s="3812"/>
    </row>
    <row r="24" spans="1:13" s="3758" customFormat="1" ht="15.5">
      <c r="A24" s="3755" t="s">
        <v>1320</v>
      </c>
      <c r="B24" s="3756"/>
      <c r="C24" s="3572">
        <v>0</v>
      </c>
      <c r="D24" s="3572">
        <v>0</v>
      </c>
      <c r="E24" s="3567">
        <f>C24+D24</f>
        <v>0</v>
      </c>
      <c r="F24" s="3567"/>
      <c r="G24" s="3572">
        <v>458161699.39999998</v>
      </c>
      <c r="H24" s="3572">
        <f t="shared" si="2"/>
        <v>0</v>
      </c>
      <c r="I24" s="3567">
        <f t="shared" si="3"/>
        <v>458161699.39999998</v>
      </c>
      <c r="J24" s="3759"/>
      <c r="K24" s="3759"/>
      <c r="L24" s="3759"/>
    </row>
    <row r="25" spans="1:13" s="3758" customFormat="1" ht="15.75" customHeight="1">
      <c r="A25" s="3755" t="s">
        <v>1371</v>
      </c>
      <c r="B25" s="3756"/>
      <c r="C25" s="3572">
        <v>0</v>
      </c>
      <c r="D25" s="3572">
        <v>0</v>
      </c>
      <c r="E25" s="3567">
        <f t="shared" si="0"/>
        <v>0</v>
      </c>
      <c r="F25" s="3567"/>
      <c r="G25" s="3572">
        <v>212433000.63999999</v>
      </c>
      <c r="H25" s="3572">
        <f t="shared" si="2"/>
        <v>0</v>
      </c>
      <c r="I25" s="3567">
        <f t="shared" si="3"/>
        <v>212433000.63999999</v>
      </c>
      <c r="J25" s="3759"/>
      <c r="K25" s="3759"/>
      <c r="L25" s="3759"/>
    </row>
    <row r="26" spans="1:13" s="3754" customFormat="1" ht="26.15" customHeight="1">
      <c r="A26" s="3762" t="s">
        <v>1340</v>
      </c>
      <c r="B26" s="3717"/>
      <c r="C26" s="3573">
        <f>SUM(C11:C25)</f>
        <v>3418485484.4000006</v>
      </c>
      <c r="D26" s="3573">
        <f>SUM(D11:D25)</f>
        <v>35490873</v>
      </c>
      <c r="E26" s="3573">
        <f>SUM(E11:E25)</f>
        <v>3453976357.4000006</v>
      </c>
      <c r="F26" s="3720"/>
      <c r="G26" s="3573">
        <f>SUM(G11:G25)</f>
        <v>22997317313.600002</v>
      </c>
      <c r="H26" s="3573">
        <f>SUM(H11:H25)</f>
        <v>203304105</v>
      </c>
      <c r="I26" s="3573">
        <f>SUM(I11:I25)</f>
        <v>23200621418.600002</v>
      </c>
      <c r="J26" s="3788"/>
      <c r="K26" s="3759"/>
      <c r="L26" s="3759"/>
    </row>
    <row r="27" spans="1:13" ht="6.65" customHeight="1">
      <c r="A27" s="3789"/>
      <c r="B27" s="3601"/>
      <c r="C27" s="3721"/>
      <c r="D27" s="3721"/>
      <c r="E27" s="3721"/>
      <c r="F27" s="3721"/>
      <c r="G27" s="3600"/>
      <c r="H27" s="3600"/>
      <c r="I27" s="3600"/>
      <c r="K27" s="3790"/>
    </row>
    <row r="28" spans="1:13" ht="42" customHeight="1">
      <c r="A28" s="3765" t="s">
        <v>1355</v>
      </c>
      <c r="B28" s="3601"/>
      <c r="C28" s="3872">
        <v>256569516.58000001</v>
      </c>
      <c r="D28" s="3873">
        <v>0</v>
      </c>
      <c r="E28" s="3874">
        <f>+C28</f>
        <v>256569516.58000001</v>
      </c>
      <c r="F28" s="3875"/>
      <c r="G28" s="3822">
        <v>-806533221</v>
      </c>
      <c r="H28" s="3876">
        <v>0</v>
      </c>
      <c r="I28" s="3915">
        <f>G28+H28</f>
        <v>-806533221</v>
      </c>
      <c r="J28" s="3780"/>
      <c r="K28" s="3828"/>
    </row>
    <row r="29" spans="1:13" ht="15.65" customHeight="1">
      <c r="A29" s="3766"/>
      <c r="B29" s="3601"/>
      <c r="C29" s="3825"/>
      <c r="D29" s="3825"/>
      <c r="E29" s="3825"/>
      <c r="F29" s="3825"/>
      <c r="G29" s="3826"/>
      <c r="H29" s="3826"/>
      <c r="I29" s="3826"/>
      <c r="J29" s="3563"/>
      <c r="K29" s="3780"/>
    </row>
    <row r="30" spans="1:13" ht="18" thickBot="1">
      <c r="A30" s="3766" t="s">
        <v>1341</v>
      </c>
      <c r="B30" s="3601"/>
      <c r="C30" s="3603">
        <f>+C26+C28</f>
        <v>3675055000.9800005</v>
      </c>
      <c r="D30" s="3603">
        <f>D26</f>
        <v>35490873</v>
      </c>
      <c r="E30" s="3603">
        <f>E26+E28</f>
        <v>3710545873.9800005</v>
      </c>
      <c r="F30" s="3719"/>
      <c r="G30" s="3603">
        <f>+G26+G28</f>
        <v>22190784092.600002</v>
      </c>
      <c r="H30" s="3603">
        <f>H26</f>
        <v>203304105</v>
      </c>
      <c r="I30" s="3603">
        <f>I26+I28</f>
        <v>22394088197.600002</v>
      </c>
      <c r="J30" s="3772"/>
      <c r="K30" s="3780"/>
    </row>
    <row r="31" spans="1:13" ht="15" thickTop="1">
      <c r="J31" s="3784"/>
      <c r="K31" s="3780"/>
    </row>
    <row r="32" spans="1:13" ht="16.399999999999999" customHeight="1">
      <c r="A32" s="3770" t="s">
        <v>1360</v>
      </c>
      <c r="D32" s="3783"/>
      <c r="G32" s="3822"/>
      <c r="H32" s="3782"/>
      <c r="I32" s="3780"/>
      <c r="K32" s="3780"/>
    </row>
    <row r="33" spans="1:11" ht="16.399999999999999" customHeight="1">
      <c r="A33" s="3773" t="s">
        <v>1362</v>
      </c>
      <c r="C33" s="3774"/>
      <c r="D33" s="3774"/>
      <c r="E33" s="3560"/>
      <c r="F33" s="3561"/>
      <c r="G33" s="3778"/>
      <c r="H33" s="3778"/>
      <c r="I33" s="3562"/>
      <c r="K33" s="3780" t="s">
        <v>14</v>
      </c>
    </row>
    <row r="34" spans="1:11" ht="14.9" customHeight="1">
      <c r="A34" s="3779" t="s">
        <v>1361</v>
      </c>
      <c r="C34" s="3877"/>
      <c r="D34" s="3878"/>
      <c r="E34" s="3879"/>
      <c r="F34" s="3880"/>
      <c r="G34" s="3600"/>
      <c r="H34" s="3881"/>
      <c r="I34" s="3882"/>
    </row>
    <row r="35" spans="1:11" ht="16.399999999999999" customHeight="1">
      <c r="A35" s="3779" t="s">
        <v>1346</v>
      </c>
      <c r="C35" s="3781"/>
      <c r="G35" s="3600"/>
    </row>
    <row r="36" spans="1:11" ht="16.399999999999999" customHeight="1">
      <c r="A36" s="3779" t="s">
        <v>1347</v>
      </c>
      <c r="G36" s="3780"/>
    </row>
    <row r="37" spans="1:11">
      <c r="G37" s="3780" t="s">
        <v>14</v>
      </c>
    </row>
    <row r="38" spans="1:11" ht="15.5">
      <c r="C38" s="3872"/>
      <c r="D38" s="3873"/>
      <c r="E38" s="3874"/>
      <c r="F38" s="3875"/>
      <c r="G38" s="3822"/>
      <c r="H38" s="3876"/>
      <c r="I38" s="3915"/>
      <c r="J38" s="3784"/>
    </row>
    <row r="39" spans="1:11">
      <c r="A39" s="3792" t="s">
        <v>14</v>
      </c>
      <c r="C39" s="3781"/>
      <c r="E39" s="3816"/>
      <c r="J39" s="3784"/>
    </row>
    <row r="40" spans="1:11">
      <c r="A40" s="4003"/>
      <c r="B40" s="4003"/>
      <c r="C40" s="3781"/>
      <c r="E40" s="3783"/>
      <c r="I40" s="3772"/>
    </row>
    <row r="41" spans="1:11">
      <c r="G41" s="3782"/>
      <c r="I41" s="3772"/>
    </row>
    <row r="44" spans="1:11">
      <c r="D44" s="3781"/>
    </row>
    <row r="50" ht="11.9" customHeight="1"/>
  </sheetData>
  <mergeCells count="3">
    <mergeCell ref="C7:E7"/>
    <mergeCell ref="G7:I7"/>
    <mergeCell ref="A40:B40"/>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pageSetUpPr autoPageBreaks="0" fitToPage="1"/>
  </sheetPr>
  <dimension ref="A1:IT57"/>
  <sheetViews>
    <sheetView showGridLines="0" zoomScale="90" zoomScaleNormal="70" workbookViewId="0"/>
  </sheetViews>
  <sheetFormatPr defaultColWidth="8.84375" defaultRowHeight="15.5"/>
  <cols>
    <col min="1" max="1" width="44.84375" style="38" customWidth="1"/>
    <col min="2" max="2" width="13.84375" style="38" customWidth="1"/>
    <col min="3" max="3" width="1.84375" style="38" customWidth="1"/>
    <col min="4" max="4" width="13.84375" style="38" customWidth="1"/>
    <col min="5" max="5" width="1.53515625" style="38" customWidth="1"/>
    <col min="6" max="6" width="13.84375" style="38" customWidth="1"/>
    <col min="7" max="7" width="1.84375" style="38" customWidth="1"/>
    <col min="8" max="8" width="13.84375" style="38" customWidth="1"/>
    <col min="9" max="9" width="0.84375" style="38" customWidth="1"/>
    <col min="10" max="10" width="12.84375" style="38" customWidth="1"/>
    <col min="11" max="11" width="1.53515625" style="38" customWidth="1"/>
    <col min="12" max="12" width="13.84375" style="38" customWidth="1"/>
    <col min="13" max="13" width="1" style="38" customWidth="1"/>
    <col min="14" max="14" width="13.4609375" style="1698" customWidth="1"/>
    <col min="15" max="15" width="1.07421875" style="1698" customWidth="1"/>
    <col min="16" max="16" width="13.07421875" style="1698" customWidth="1"/>
    <col min="17" max="17" width="1.53515625" style="38" customWidth="1"/>
    <col min="18" max="18" width="1" style="101" customWidth="1"/>
    <col min="19" max="19" width="11.84375" style="38" customWidth="1"/>
    <col min="20" max="20" width="0.84375" style="101" customWidth="1"/>
    <col min="21" max="21" width="10.84375" style="38" customWidth="1"/>
    <col min="22" max="22" width="0.4609375" style="101" customWidth="1"/>
    <col min="23" max="16384" width="8.84375" style="38"/>
  </cols>
  <sheetData>
    <row r="1" spans="1:254">
      <c r="A1" s="635" t="s">
        <v>882</v>
      </c>
    </row>
    <row r="2" spans="1:254">
      <c r="A2" s="813"/>
    </row>
    <row r="3" spans="1:254" s="31" customFormat="1" ht="18" customHeight="1">
      <c r="A3" s="26" t="s">
        <v>0</v>
      </c>
      <c r="B3" s="26"/>
      <c r="C3" s="26"/>
      <c r="D3" s="26"/>
      <c r="E3" s="26"/>
      <c r="F3" s="27"/>
      <c r="G3" s="27"/>
      <c r="H3" s="26"/>
      <c r="I3" s="26"/>
      <c r="J3" s="26"/>
      <c r="K3" s="26"/>
      <c r="L3" s="26"/>
      <c r="M3" s="26"/>
      <c r="N3" s="3457"/>
      <c r="O3" s="3951"/>
      <c r="P3" s="3951"/>
      <c r="Q3" s="1337"/>
      <c r="R3" s="1337"/>
      <c r="S3" s="28"/>
      <c r="T3" s="30"/>
      <c r="U3" s="3952" t="s">
        <v>60</v>
      </c>
      <c r="V3" s="3952"/>
      <c r="W3" s="29"/>
      <c r="X3" s="29"/>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row>
    <row r="4" spans="1:254" s="31" customFormat="1">
      <c r="A4" s="26" t="s">
        <v>349</v>
      </c>
      <c r="B4" s="26"/>
      <c r="C4" s="26"/>
      <c r="D4" s="26"/>
      <c r="E4" s="26"/>
      <c r="F4" s="27"/>
      <c r="G4" s="27"/>
      <c r="H4" s="26"/>
      <c r="I4" s="26"/>
      <c r="J4" s="26"/>
      <c r="K4" s="26"/>
      <c r="L4" s="26"/>
      <c r="M4" s="26"/>
      <c r="N4" s="102"/>
      <c r="O4" s="102"/>
      <c r="P4" s="102"/>
      <c r="Q4" s="26"/>
      <c r="R4" s="251"/>
      <c r="S4" s="28"/>
      <c r="T4" s="30"/>
      <c r="U4" s="29"/>
      <c r="V4" s="30"/>
      <c r="W4" s="29"/>
      <c r="X4" s="29"/>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row>
    <row r="5" spans="1:254" s="31" customFormat="1" ht="15.75" customHeight="1">
      <c r="A5" s="1338" t="s">
        <v>792</v>
      </c>
      <c r="B5" s="26"/>
      <c r="C5" s="26"/>
      <c r="D5" s="26"/>
      <c r="E5" s="26"/>
      <c r="F5" s="27"/>
      <c r="G5" s="27"/>
      <c r="H5" s="26"/>
      <c r="I5" s="26"/>
      <c r="J5" s="26"/>
      <c r="K5" s="26"/>
      <c r="L5" s="26"/>
      <c r="M5" s="26"/>
      <c r="N5" s="102"/>
      <c r="O5" s="102"/>
      <c r="P5" s="102" t="s">
        <v>14</v>
      </c>
      <c r="Q5" s="26"/>
      <c r="R5" s="251"/>
      <c r="S5" s="28"/>
      <c r="T5" s="30"/>
      <c r="U5" s="29"/>
      <c r="V5" s="30"/>
      <c r="W5" s="29"/>
      <c r="X5" s="29"/>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7"/>
      <c r="CH5" s="27"/>
      <c r="CI5" s="27"/>
      <c r="CJ5" s="27"/>
      <c r="CK5" s="27"/>
      <c r="CL5" s="27"/>
      <c r="CM5" s="27"/>
      <c r="CN5" s="27"/>
      <c r="CO5" s="27"/>
      <c r="CP5" s="27"/>
      <c r="CQ5" s="27"/>
      <c r="CR5" s="27"/>
      <c r="CS5" s="27"/>
      <c r="CT5" s="27"/>
      <c r="CU5" s="27"/>
      <c r="CV5" s="27"/>
      <c r="CW5" s="27"/>
      <c r="CX5" s="27"/>
      <c r="CY5" s="27"/>
      <c r="CZ5" s="27"/>
      <c r="DA5" s="27"/>
      <c r="DB5" s="27"/>
      <c r="DC5" s="27"/>
      <c r="DD5" s="27"/>
      <c r="DE5" s="27"/>
      <c r="DF5" s="27"/>
      <c r="DG5" s="27"/>
      <c r="DH5" s="27"/>
      <c r="DI5" s="27"/>
      <c r="DJ5" s="27"/>
      <c r="DK5" s="27"/>
      <c r="DL5" s="27"/>
      <c r="DM5" s="27"/>
      <c r="DN5" s="27"/>
      <c r="DO5" s="27"/>
      <c r="DP5" s="27"/>
      <c r="DQ5" s="27"/>
      <c r="DR5" s="27"/>
      <c r="DS5" s="27"/>
      <c r="DT5" s="27"/>
      <c r="DU5" s="27"/>
      <c r="DV5" s="27"/>
      <c r="DW5" s="27"/>
      <c r="DX5" s="27"/>
      <c r="DY5" s="27"/>
      <c r="DZ5" s="27"/>
      <c r="EA5" s="27"/>
      <c r="EB5" s="27"/>
      <c r="EC5" s="27"/>
      <c r="ED5" s="27"/>
      <c r="EE5" s="27"/>
      <c r="EF5" s="27"/>
      <c r="EG5" s="27"/>
      <c r="EH5" s="27"/>
      <c r="EI5" s="27"/>
      <c r="EJ5" s="27"/>
      <c r="EK5" s="27"/>
      <c r="EL5" s="27"/>
      <c r="EM5" s="27"/>
      <c r="EN5" s="27"/>
      <c r="EO5" s="27"/>
      <c r="EP5" s="27"/>
      <c r="EQ5" s="27"/>
      <c r="ER5" s="27"/>
      <c r="ES5" s="27"/>
      <c r="ET5" s="27"/>
      <c r="EU5" s="27"/>
      <c r="EV5" s="27"/>
      <c r="EW5" s="27"/>
      <c r="EX5" s="27"/>
      <c r="EY5" s="27"/>
      <c r="EZ5" s="27"/>
      <c r="FA5" s="27"/>
      <c r="FB5" s="27"/>
      <c r="FC5" s="27"/>
      <c r="FD5" s="27"/>
      <c r="FE5" s="27"/>
      <c r="FF5" s="27"/>
      <c r="FG5" s="27"/>
      <c r="FH5" s="27"/>
      <c r="FI5" s="27"/>
      <c r="FJ5" s="27"/>
      <c r="FK5" s="27"/>
      <c r="FL5" s="27"/>
      <c r="FM5" s="27"/>
      <c r="FN5" s="27"/>
      <c r="FO5" s="27"/>
      <c r="FP5" s="27"/>
      <c r="FQ5" s="27"/>
      <c r="FR5" s="27"/>
      <c r="FS5" s="27"/>
      <c r="FT5" s="27"/>
      <c r="FU5" s="27"/>
      <c r="FV5" s="27"/>
      <c r="FW5" s="27"/>
      <c r="FX5" s="27"/>
      <c r="FY5" s="27"/>
      <c r="FZ5" s="27"/>
      <c r="GA5" s="27"/>
      <c r="GB5" s="27"/>
      <c r="GC5" s="27"/>
      <c r="GD5" s="27"/>
      <c r="GE5" s="27"/>
      <c r="GF5" s="27"/>
      <c r="GG5" s="27"/>
      <c r="GH5" s="27"/>
      <c r="GI5" s="27"/>
      <c r="GJ5" s="27"/>
      <c r="GK5" s="27"/>
      <c r="GL5" s="27"/>
      <c r="GM5" s="27"/>
      <c r="GN5" s="27"/>
      <c r="GO5" s="27"/>
      <c r="GP5" s="27"/>
      <c r="GQ5" s="27"/>
      <c r="GR5" s="27"/>
      <c r="GS5" s="27"/>
      <c r="GT5" s="27"/>
      <c r="GU5" s="27"/>
      <c r="GV5" s="27"/>
      <c r="GW5" s="27"/>
      <c r="GX5" s="27"/>
      <c r="GY5" s="27"/>
      <c r="GZ5" s="27"/>
      <c r="HA5" s="27"/>
      <c r="HB5" s="27"/>
      <c r="HC5" s="27"/>
      <c r="HD5" s="27"/>
      <c r="HE5" s="27"/>
      <c r="HF5" s="27"/>
      <c r="HG5" s="27"/>
      <c r="HH5" s="27"/>
      <c r="HI5" s="27"/>
      <c r="HJ5" s="27"/>
      <c r="HK5" s="27"/>
      <c r="HL5" s="27"/>
      <c r="HM5" s="27"/>
      <c r="HN5" s="27"/>
      <c r="HO5" s="27"/>
      <c r="HP5" s="27"/>
      <c r="HQ5" s="27"/>
      <c r="HR5" s="27"/>
      <c r="HS5" s="27"/>
      <c r="HT5" s="27"/>
      <c r="HU5" s="27"/>
      <c r="HV5" s="27"/>
      <c r="HW5" s="27"/>
      <c r="HX5" s="27"/>
      <c r="HY5" s="27"/>
      <c r="HZ5" s="27"/>
      <c r="IA5" s="27"/>
      <c r="IB5" s="27"/>
      <c r="IC5" s="27"/>
      <c r="ID5" s="27"/>
      <c r="IE5" s="27"/>
      <c r="IF5" s="27"/>
      <c r="IG5" s="27"/>
      <c r="IH5" s="27"/>
      <c r="II5" s="27"/>
      <c r="IJ5" s="27"/>
      <c r="IK5" s="27"/>
      <c r="IL5" s="27"/>
      <c r="IM5" s="27"/>
      <c r="IN5" s="27"/>
      <c r="IO5" s="27"/>
      <c r="IP5" s="27"/>
      <c r="IQ5" s="27"/>
      <c r="IR5" s="27"/>
      <c r="IS5" s="27"/>
      <c r="IT5" s="27"/>
    </row>
    <row r="6" spans="1:254" s="31" customFormat="1">
      <c r="A6" s="26" t="s">
        <v>1277</v>
      </c>
      <c r="B6" s="26"/>
      <c r="C6" s="26"/>
      <c r="D6" s="26"/>
      <c r="E6" s="26"/>
      <c r="F6" s="27"/>
      <c r="G6" s="27"/>
      <c r="H6" s="26"/>
      <c r="I6" s="26"/>
      <c r="J6" s="26"/>
      <c r="K6" s="26"/>
      <c r="L6" s="26"/>
      <c r="M6" s="26"/>
      <c r="N6" s="102"/>
      <c r="O6" s="102"/>
      <c r="P6" s="102"/>
      <c r="Q6" s="26"/>
      <c r="R6" s="251"/>
      <c r="S6" s="28"/>
      <c r="T6" s="30"/>
      <c r="U6" s="29"/>
      <c r="V6" s="30"/>
      <c r="W6" s="29"/>
      <c r="X6" s="29"/>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row>
    <row r="7" spans="1:254" s="31" customFormat="1">
      <c r="A7" s="32"/>
      <c r="B7" s="26"/>
      <c r="C7" s="26"/>
      <c r="D7" s="26"/>
      <c r="E7" s="26"/>
      <c r="F7" s="27"/>
      <c r="G7" s="27"/>
      <c r="H7" s="26"/>
      <c r="I7" s="26"/>
      <c r="J7" s="26"/>
      <c r="K7" s="26"/>
      <c r="L7" s="26"/>
      <c r="M7" s="26"/>
      <c r="N7" s="102"/>
      <c r="O7" s="102"/>
      <c r="P7" s="102"/>
      <c r="Q7" s="26"/>
      <c r="R7" s="251"/>
      <c r="S7" s="28"/>
      <c r="T7" s="30"/>
      <c r="U7" s="29"/>
      <c r="V7" s="30"/>
      <c r="W7" s="29"/>
      <c r="X7" s="29"/>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c r="GH7" s="27"/>
      <c r="GI7" s="27"/>
      <c r="GJ7" s="27"/>
      <c r="GK7" s="27"/>
      <c r="GL7" s="27"/>
      <c r="GM7" s="27"/>
      <c r="GN7" s="27"/>
      <c r="GO7" s="27"/>
      <c r="GP7" s="27"/>
      <c r="GQ7" s="27"/>
      <c r="GR7" s="27"/>
      <c r="GS7" s="27"/>
      <c r="GT7" s="27"/>
      <c r="GU7" s="27"/>
      <c r="GV7" s="27"/>
      <c r="GW7" s="27"/>
      <c r="GX7" s="27"/>
      <c r="GY7" s="27"/>
      <c r="GZ7" s="27"/>
      <c r="HA7" s="27"/>
      <c r="HB7" s="27"/>
      <c r="HC7" s="27"/>
      <c r="HD7" s="27"/>
      <c r="HE7" s="27"/>
      <c r="HF7" s="27"/>
      <c r="HG7" s="27"/>
      <c r="HH7" s="27"/>
      <c r="HI7" s="27"/>
      <c r="HJ7" s="27"/>
      <c r="HK7" s="27"/>
      <c r="HL7" s="27"/>
      <c r="HM7" s="27"/>
      <c r="HN7" s="27"/>
      <c r="HO7" s="27"/>
      <c r="HP7" s="27"/>
      <c r="HQ7" s="27"/>
      <c r="HR7" s="27"/>
      <c r="HS7" s="27"/>
      <c r="HT7" s="27"/>
      <c r="HU7" s="27"/>
      <c r="HV7" s="27"/>
      <c r="HW7" s="27"/>
      <c r="HX7" s="27"/>
      <c r="HY7" s="27"/>
      <c r="HZ7" s="27"/>
      <c r="IA7" s="27"/>
      <c r="IB7" s="27"/>
      <c r="IC7" s="27"/>
      <c r="ID7" s="27"/>
      <c r="IE7" s="27"/>
      <c r="IF7" s="27"/>
      <c r="IG7" s="27"/>
      <c r="IH7" s="27"/>
      <c r="II7" s="27"/>
      <c r="IJ7" s="27"/>
      <c r="IK7" s="27"/>
      <c r="IL7" s="27"/>
      <c r="IM7" s="27"/>
      <c r="IN7" s="27"/>
      <c r="IO7" s="27"/>
      <c r="IP7" s="27"/>
      <c r="IQ7" s="27"/>
      <c r="IR7" s="27"/>
      <c r="IS7" s="27"/>
      <c r="IT7" s="27"/>
    </row>
    <row r="8" spans="1:254" s="31" customFormat="1">
      <c r="B8" s="26"/>
      <c r="C8" s="26"/>
      <c r="D8" s="26"/>
      <c r="E8" s="26"/>
      <c r="F8" s="27"/>
      <c r="G8" s="27"/>
      <c r="H8" s="26"/>
      <c r="I8" s="26"/>
      <c r="J8" s="26"/>
      <c r="K8" s="26"/>
      <c r="L8" s="26"/>
      <c r="M8" s="26"/>
      <c r="N8" s="102"/>
      <c r="O8" s="102"/>
      <c r="P8" s="102"/>
      <c r="Q8" s="26"/>
      <c r="R8" s="251"/>
      <c r="S8" s="28"/>
      <c r="T8" s="30"/>
      <c r="U8" s="29"/>
      <c r="V8" s="30"/>
      <c r="W8" s="29"/>
      <c r="X8" s="29"/>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row>
    <row r="9" spans="1:254" s="31" customFormat="1" ht="8.15" customHeight="1">
      <c r="A9" s="28"/>
      <c r="B9" s="26"/>
      <c r="C9" s="26"/>
      <c r="D9" s="26"/>
      <c r="E9" s="26"/>
      <c r="F9" s="26"/>
      <c r="G9" s="27"/>
      <c r="H9" s="26"/>
      <c r="I9" s="26"/>
      <c r="J9" s="26"/>
      <c r="K9" s="26"/>
      <c r="L9" s="26"/>
      <c r="M9" s="26"/>
      <c r="N9" s="102"/>
      <c r="O9" s="102"/>
      <c r="P9" s="102"/>
      <c r="Q9" s="26"/>
      <c r="R9" s="251"/>
      <c r="S9" s="28"/>
      <c r="T9" s="33"/>
      <c r="U9" s="28"/>
      <c r="V9" s="34"/>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7"/>
      <c r="GW9" s="27"/>
      <c r="GX9" s="27"/>
      <c r="GY9" s="27"/>
      <c r="GZ9" s="27"/>
      <c r="HA9" s="27"/>
      <c r="HB9" s="27"/>
      <c r="HC9" s="27"/>
      <c r="HD9" s="27"/>
      <c r="HE9" s="27"/>
      <c r="HF9" s="27"/>
      <c r="HG9" s="27"/>
      <c r="HH9" s="27"/>
      <c r="HI9" s="27"/>
      <c r="HJ9" s="27"/>
      <c r="HK9" s="27"/>
      <c r="HL9" s="27"/>
      <c r="HM9" s="27"/>
      <c r="HN9" s="27"/>
      <c r="HO9" s="27"/>
      <c r="HP9" s="27"/>
      <c r="HQ9" s="27"/>
      <c r="HR9" s="27"/>
      <c r="HS9" s="27"/>
      <c r="HT9" s="27"/>
      <c r="HU9" s="27"/>
      <c r="HV9" s="27"/>
      <c r="HW9" s="27"/>
      <c r="HX9" s="27"/>
      <c r="HY9" s="27"/>
      <c r="HZ9" s="27"/>
      <c r="IA9" s="27"/>
      <c r="IB9" s="27"/>
      <c r="IC9" s="27"/>
      <c r="ID9" s="27"/>
      <c r="IE9" s="27"/>
      <c r="IF9" s="27"/>
      <c r="IG9" s="27"/>
      <c r="IH9" s="27"/>
      <c r="II9" s="27"/>
      <c r="IJ9" s="27"/>
      <c r="IK9" s="27"/>
      <c r="IL9" s="27"/>
      <c r="IM9" s="27"/>
      <c r="IN9" s="27"/>
      <c r="IO9" s="27"/>
      <c r="IP9" s="27"/>
      <c r="IQ9" s="27"/>
      <c r="IR9" s="27"/>
      <c r="IS9" s="27"/>
      <c r="IT9" s="27"/>
    </row>
    <row r="10" spans="1:254" s="31" customFormat="1">
      <c r="A10" s="28"/>
      <c r="B10" s="26"/>
      <c r="C10" s="26"/>
      <c r="D10" s="26"/>
      <c r="E10" s="26"/>
      <c r="F10" s="26"/>
      <c r="G10" s="27"/>
      <c r="H10" s="26"/>
      <c r="I10" s="26"/>
      <c r="J10" s="26"/>
      <c r="K10" s="26"/>
      <c r="L10" s="26"/>
      <c r="M10" s="26"/>
      <c r="N10" s="102"/>
      <c r="O10" s="102"/>
      <c r="P10" s="102"/>
      <c r="Q10" s="26"/>
      <c r="R10" s="251"/>
      <c r="S10" s="28"/>
      <c r="T10" s="30"/>
      <c r="U10" s="29"/>
      <c r="V10" s="30"/>
      <c r="W10" s="29"/>
      <c r="X10" s="29"/>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c r="GH10" s="27"/>
      <c r="GI10" s="27"/>
      <c r="GJ10" s="27"/>
      <c r="GK10" s="27"/>
      <c r="GL10" s="27"/>
      <c r="GM10" s="27"/>
      <c r="GN10" s="27"/>
      <c r="GO10" s="27"/>
      <c r="GP10" s="27"/>
      <c r="GQ10" s="27"/>
      <c r="GR10" s="27"/>
      <c r="GS10" s="27"/>
      <c r="GT10" s="27"/>
      <c r="GU10" s="27"/>
      <c r="GV10" s="27"/>
      <c r="GW10" s="27"/>
      <c r="GX10" s="27"/>
      <c r="GY10" s="27"/>
      <c r="GZ10" s="27"/>
      <c r="HA10" s="27"/>
      <c r="HB10" s="27"/>
      <c r="HC10" s="27"/>
      <c r="HD10" s="27"/>
      <c r="HE10" s="27"/>
      <c r="HF10" s="27"/>
      <c r="HG10" s="27"/>
      <c r="HH10" s="27"/>
      <c r="HI10" s="27"/>
      <c r="HJ10" s="27"/>
      <c r="HK10" s="27"/>
      <c r="HL10" s="27"/>
      <c r="HM10" s="27"/>
      <c r="HN10" s="27"/>
      <c r="HO10" s="27"/>
      <c r="HP10" s="27"/>
      <c r="HQ10" s="27"/>
      <c r="HR10" s="27"/>
      <c r="HS10" s="27"/>
      <c r="HT10" s="27"/>
      <c r="HU10" s="27"/>
      <c r="HV10" s="27"/>
      <c r="HW10" s="27"/>
      <c r="HX10" s="27"/>
      <c r="HY10" s="27"/>
      <c r="HZ10" s="27"/>
      <c r="IA10" s="27"/>
      <c r="IB10" s="27"/>
      <c r="IC10" s="27"/>
      <c r="ID10" s="27"/>
      <c r="IE10" s="27"/>
      <c r="IF10" s="27"/>
      <c r="IG10" s="27"/>
      <c r="IH10" s="27"/>
      <c r="II10" s="27"/>
      <c r="IJ10" s="27"/>
      <c r="IK10" s="27"/>
      <c r="IL10" s="27"/>
      <c r="IM10" s="27"/>
      <c r="IN10" s="27"/>
      <c r="IO10" s="27"/>
      <c r="IP10" s="27"/>
      <c r="IQ10" s="27"/>
      <c r="IR10" s="27"/>
      <c r="IS10" s="27"/>
      <c r="IT10" s="27"/>
    </row>
    <row r="11" spans="1:254" s="31" customFormat="1">
      <c r="A11" s="28"/>
      <c r="B11" s="26"/>
      <c r="C11" s="26"/>
      <c r="D11" s="26"/>
      <c r="E11" s="26"/>
      <c r="F11" s="26"/>
      <c r="G11" s="27"/>
      <c r="H11" s="26"/>
      <c r="I11" s="26"/>
      <c r="K11" s="726"/>
      <c r="L11" s="1339"/>
      <c r="M11" s="208"/>
      <c r="N11" s="729"/>
      <c r="O11" s="729"/>
      <c r="P11" s="729"/>
      <c r="Q11" s="726"/>
      <c r="R11" s="743"/>
      <c r="S11" s="28"/>
      <c r="T11" s="30"/>
      <c r="U11" s="29"/>
      <c r="V11" s="30"/>
      <c r="W11" s="29"/>
      <c r="X11" s="29"/>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row>
    <row r="12" spans="1:254" ht="16.399999999999999" customHeight="1">
      <c r="A12" s="28"/>
      <c r="B12" s="726"/>
      <c r="C12" s="726" t="s">
        <v>61</v>
      </c>
      <c r="D12" s="726"/>
      <c r="E12" s="26"/>
      <c r="F12" s="726"/>
      <c r="G12" s="726" t="s">
        <v>62</v>
      </c>
      <c r="H12" s="726"/>
      <c r="I12" s="26"/>
      <c r="J12" s="726"/>
      <c r="K12" s="726"/>
      <c r="L12" s="1339"/>
      <c r="M12" s="726" t="s">
        <v>63</v>
      </c>
      <c r="N12" s="729"/>
      <c r="O12" s="729"/>
      <c r="P12" s="729"/>
      <c r="Q12" s="726"/>
      <c r="R12" s="743"/>
      <c r="S12" s="2210" t="s">
        <v>813</v>
      </c>
      <c r="T12" s="2211"/>
      <c r="U12" s="2211"/>
      <c r="V12" s="36"/>
      <c r="W12" s="37"/>
      <c r="X12" s="37"/>
    </row>
    <row r="13" spans="1:254" ht="13.4" customHeight="1">
      <c r="A13" s="28"/>
      <c r="B13" s="39"/>
      <c r="C13" s="39"/>
      <c r="D13" s="39"/>
      <c r="E13" s="28"/>
      <c r="F13" s="39"/>
      <c r="G13" s="40"/>
      <c r="H13" s="39"/>
      <c r="I13" s="28"/>
      <c r="J13" s="39"/>
      <c r="K13" s="39"/>
      <c r="L13" s="39"/>
      <c r="M13" s="39"/>
      <c r="N13" s="3461"/>
      <c r="O13" s="3461"/>
      <c r="P13" s="3461"/>
      <c r="Q13" s="33"/>
      <c r="R13" s="973"/>
      <c r="S13" s="35"/>
      <c r="T13" s="41"/>
      <c r="U13" s="37"/>
      <c r="V13" s="41"/>
      <c r="W13" s="37"/>
      <c r="X13" s="37"/>
    </row>
    <row r="14" spans="1:254" ht="16.399999999999999" customHeight="1">
      <c r="A14" s="28"/>
      <c r="B14" s="726" t="s">
        <v>6</v>
      </c>
      <c r="C14" s="26"/>
      <c r="D14" s="726" t="str">
        <f>'Exhibit A'!F11</f>
        <v>6 MOS. ENDED</v>
      </c>
      <c r="E14" s="26"/>
      <c r="F14" s="726" t="s">
        <v>6</v>
      </c>
      <c r="G14" s="206"/>
      <c r="H14" s="726" t="str">
        <f>D14</f>
        <v>6 MOS. ENDED</v>
      </c>
      <c r="I14" s="26"/>
      <c r="J14" s="726" t="s">
        <v>6</v>
      </c>
      <c r="K14" s="26"/>
      <c r="L14" s="726" t="str">
        <f>D14</f>
        <v>6 MOS. ENDED</v>
      </c>
      <c r="M14" s="26"/>
      <c r="N14" s="729" t="s">
        <v>6</v>
      </c>
      <c r="O14" s="102"/>
      <c r="P14" s="729" t="str">
        <f>H14</f>
        <v>6 MOS. ENDED</v>
      </c>
      <c r="Q14" s="726"/>
      <c r="R14" s="974"/>
      <c r="S14" s="737" t="s">
        <v>7</v>
      </c>
      <c r="T14" s="207"/>
      <c r="U14" s="738" t="s">
        <v>8</v>
      </c>
      <c r="V14" s="41"/>
      <c r="W14" s="37"/>
      <c r="X14" s="37"/>
    </row>
    <row r="15" spans="1:254" ht="16.399999999999999" customHeight="1">
      <c r="A15" s="28"/>
      <c r="B15" s="727" t="str">
        <f>'Exhibit A'!D12</f>
        <v>SEP. 2021</v>
      </c>
      <c r="C15" s="26"/>
      <c r="D15" s="728" t="str">
        <f>'Exhibit A'!F12</f>
        <v>SEP. 30, 2021</v>
      </c>
      <c r="E15" s="26"/>
      <c r="F15" s="726" t="str">
        <f>B15</f>
        <v>SEP. 2021</v>
      </c>
      <c r="G15" s="26"/>
      <c r="H15" s="726" t="str">
        <f>D15</f>
        <v>SEP. 30, 2021</v>
      </c>
      <c r="I15" s="26"/>
      <c r="J15" s="726" t="str">
        <f>B15</f>
        <v>SEP. 2021</v>
      </c>
      <c r="K15" s="26"/>
      <c r="L15" s="726" t="str">
        <f>'Exhibit A'!X12</f>
        <v>SEP. 30, 2021</v>
      </c>
      <c r="M15" s="26"/>
      <c r="N15" s="3458" t="str">
        <f>'Exhibit A'!AB12</f>
        <v>SEP. 2020</v>
      </c>
      <c r="O15" s="102"/>
      <c r="P15" s="3796" t="str">
        <f>'Exhibit A'!AD12</f>
        <v>SEP. 30, 2020</v>
      </c>
      <c r="Q15" s="725"/>
      <c r="R15" s="975"/>
      <c r="S15" s="740" t="s">
        <v>11</v>
      </c>
      <c r="T15" s="206"/>
      <c r="U15" s="741" t="s">
        <v>12</v>
      </c>
      <c r="V15" s="41"/>
      <c r="W15" s="37"/>
      <c r="X15" s="37"/>
    </row>
    <row r="16" spans="1:254" ht="13.4" customHeight="1">
      <c r="A16" s="28"/>
      <c r="B16" s="39"/>
      <c r="C16" s="28"/>
      <c r="D16" s="39" t="s">
        <v>14</v>
      </c>
      <c r="E16" s="28"/>
      <c r="F16" s="39"/>
      <c r="G16" s="28"/>
      <c r="H16" s="40" t="s">
        <v>14</v>
      </c>
      <c r="I16" s="42"/>
      <c r="J16" s="43"/>
      <c r="K16" s="28"/>
      <c r="L16" s="39"/>
      <c r="M16" s="42"/>
      <c r="N16" s="106"/>
      <c r="O16" s="104"/>
      <c r="P16" s="106"/>
      <c r="Q16" s="33"/>
      <c r="R16" s="973"/>
      <c r="S16" s="35"/>
      <c r="T16" s="33"/>
      <c r="U16" s="37"/>
      <c r="V16" s="33"/>
      <c r="W16" s="37"/>
      <c r="X16" s="37"/>
    </row>
    <row r="17" spans="1:247" ht="16.399999999999999" customHeight="1">
      <c r="A17" s="26" t="s">
        <v>13</v>
      </c>
      <c r="B17" s="44"/>
      <c r="C17" s="44"/>
      <c r="D17" s="44"/>
      <c r="E17" s="44"/>
      <c r="F17" s="44"/>
      <c r="G17" s="44"/>
      <c r="H17" s="44"/>
      <c r="I17" s="45"/>
      <c r="J17" s="45"/>
      <c r="K17" s="44"/>
      <c r="L17" s="44"/>
      <c r="M17" s="45"/>
      <c r="N17" s="3435"/>
      <c r="O17" s="3462"/>
      <c r="P17" s="3795"/>
      <c r="Q17" s="46"/>
      <c r="R17" s="976"/>
      <c r="S17" s="35"/>
      <c r="T17" s="46"/>
      <c r="U17" s="37"/>
      <c r="V17" s="46"/>
      <c r="W17" s="37"/>
      <c r="X17" s="37"/>
    </row>
    <row r="18" spans="1:247" ht="16.399999999999999" customHeight="1">
      <c r="A18" s="28" t="s">
        <v>19</v>
      </c>
      <c r="B18" s="649">
        <f>'Exhibit J'!M19</f>
        <v>307.69999999999982</v>
      </c>
      <c r="C18" s="649"/>
      <c r="D18" s="960">
        <f>+'Exhibit J'!AB19</f>
        <v>1435.1</v>
      </c>
      <c r="E18" s="649"/>
      <c r="F18" s="960">
        <f>'Exhibit K'!L17</f>
        <v>50.100000000000009</v>
      </c>
      <c r="G18" s="649"/>
      <c r="H18" s="960">
        <f>+'Exhibit K'!AA17</f>
        <v>245</v>
      </c>
      <c r="I18" s="1201"/>
      <c r="J18" s="1201">
        <f>ROUND(SUM(B18)+SUM(F18),1)</f>
        <v>357.8</v>
      </c>
      <c r="K18" s="649"/>
      <c r="L18" s="1373">
        <f>ROUND(SUM(D18)+SUM(H18),1)</f>
        <v>1680.1</v>
      </c>
      <c r="M18" s="1201"/>
      <c r="N18" s="1004">
        <v>41.099999999999994</v>
      </c>
      <c r="O18" s="1004"/>
      <c r="P18" s="1004">
        <f>'Exhibit J'!AE19+'Exhibit K'!AD17</f>
        <v>205.7</v>
      </c>
      <c r="Q18" s="960"/>
      <c r="R18" s="1374"/>
      <c r="S18" s="649">
        <f>ROUND(SUM(L18-P18),1)</f>
        <v>1474.4</v>
      </c>
      <c r="T18" s="1185"/>
      <c r="U18" s="1418">
        <f>ROUND(+S18/P18,3)</f>
        <v>7.1680000000000001</v>
      </c>
      <c r="V18" s="49"/>
      <c r="W18" s="50"/>
      <c r="X18" s="50"/>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row>
    <row r="19" spans="1:247" ht="16.399999999999999" customHeight="1">
      <c r="A19" s="809" t="s">
        <v>64</v>
      </c>
      <c r="B19" s="634">
        <f>'Exhibit J'!M20</f>
        <v>1186.3999999999942</v>
      </c>
      <c r="C19" s="634"/>
      <c r="D19" s="932">
        <f>+'Exhibit J'!AB20</f>
        <v>23694.1</v>
      </c>
      <c r="E19" s="634"/>
      <c r="F19" s="650">
        <v>0</v>
      </c>
      <c r="G19" s="634"/>
      <c r="H19" s="650">
        <v>0</v>
      </c>
      <c r="I19" s="1375"/>
      <c r="J19" s="1376">
        <f>ROUND(SUM(B19)+SUM(F19),1)</f>
        <v>1186.4000000000001</v>
      </c>
      <c r="K19" s="660"/>
      <c r="L19" s="932">
        <f>ROUND(SUM(D19)+SUM(H19),1)</f>
        <v>23694.1</v>
      </c>
      <c r="M19" s="1377"/>
      <c r="N19" s="1013">
        <v>2491.6999999999998</v>
      </c>
      <c r="O19" s="1013"/>
      <c r="P19" s="1013">
        <f>'Exhibit J'!AE20</f>
        <v>33873.9</v>
      </c>
      <c r="Q19" s="932"/>
      <c r="R19" s="1378"/>
      <c r="S19" s="634">
        <f>ROUND(SUM(L19-P19),1)</f>
        <v>-10179.799999999999</v>
      </c>
      <c r="T19" s="1379"/>
      <c r="U19" s="1503">
        <f>ROUND(+S19/P19,3)</f>
        <v>-0.30099999999999999</v>
      </c>
      <c r="V19" s="56"/>
      <c r="W19" s="50"/>
      <c r="X19" s="50"/>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row>
    <row r="20" spans="1:247" ht="16.399999999999999" customHeight="1">
      <c r="A20" s="28" t="s">
        <v>65</v>
      </c>
      <c r="B20" s="634">
        <f>'Exhibit J'!M21</f>
        <v>239.39999999999964</v>
      </c>
      <c r="C20" s="634"/>
      <c r="D20" s="932">
        <f>+'Exhibit J'!AB21</f>
        <v>1827.8</v>
      </c>
      <c r="E20" s="634"/>
      <c r="F20" s="650">
        <v>0</v>
      </c>
      <c r="G20" s="634"/>
      <c r="H20" s="650">
        <v>0</v>
      </c>
      <c r="I20" s="1375"/>
      <c r="J20" s="1380">
        <f>ROUND(SUM(B20+F20),1)</f>
        <v>239.4</v>
      </c>
      <c r="K20" s="660"/>
      <c r="L20" s="932">
        <f>ROUND(SUM(D20)+SUM(H20),1)</f>
        <v>1827.8</v>
      </c>
      <c r="M20" s="1377"/>
      <c r="N20" s="1013">
        <v>1396.4</v>
      </c>
      <c r="O20" s="3460"/>
      <c r="P20" s="1013">
        <f>'Exhibit J'!AE21</f>
        <v>11925.9</v>
      </c>
      <c r="Q20" s="932"/>
      <c r="R20" s="1378"/>
      <c r="S20" s="634">
        <f>ROUND(SUM(L20-P20),1)</f>
        <v>-10098.1</v>
      </c>
      <c r="T20" s="1379"/>
      <c r="U20" s="3607">
        <f>ROUND(+S20/P20,3)</f>
        <v>-0.84699999999999998</v>
      </c>
      <c r="V20" s="56"/>
      <c r="W20" s="50"/>
      <c r="X20" s="50"/>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row>
    <row r="21" spans="1:247">
      <c r="A21" s="26" t="s">
        <v>21</v>
      </c>
      <c r="B21" s="3386">
        <f>ROUND(SUM(B18:B20),1)</f>
        <v>1733.5</v>
      </c>
      <c r="C21" s="911"/>
      <c r="D21" s="58">
        <f>ROUND(SUM(D18:D20),1)</f>
        <v>26957</v>
      </c>
      <c r="E21" s="911"/>
      <c r="F21" s="58">
        <f>ROUND(SUM(F18:F20),1)</f>
        <v>50.1</v>
      </c>
      <c r="G21" s="911"/>
      <c r="H21" s="58">
        <f>ROUND(SUM(H18:H20),1)</f>
        <v>245</v>
      </c>
      <c r="I21" s="60"/>
      <c r="J21" s="58">
        <f>SUM(J18:J20)</f>
        <v>1783.6000000000001</v>
      </c>
      <c r="K21" s="911"/>
      <c r="L21" s="58">
        <f>SUM(L18:L20)</f>
        <v>27201.999999999996</v>
      </c>
      <c r="M21" s="61"/>
      <c r="N21" s="3386">
        <f>ROUND(SUM(N18:N20),1)</f>
        <v>3929.2</v>
      </c>
      <c r="O21" s="109"/>
      <c r="P21" s="3386">
        <f>ROUND(SUM(P18:P20),1)</f>
        <v>46005.5</v>
      </c>
      <c r="Q21" s="73"/>
      <c r="R21" s="332"/>
      <c r="S21" s="58">
        <f>ROUND(SUM(S18:S20),1)</f>
        <v>-18803.5</v>
      </c>
      <c r="T21" s="658"/>
      <c r="U21" s="3636">
        <f>ROUND(+S21/P21,3)</f>
        <v>-0.40899999999999997</v>
      </c>
      <c r="V21" s="56"/>
      <c r="W21" s="37"/>
      <c r="X21" s="50"/>
    </row>
    <row r="22" spans="1:247">
      <c r="A22" s="26"/>
      <c r="B22" s="634"/>
      <c r="C22" s="634"/>
      <c r="D22" s="634"/>
      <c r="E22" s="634"/>
      <c r="F22" s="634"/>
      <c r="G22" s="634"/>
      <c r="H22" s="634"/>
      <c r="I22" s="1376"/>
      <c r="J22" s="1376"/>
      <c r="K22" s="634"/>
      <c r="L22" s="634"/>
      <c r="M22" s="1376"/>
      <c r="N22" s="1013"/>
      <c r="O22" s="884"/>
      <c r="P22" s="1013"/>
      <c r="Q22" s="932"/>
      <c r="R22" s="1378"/>
      <c r="S22" s="909"/>
      <c r="T22" s="1381"/>
      <c r="U22" s="1419"/>
      <c r="V22" s="46"/>
      <c r="W22" s="37"/>
      <c r="X22" s="50"/>
    </row>
    <row r="23" spans="1:247" ht="16.399999999999999" customHeight="1">
      <c r="A23" s="26" t="s">
        <v>22</v>
      </c>
      <c r="B23" s="634"/>
      <c r="C23" s="634"/>
      <c r="D23" s="634"/>
      <c r="E23" s="634"/>
      <c r="F23" s="634"/>
      <c r="G23" s="634"/>
      <c r="H23" s="634"/>
      <c r="I23" s="1376"/>
      <c r="J23" s="1376"/>
      <c r="K23" s="634"/>
      <c r="L23" s="634"/>
      <c r="M23" s="1376"/>
      <c r="N23" s="1013"/>
      <c r="O23" s="884"/>
      <c r="P23" s="1013"/>
      <c r="Q23" s="932"/>
      <c r="R23" s="1378"/>
      <c r="S23" s="909"/>
      <c r="T23" s="1381"/>
      <c r="U23" s="1419"/>
      <c r="V23" s="46"/>
      <c r="W23" s="37"/>
      <c r="X23" s="50"/>
    </row>
    <row r="24" spans="1:247" ht="16.399999999999999" customHeight="1">
      <c r="A24" s="28" t="s">
        <v>35</v>
      </c>
      <c r="B24" s="634"/>
      <c r="C24" s="634"/>
      <c r="D24" s="634"/>
      <c r="E24" s="634"/>
      <c r="F24" s="634"/>
      <c r="G24" s="634"/>
      <c r="H24" s="634"/>
      <c r="I24" s="1376"/>
      <c r="J24" s="1376"/>
      <c r="K24" s="634"/>
      <c r="L24" s="634"/>
      <c r="M24" s="1376"/>
      <c r="N24" s="1013"/>
      <c r="O24" s="884"/>
      <c r="P24" s="1013"/>
      <c r="Q24" s="932"/>
      <c r="R24" s="1378"/>
      <c r="S24" s="909"/>
      <c r="T24" s="1381"/>
      <c r="U24" s="1419"/>
      <c r="V24" s="46"/>
      <c r="W24" s="37"/>
      <c r="X24" s="50"/>
    </row>
    <row r="25" spans="1:247" ht="16.399999999999999" customHeight="1">
      <c r="A25" s="28" t="s">
        <v>66</v>
      </c>
      <c r="B25" s="634">
        <f>'Exhibit J'!M28</f>
        <v>131</v>
      </c>
      <c r="C25" s="634"/>
      <c r="D25" s="932">
        <f>+'Exhibit J'!AB28</f>
        <v>798.4</v>
      </c>
      <c r="E25" s="634"/>
      <c r="F25" s="634">
        <f>'Exhibit K'!L24</f>
        <v>14.29999999999999</v>
      </c>
      <c r="G25" s="634"/>
      <c r="H25" s="634">
        <f>+'Exhibit K'!AA24</f>
        <v>61.3</v>
      </c>
      <c r="I25" s="1376"/>
      <c r="J25" s="1376">
        <f>ROUND(SUM(B25)+SUM(F25),1)</f>
        <v>145.30000000000001</v>
      </c>
      <c r="K25" s="634"/>
      <c r="L25" s="932">
        <f>ROUND(SUM(D25)+SUM(H25),1)</f>
        <v>859.7</v>
      </c>
      <c r="M25" s="1376"/>
      <c r="N25" s="1013">
        <v>16.299999999999997</v>
      </c>
      <c r="O25" s="1013"/>
      <c r="P25" s="1013">
        <f>'Exhibit J'!AE28+'Exhibit K'!AD24</f>
        <v>80.900000000000006</v>
      </c>
      <c r="Q25" s="932"/>
      <c r="R25" s="1378"/>
      <c r="S25" s="634">
        <f>ROUND(SUM(L25-P25),1)</f>
        <v>778.8</v>
      </c>
      <c r="T25" s="658"/>
      <c r="U25" s="3607">
        <f>ROUND(+S25/P25,3)</f>
        <v>9.6270000000000007</v>
      </c>
      <c r="V25" s="46"/>
      <c r="W25" s="37"/>
      <c r="X25" s="50"/>
    </row>
    <row r="26" spans="1:247" ht="16.399999999999999" customHeight="1">
      <c r="A26" s="28" t="s">
        <v>67</v>
      </c>
      <c r="B26" s="634">
        <f>'Exhibit J'!M29</f>
        <v>91.699999999999989</v>
      </c>
      <c r="C26" s="634"/>
      <c r="D26" s="932">
        <f>+'Exhibit J'!AB29</f>
        <v>243.6</v>
      </c>
      <c r="E26" s="634"/>
      <c r="F26" s="634">
        <f>'Exhibit K'!L25</f>
        <v>47.29999999999999</v>
      </c>
      <c r="G26" s="634"/>
      <c r="H26" s="634">
        <f>+'Exhibit K'!AA25</f>
        <v>216.2</v>
      </c>
      <c r="I26" s="1376"/>
      <c r="J26" s="1376">
        <f>ROUND(SUM(B26)+SUM(F26),1)</f>
        <v>139</v>
      </c>
      <c r="K26" s="634"/>
      <c r="L26" s="932">
        <f>ROUND(SUM(D26)+SUM(H26),1)</f>
        <v>459.8</v>
      </c>
      <c r="M26" s="1376"/>
      <c r="N26" s="1013">
        <v>39.599999999999994</v>
      </c>
      <c r="O26" s="1013"/>
      <c r="P26" s="1013">
        <f>'Exhibit J'!AE29+'Exhibit K'!AD25</f>
        <v>236.89999999999998</v>
      </c>
      <c r="Q26" s="932"/>
      <c r="R26" s="1378"/>
      <c r="S26" s="634">
        <f>ROUND(SUM(L26-P26),1)</f>
        <v>222.9</v>
      </c>
      <c r="T26" s="658"/>
      <c r="U26" s="3607">
        <f>ROUND(+S26/P26,3)</f>
        <v>0.94099999999999995</v>
      </c>
      <c r="V26" s="46"/>
      <c r="W26" s="37"/>
      <c r="X26" s="50"/>
    </row>
    <row r="27" spans="1:247" ht="16.399999999999999" customHeight="1">
      <c r="A27" s="28" t="s">
        <v>68</v>
      </c>
      <c r="B27" s="634">
        <f>'Exhibit J'!M30</f>
        <v>51.000000000000043</v>
      </c>
      <c r="C27" s="634"/>
      <c r="D27" s="932">
        <f>+'Exhibit J'!AB30</f>
        <v>355.3</v>
      </c>
      <c r="E27" s="932"/>
      <c r="F27" s="634">
        <f>'Exhibit K'!L26</f>
        <v>4.3999999999999977</v>
      </c>
      <c r="G27" s="634"/>
      <c r="H27" s="1382">
        <f>+'Exhibit K'!AA26</f>
        <v>29</v>
      </c>
      <c r="I27" s="932"/>
      <c r="J27" s="1376">
        <f>ROUND(SUM(B27)+SUM(F27),1)</f>
        <v>55.4</v>
      </c>
      <c r="K27" s="634"/>
      <c r="L27" s="932">
        <f>ROUND(SUM(D27)+SUM(H27),1)</f>
        <v>384.3</v>
      </c>
      <c r="M27" s="1376"/>
      <c r="N27" s="1013">
        <v>4.9999999999999893</v>
      </c>
      <c r="O27" s="3460"/>
      <c r="P27" s="1013">
        <f>'Exhibit J'!AE30+'Exhibit K'!AD26</f>
        <v>34.700000000000003</v>
      </c>
      <c r="Q27" s="932"/>
      <c r="R27" s="1378"/>
      <c r="S27" s="634">
        <f>ROUND(SUM(L27-P27),1)</f>
        <v>349.6</v>
      </c>
      <c r="T27" s="658"/>
      <c r="U27" s="3607">
        <f>ROUND(+S27/P27,3)</f>
        <v>10.074999999999999</v>
      </c>
      <c r="V27" s="46"/>
      <c r="W27" s="37"/>
      <c r="X27" s="50"/>
    </row>
    <row r="28" spans="1:247" ht="15.75" customHeight="1">
      <c r="A28" s="809" t="s">
        <v>69</v>
      </c>
      <c r="B28" s="634">
        <f>'Exhibit J'!M31</f>
        <v>1421.4000000000015</v>
      </c>
      <c r="C28" s="634"/>
      <c r="D28" s="932">
        <f>+'Exhibit J'!AB31</f>
        <v>25625.599999999999</v>
      </c>
      <c r="E28" s="634"/>
      <c r="F28" s="935">
        <v>0</v>
      </c>
      <c r="G28" s="634"/>
      <c r="H28" s="1384">
        <v>0</v>
      </c>
      <c r="I28" s="932"/>
      <c r="J28" s="1376">
        <f>ROUND(SUM(B28)+SUM(F28),1)</f>
        <v>1421.4</v>
      </c>
      <c r="K28" s="1178"/>
      <c r="L28" s="932">
        <f>ROUND(SUM(D28)+SUM(H28),1)</f>
        <v>25625.599999999999</v>
      </c>
      <c r="M28" s="1385"/>
      <c r="N28" s="1013">
        <v>3888.9</v>
      </c>
      <c r="O28" s="1020"/>
      <c r="P28" s="1699">
        <f>'Exhibit J'!AE31</f>
        <v>45791.199999999997</v>
      </c>
      <c r="Q28" s="963"/>
      <c r="R28" s="1386"/>
      <c r="S28" s="634">
        <f>ROUND(SUM(L28-P28),1)</f>
        <v>-20165.599999999999</v>
      </c>
      <c r="T28" s="658"/>
      <c r="U28" s="3607">
        <f>ROUND(+S28/P28,3)</f>
        <v>-0.44</v>
      </c>
      <c r="V28" s="56"/>
      <c r="W28" s="37"/>
      <c r="X28" s="50"/>
    </row>
    <row r="29" spans="1:247">
      <c r="A29" s="26" t="s">
        <v>56</v>
      </c>
      <c r="B29" s="3386">
        <f>ROUND(SUM(B25:B28),1)</f>
        <v>1695.1</v>
      </c>
      <c r="C29" s="911"/>
      <c r="D29" s="58">
        <f>ROUND(SUM(D25:D28),1)</f>
        <v>27022.9</v>
      </c>
      <c r="E29" s="911"/>
      <c r="F29" s="58">
        <f>ROUND(SUM(F24:F28),1)</f>
        <v>66</v>
      </c>
      <c r="G29" s="911"/>
      <c r="H29" s="58">
        <f>ROUND(SUM(H25:H28),1)</f>
        <v>306.5</v>
      </c>
      <c r="I29" s="60"/>
      <c r="J29" s="68">
        <f>ROUND(SUM(J25:J28),1)</f>
        <v>1761.1</v>
      </c>
      <c r="K29" s="911"/>
      <c r="L29" s="69">
        <f>ROUND(SUM(L25:L28),1)</f>
        <v>27329.4</v>
      </c>
      <c r="M29" s="61"/>
      <c r="N29" s="3386">
        <f>ROUND(SUM(N25:N28),1)</f>
        <v>3949.8</v>
      </c>
      <c r="O29" s="109"/>
      <c r="P29" s="3386">
        <f>ROUND(SUM(P25:P28),1)</f>
        <v>46143.7</v>
      </c>
      <c r="Q29" s="73"/>
      <c r="R29" s="332"/>
      <c r="S29" s="58">
        <f>ROUND(SUM(S25:S28),1)</f>
        <v>-18814.3</v>
      </c>
      <c r="T29" s="658"/>
      <c r="U29" s="3608">
        <f>ROUND(+S29/P29,3)</f>
        <v>-0.40799999999999997</v>
      </c>
      <c r="V29" s="56"/>
      <c r="W29" s="37"/>
      <c r="X29" s="50"/>
    </row>
    <row r="30" spans="1:247">
      <c r="A30" s="26"/>
      <c r="B30" s="634"/>
      <c r="C30" s="634"/>
      <c r="D30" s="634"/>
      <c r="E30" s="634"/>
      <c r="F30" s="634"/>
      <c r="G30" s="634"/>
      <c r="H30" s="634"/>
      <c r="I30" s="1376"/>
      <c r="J30" s="1376"/>
      <c r="K30" s="634"/>
      <c r="L30" s="634"/>
      <c r="M30" s="1376"/>
      <c r="N30" s="1013"/>
      <c r="O30" s="884"/>
      <c r="P30" s="1013"/>
      <c r="Q30" s="932"/>
      <c r="R30" s="1378"/>
      <c r="S30" s="909"/>
      <c r="T30" s="1381"/>
      <c r="U30" s="1419"/>
      <c r="V30" s="46"/>
      <c r="W30" s="37"/>
      <c r="X30" s="50"/>
    </row>
    <row r="31" spans="1:247" ht="16.399999999999999" customHeight="1">
      <c r="A31" s="26" t="s">
        <v>43</v>
      </c>
      <c r="B31" s="634"/>
      <c r="C31" s="634"/>
      <c r="D31" s="634"/>
      <c r="E31" s="634"/>
      <c r="F31" s="634"/>
      <c r="G31" s="634"/>
      <c r="H31" s="634"/>
      <c r="I31" s="1376"/>
      <c r="J31" s="1376"/>
      <c r="K31" s="634"/>
      <c r="L31" s="634"/>
      <c r="M31" s="1376"/>
      <c r="N31" s="1013"/>
      <c r="O31" s="884"/>
      <c r="P31" s="1013"/>
      <c r="Q31" s="932"/>
      <c r="R31" s="1378"/>
      <c r="S31" s="909"/>
      <c r="T31" s="1381"/>
      <c r="U31" s="1419"/>
      <c r="V31" s="46"/>
      <c r="W31" s="37"/>
      <c r="X31" s="50"/>
    </row>
    <row r="32" spans="1:247">
      <c r="A32" s="26" t="s">
        <v>70</v>
      </c>
      <c r="B32" s="70">
        <f>ROUND(SUM(B21-B29),1)</f>
        <v>38.4</v>
      </c>
      <c r="C32" s="911"/>
      <c r="D32" s="71">
        <f>ROUND(SUM(D21-D29),1)</f>
        <v>-65.900000000000006</v>
      </c>
      <c r="E32" s="911"/>
      <c r="F32" s="71">
        <f>ROUND(SUM(F21-F29),1)</f>
        <v>-15.9</v>
      </c>
      <c r="G32" s="911"/>
      <c r="H32" s="71">
        <f>ROUND(SUM(H21-H29),1)</f>
        <v>-61.5</v>
      </c>
      <c r="I32" s="61"/>
      <c r="J32" s="72">
        <f>ROUND(SUM(J21-J29),1)</f>
        <v>22.5</v>
      </c>
      <c r="K32" s="911"/>
      <c r="L32" s="71">
        <f>ROUND(SUM(L21-L29),1)</f>
        <v>-127.4</v>
      </c>
      <c r="M32" s="61"/>
      <c r="N32" s="110">
        <f>ROUND(SUM(N21-N29),1)</f>
        <v>-20.6</v>
      </c>
      <c r="O32" s="112"/>
      <c r="P32" s="110">
        <f>ROUND(SUM(P21-P29),1)</f>
        <v>-138.19999999999999</v>
      </c>
      <c r="Q32" s="73"/>
      <c r="R32" s="332"/>
      <c r="S32" s="71">
        <f>ROUND(SUM(S21-S29),1)</f>
        <v>10.8</v>
      </c>
      <c r="T32" s="1381"/>
      <c r="U32" s="1602">
        <f>-ROUND(+S32/P32,3)</f>
        <v>7.8E-2</v>
      </c>
      <c r="V32" s="46"/>
      <c r="W32" s="37"/>
      <c r="X32" s="50"/>
    </row>
    <row r="33" spans="1:247">
      <c r="A33" s="28"/>
      <c r="B33" s="634"/>
      <c r="C33" s="634"/>
      <c r="D33" s="634"/>
      <c r="E33" s="634"/>
      <c r="F33" s="634"/>
      <c r="G33" s="634"/>
      <c r="H33" s="634"/>
      <c r="I33" s="1376"/>
      <c r="J33" s="1376"/>
      <c r="K33" s="634"/>
      <c r="L33" s="634"/>
      <c r="M33" s="1376"/>
      <c r="N33" s="1013"/>
      <c r="O33" s="884"/>
      <c r="P33" s="1013"/>
      <c r="Q33" s="932"/>
      <c r="R33" s="1378"/>
      <c r="S33" s="909"/>
      <c r="T33" s="1381"/>
      <c r="U33" s="1419"/>
      <c r="V33" s="46"/>
      <c r="W33" s="37"/>
      <c r="X33" s="50"/>
    </row>
    <row r="34" spans="1:247" ht="16.399999999999999" customHeight="1">
      <c r="A34" s="26" t="s">
        <v>45</v>
      </c>
      <c r="B34" s="634"/>
      <c r="C34" s="634"/>
      <c r="D34" s="634"/>
      <c r="E34" s="634"/>
      <c r="F34" s="634"/>
      <c r="G34" s="634"/>
      <c r="H34" s="634"/>
      <c r="I34" s="1376"/>
      <c r="J34" s="1376"/>
      <c r="K34" s="634"/>
      <c r="L34" s="634"/>
      <c r="M34" s="1376"/>
      <c r="N34" s="1013"/>
      <c r="O34" s="884"/>
      <c r="P34" s="1013"/>
      <c r="Q34" s="932"/>
      <c r="R34" s="1378"/>
      <c r="S34" s="909"/>
      <c r="T34" s="1381"/>
      <c r="U34" s="1419"/>
      <c r="V34" s="46"/>
      <c r="W34" s="37"/>
      <c r="X34" s="50"/>
    </row>
    <row r="35" spans="1:247" ht="16.399999999999999" customHeight="1">
      <c r="A35" s="28" t="s">
        <v>46</v>
      </c>
      <c r="B35" s="935">
        <f>+'Exhibit J'!M41</f>
        <v>0</v>
      </c>
      <c r="C35" s="634"/>
      <c r="D35" s="935">
        <f>+'Exhibit J'!AB41</f>
        <v>7</v>
      </c>
      <c r="E35" s="634"/>
      <c r="F35" s="634">
        <f>'Exhibit K'!L36</f>
        <v>4.7000000000000028</v>
      </c>
      <c r="G35" s="671"/>
      <c r="H35" s="1387">
        <f>+'Exhibit K'!AA36</f>
        <v>82</v>
      </c>
      <c r="I35" s="1376"/>
      <c r="J35" s="1376">
        <f>ROUND(SUM(B35)+SUM(F35),1)</f>
        <v>4.7</v>
      </c>
      <c r="K35" s="671"/>
      <c r="L35" s="1382">
        <f>ROUND(SUM(D35)+SUM(H35),1)</f>
        <v>89</v>
      </c>
      <c r="M35" s="932"/>
      <c r="N35" s="1013">
        <v>3.1</v>
      </c>
      <c r="O35" s="1013"/>
      <c r="P35" s="1700">
        <f>'Exhibit J'!AE41+'Exhibit K'!AD36</f>
        <v>75.7</v>
      </c>
      <c r="Q35" s="1383"/>
      <c r="R35" s="1388"/>
      <c r="S35" s="634">
        <f>ROUND(SUM(L35-P35),1)</f>
        <v>13.3</v>
      </c>
      <c r="T35" s="658"/>
      <c r="U35" s="1371">
        <f>ROUND(IF(S35=0,0,S35/(P35)),3)</f>
        <v>0.17599999999999999</v>
      </c>
      <c r="V35" s="77"/>
      <c r="W35" s="37"/>
      <c r="X35" s="50"/>
    </row>
    <row r="36" spans="1:247" s="1698" customFormat="1" ht="16.399999999999999" customHeight="1">
      <c r="A36" s="104" t="s">
        <v>71</v>
      </c>
      <c r="B36" s="3012">
        <f>+'Exhibit J'!M42</f>
        <v>0</v>
      </c>
      <c r="C36" s="1033"/>
      <c r="D36" s="1027">
        <f>+'Exhibit J'!AB42</f>
        <v>0</v>
      </c>
      <c r="E36" s="884"/>
      <c r="F36" s="884">
        <f>'Exhibit K'!L37</f>
        <v>0</v>
      </c>
      <c r="G36" s="884"/>
      <c r="H36" s="1017">
        <f>+'Exhibit K'!AA37</f>
        <v>-4.5</v>
      </c>
      <c r="I36" s="3013"/>
      <c r="J36" s="1402">
        <f>ROUND(SUM(B36)+SUM(F36),1)</f>
        <v>0</v>
      </c>
      <c r="K36" s="884"/>
      <c r="L36" s="1013">
        <f>ROUND(SUM(D36)+SUM(H36),1)</f>
        <v>-4.5</v>
      </c>
      <c r="M36" s="1402"/>
      <c r="N36" s="1013">
        <v>-0.1</v>
      </c>
      <c r="O36" s="3460"/>
      <c r="P36" s="1700">
        <f>'Exhibit J'!AE42+'Exhibit K'!AD37</f>
        <v>-0.3</v>
      </c>
      <c r="Q36" s="1700"/>
      <c r="R36" s="3014"/>
      <c r="S36" s="3015">
        <f>-ROUND(SUM(L36-P36),1)</f>
        <v>4.2</v>
      </c>
      <c r="T36" s="640"/>
      <c r="U36" s="3607">
        <f>ROUND(IF(P36=0,1,S36/ABS(P36)),3)</f>
        <v>14</v>
      </c>
      <c r="V36" s="3016"/>
      <c r="W36" s="3017"/>
      <c r="X36" s="50"/>
    </row>
    <row r="37" spans="1:247">
      <c r="A37" s="26" t="s">
        <v>48</v>
      </c>
      <c r="B37" s="78">
        <f>ROUND(SUM(B35:B36),1)</f>
        <v>0</v>
      </c>
      <c r="C37" s="79"/>
      <c r="D37" s="78">
        <f>ROUND(SUM(D35:D36),1)</f>
        <v>7</v>
      </c>
      <c r="E37" s="911"/>
      <c r="F37" s="80">
        <f>ROUND(SUM(F35:F36),1)</f>
        <v>4.7</v>
      </c>
      <c r="G37" s="81"/>
      <c r="H37" s="82">
        <f>ROUND(SUM(H35:H36),1)</f>
        <v>77.5</v>
      </c>
      <c r="I37" s="73"/>
      <c r="J37" s="83">
        <f>ROUND(SUM(J35:J36),1)</f>
        <v>4.7</v>
      </c>
      <c r="K37" s="81"/>
      <c r="L37" s="82">
        <f>ROUND(SUM(L35:L36),1)</f>
        <v>84.5</v>
      </c>
      <c r="M37" s="61"/>
      <c r="N37" s="3463">
        <f>ROUND(SUM(N35:N36),1)</f>
        <v>3</v>
      </c>
      <c r="O37" s="109"/>
      <c r="P37" s="3463">
        <f>ROUND(SUM(P35:P36),1)</f>
        <v>75.400000000000006</v>
      </c>
      <c r="Q37" s="971"/>
      <c r="R37" s="977"/>
      <c r="S37" s="80">
        <f>L37-P37</f>
        <v>9.0999999999999943</v>
      </c>
      <c r="T37" s="1389"/>
      <c r="U37" s="282">
        <f>ROUND(SUM(S37/P37),3)</f>
        <v>0.121</v>
      </c>
      <c r="V37" s="84"/>
      <c r="W37" s="37"/>
      <c r="X37" s="50"/>
    </row>
    <row r="38" spans="1:247">
      <c r="A38" s="26"/>
      <c r="B38" s="677"/>
      <c r="C38" s="634"/>
      <c r="D38" s="677"/>
      <c r="E38" s="634"/>
      <c r="F38" s="932"/>
      <c r="G38" s="634"/>
      <c r="H38" s="932"/>
      <c r="I38" s="1376"/>
      <c r="J38" s="1376"/>
      <c r="K38" s="634"/>
      <c r="L38" s="677"/>
      <c r="M38" s="1376"/>
      <c r="N38" s="1013"/>
      <c r="O38" s="884"/>
      <c r="P38" s="1013"/>
      <c r="Q38" s="932"/>
      <c r="R38" s="1378"/>
      <c r="S38" s="909"/>
      <c r="T38" s="1381"/>
      <c r="U38" s="813"/>
      <c r="V38" s="46"/>
      <c r="W38" s="37"/>
      <c r="X38" s="50"/>
    </row>
    <row r="39" spans="1:247" ht="15.75" customHeight="1">
      <c r="A39" s="26" t="s">
        <v>43</v>
      </c>
      <c r="B39" s="634"/>
      <c r="C39" s="634"/>
      <c r="D39" s="634"/>
      <c r="E39" s="634"/>
      <c r="F39" s="884"/>
      <c r="G39" s="634"/>
      <c r="H39" s="634"/>
      <c r="I39" s="1376"/>
      <c r="J39" s="1376"/>
      <c r="K39" s="634"/>
      <c r="L39" s="634"/>
      <c r="M39" s="1376"/>
      <c r="N39" s="1013"/>
      <c r="O39" s="884"/>
      <c r="P39" s="1013"/>
      <c r="Q39" s="932"/>
      <c r="R39" s="1378"/>
      <c r="S39" s="909"/>
      <c r="T39" s="1381"/>
      <c r="U39" s="813"/>
      <c r="V39" s="46"/>
      <c r="W39" s="37"/>
      <c r="X39" s="50"/>
    </row>
    <row r="40" spans="1:247" ht="15.75" customHeight="1">
      <c r="A40" s="26" t="s">
        <v>72</v>
      </c>
      <c r="B40" s="634"/>
      <c r="C40" s="634"/>
      <c r="D40" s="634"/>
      <c r="E40" s="634"/>
      <c r="F40" s="884"/>
      <c r="G40" s="634"/>
      <c r="H40" s="634"/>
      <c r="I40" s="1376"/>
      <c r="J40" s="1376"/>
      <c r="K40" s="634"/>
      <c r="L40" s="634"/>
      <c r="M40" s="1376"/>
      <c r="N40" s="1013"/>
      <c r="O40" s="884"/>
      <c r="P40" s="1013"/>
      <c r="Q40" s="932"/>
      <c r="R40" s="1378"/>
      <c r="S40" s="909"/>
      <c r="T40" s="1381"/>
      <c r="U40" s="813"/>
      <c r="V40" s="46"/>
      <c r="W40" s="37"/>
      <c r="X40" s="50"/>
    </row>
    <row r="41" spans="1:247" ht="15.75" customHeight="1">
      <c r="A41" s="26" t="s">
        <v>73</v>
      </c>
      <c r="B41" s="634"/>
      <c r="C41" s="634"/>
      <c r="D41" s="634"/>
      <c r="E41" s="634"/>
      <c r="F41" s="884"/>
      <c r="G41" s="634"/>
      <c r="H41" s="634"/>
      <c r="I41" s="1376"/>
      <c r="J41" s="1376"/>
      <c r="K41" s="634"/>
      <c r="L41" s="634"/>
      <c r="M41" s="1376"/>
      <c r="N41" s="1013"/>
      <c r="O41" s="884"/>
      <c r="P41" s="1013"/>
      <c r="Q41" s="932"/>
      <c r="R41" s="1378"/>
      <c r="S41" s="909"/>
      <c r="T41" s="1381"/>
      <c r="U41" s="813"/>
      <c r="V41" s="46"/>
      <c r="W41" s="37"/>
      <c r="X41" s="50"/>
    </row>
    <row r="42" spans="1:247" ht="15.75" customHeight="1">
      <c r="A42" s="26" t="s">
        <v>74</v>
      </c>
      <c r="B42" s="86">
        <f>ROUND(SUM(B32,B37),1)</f>
        <v>38.4</v>
      </c>
      <c r="C42" s="911"/>
      <c r="D42" s="86">
        <f>ROUND(SUM(D32,D37),1)</f>
        <v>-58.9</v>
      </c>
      <c r="E42" s="911"/>
      <c r="F42" s="1601">
        <f>ROUND(SUM(F32,F37),1)</f>
        <v>-11.2</v>
      </c>
      <c r="G42" s="911"/>
      <c r="H42" s="86">
        <f>ROUND(SUM(H32,H37),1)</f>
        <v>16</v>
      </c>
      <c r="I42" s="87"/>
      <c r="J42" s="86">
        <f>ROUND(SUM(J32,J37),1)</f>
        <v>27.2</v>
      </c>
      <c r="K42" s="911"/>
      <c r="L42" s="86">
        <f>ROUND(SUM(L32,L37),1)</f>
        <v>-42.9</v>
      </c>
      <c r="M42" s="61"/>
      <c r="N42" s="1601">
        <f>ROUND(SUM(N32,N37),1)</f>
        <v>-17.600000000000001</v>
      </c>
      <c r="O42" s="109"/>
      <c r="P42" s="1601">
        <f>ROUND(SUM(P32,P37),1)</f>
        <v>-62.8</v>
      </c>
      <c r="Q42" s="86"/>
      <c r="R42" s="978"/>
      <c r="S42" s="86">
        <f>ROUND(SUM(S32,S37),1)</f>
        <v>19.899999999999999</v>
      </c>
      <c r="T42" s="88"/>
      <c r="U42" s="1487">
        <f>-ROUND(S42/P42,3)</f>
        <v>0.317</v>
      </c>
      <c r="V42" s="46"/>
      <c r="W42" s="37"/>
      <c r="X42" s="50"/>
    </row>
    <row r="43" spans="1:247">
      <c r="A43" s="26"/>
      <c r="B43" s="634"/>
      <c r="C43" s="634"/>
      <c r="D43" s="634"/>
      <c r="E43" s="634"/>
      <c r="F43" s="884"/>
      <c r="G43" s="634"/>
      <c r="H43" s="634"/>
      <c r="I43" s="1376"/>
      <c r="J43" s="1376"/>
      <c r="K43" s="634"/>
      <c r="L43" s="634"/>
      <c r="M43" s="1376"/>
      <c r="N43" s="1013"/>
      <c r="O43" s="884"/>
      <c r="P43" s="1013"/>
      <c r="Q43" s="932"/>
      <c r="R43" s="1378"/>
      <c r="S43" s="909"/>
      <c r="T43" s="1381"/>
      <c r="U43" s="909"/>
      <c r="V43" s="46"/>
      <c r="W43" s="37"/>
      <c r="X43" s="50"/>
    </row>
    <row r="44" spans="1:247" s="62" customFormat="1">
      <c r="A44" s="26" t="s">
        <v>75</v>
      </c>
      <c r="B44" s="911">
        <f>+'Exhibit J'!M16</f>
        <v>230.7</v>
      </c>
      <c r="C44" s="911"/>
      <c r="D44" s="911">
        <f>+'Exhibit J'!AB16</f>
        <v>328</v>
      </c>
      <c r="E44" s="911"/>
      <c r="F44" s="3466">
        <f>+'Exhibit K'!L14</f>
        <v>-336.3</v>
      </c>
      <c r="G44" s="911"/>
      <c r="H44" s="911">
        <f>+'Exhibit K'!AA14</f>
        <v>-363.5</v>
      </c>
      <c r="I44" s="61"/>
      <c r="J44" s="61">
        <f>ROUND(SUM(B44)+SUM(F44),1)</f>
        <v>-105.6</v>
      </c>
      <c r="K44" s="911"/>
      <c r="L44" s="911">
        <f>ROUND(SUM(D44)+SUM(H44),1)</f>
        <v>-35.5</v>
      </c>
      <c r="M44" s="61"/>
      <c r="N44" s="117">
        <v>-313</v>
      </c>
      <c r="O44" s="109"/>
      <c r="P44" s="110">
        <f>'Exhibit J'!AE16+'Exhibit K'!AD14</f>
        <v>-267.79999999999995</v>
      </c>
      <c r="Q44" s="73"/>
      <c r="R44" s="332"/>
      <c r="S44" s="911">
        <f>ROUND(SUM(L44-P44),1)</f>
        <v>232.3</v>
      </c>
      <c r="T44" s="88"/>
      <c r="U44" s="1487">
        <f>-ROUND(SUM(S44/P44),3)</f>
        <v>0.86699999999999999</v>
      </c>
      <c r="V44" s="88"/>
      <c r="W44" s="89"/>
      <c r="X44" s="50"/>
    </row>
    <row r="45" spans="1:247" ht="16" thickBot="1">
      <c r="A45" s="26" t="s">
        <v>76</v>
      </c>
      <c r="B45" s="90">
        <f>ROUND(SUM(B42+B44),1)</f>
        <v>269.10000000000002</v>
      </c>
      <c r="C45" s="91"/>
      <c r="D45" s="90">
        <f>ROUND(SUM(D42+D44),1)</f>
        <v>269.10000000000002</v>
      </c>
      <c r="E45" s="91"/>
      <c r="F45" s="133">
        <f>ROUND(SUM(F42+F44),1)</f>
        <v>-347.5</v>
      </c>
      <c r="G45" s="91"/>
      <c r="H45" s="90">
        <f>ROUND(SUM(H42+H44),1)</f>
        <v>-347.5</v>
      </c>
      <c r="I45" s="92"/>
      <c r="J45" s="93">
        <f>ROUND(SUM(J42+J44),1)</f>
        <v>-78.400000000000006</v>
      </c>
      <c r="K45" s="91"/>
      <c r="L45" s="94">
        <f>ROUND(SUM(L42+L44),1)</f>
        <v>-78.400000000000006</v>
      </c>
      <c r="M45" s="92"/>
      <c r="N45" s="1472">
        <f>ROUND(SUM(N42+N44),1)</f>
        <v>-330.6</v>
      </c>
      <c r="O45" s="132"/>
      <c r="P45" s="1472">
        <f>ROUND(SUM(P42+P44),1)</f>
        <v>-330.6</v>
      </c>
      <c r="Q45" s="216"/>
      <c r="R45" s="324"/>
      <c r="S45" s="95">
        <f>ROUND(SUM(S42+S44),1)</f>
        <v>252.2</v>
      </c>
      <c r="T45" s="1185"/>
      <c r="U45" s="1462">
        <f>ROUND(SUM(S45/ABS(P45)),3)</f>
        <v>0.76300000000000001</v>
      </c>
      <c r="V45" s="49"/>
      <c r="W45" s="37"/>
      <c r="X45" s="50"/>
    </row>
    <row r="46" spans="1:247" ht="4.4000000000000004" customHeight="1" thickTop="1">
      <c r="A46" s="28"/>
      <c r="B46" s="1390"/>
      <c r="C46" s="915"/>
      <c r="D46" s="1390"/>
      <c r="E46" s="915"/>
      <c r="F46" s="1035"/>
      <c r="G46" s="915"/>
      <c r="H46" s="1390"/>
      <c r="I46" s="915"/>
      <c r="J46" s="1390"/>
      <c r="K46" s="915"/>
      <c r="L46" s="1390"/>
      <c r="M46" s="915"/>
      <c r="N46" s="1008"/>
      <c r="O46" s="1006"/>
      <c r="P46" s="1008"/>
      <c r="Q46" s="1185"/>
      <c r="R46" s="1185"/>
      <c r="S46" s="915"/>
      <c r="T46" s="1391"/>
      <c r="U46" s="1392"/>
      <c r="V46" s="97"/>
      <c r="W46" s="50"/>
      <c r="X46" s="50"/>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8"/>
      <c r="FJ46" s="48"/>
      <c r="FK46" s="48"/>
      <c r="FL46" s="48"/>
      <c r="FM46" s="48"/>
      <c r="FN46" s="48"/>
      <c r="FO46" s="48"/>
      <c r="FP46" s="48"/>
      <c r="FQ46" s="48"/>
      <c r="FR46" s="48"/>
      <c r="FS46" s="48"/>
      <c r="FT46" s="48"/>
      <c r="FU46" s="48"/>
      <c r="FV46" s="48"/>
      <c r="FW46" s="48"/>
      <c r="FX46" s="48"/>
      <c r="FY46" s="48"/>
      <c r="FZ46" s="48"/>
      <c r="GA46" s="48"/>
      <c r="GB46" s="48"/>
      <c r="GC46" s="48"/>
      <c r="GD46" s="48"/>
      <c r="GE46" s="48"/>
      <c r="GF46" s="48"/>
      <c r="GG46" s="48"/>
      <c r="GH46" s="48"/>
      <c r="GI46" s="48"/>
      <c r="GJ46" s="48"/>
      <c r="GK46" s="48"/>
      <c r="GL46" s="48"/>
      <c r="GM46" s="48"/>
      <c r="GN46" s="48"/>
      <c r="GO46" s="48"/>
      <c r="GP46" s="48"/>
      <c r="GQ46" s="48"/>
      <c r="GR46" s="48"/>
      <c r="GS46" s="48"/>
      <c r="GT46" s="48"/>
      <c r="GU46" s="48"/>
      <c r="GV46" s="48"/>
      <c r="GW46" s="48"/>
      <c r="GX46" s="48"/>
      <c r="GY46" s="48"/>
      <c r="GZ46" s="48"/>
      <c r="HA46" s="48"/>
      <c r="HB46" s="48"/>
      <c r="HC46" s="48"/>
      <c r="HD46" s="48"/>
      <c r="HE46" s="48"/>
      <c r="HF46" s="48"/>
      <c r="HG46" s="48"/>
      <c r="HH46" s="48"/>
      <c r="HI46" s="48"/>
      <c r="HJ46" s="48"/>
      <c r="HK46" s="48"/>
      <c r="HL46" s="48"/>
      <c r="HM46" s="48"/>
      <c r="HN46" s="48"/>
      <c r="HO46" s="48"/>
      <c r="HP46" s="48"/>
      <c r="HQ46" s="48"/>
      <c r="HR46" s="48"/>
      <c r="HS46" s="48"/>
      <c r="HT46" s="48"/>
      <c r="HU46" s="48"/>
      <c r="HV46" s="48"/>
      <c r="HW46" s="48"/>
      <c r="HX46" s="48"/>
      <c r="HY46" s="48"/>
      <c r="HZ46" s="48"/>
      <c r="IA46" s="48"/>
      <c r="IB46" s="48"/>
      <c r="IC46" s="48"/>
      <c r="ID46" s="48"/>
      <c r="IE46" s="48"/>
      <c r="IF46" s="48"/>
      <c r="IG46" s="48"/>
      <c r="IH46" s="48"/>
      <c r="II46" s="48"/>
      <c r="IJ46" s="48"/>
      <c r="IK46" s="48"/>
      <c r="IL46" s="48"/>
      <c r="IM46" s="48"/>
    </row>
    <row r="47" spans="1:247">
      <c r="A47" s="679"/>
      <c r="B47" s="35" t="s">
        <v>14</v>
      </c>
      <c r="C47" s="35"/>
      <c r="D47" s="35"/>
      <c r="E47" s="35"/>
      <c r="F47" s="1079"/>
      <c r="G47" s="35"/>
      <c r="H47" s="35"/>
      <c r="I47" s="35"/>
      <c r="J47" s="35"/>
      <c r="K47" s="35"/>
      <c r="L47" s="35"/>
      <c r="M47" s="35"/>
      <c r="N47" s="3465"/>
      <c r="O47" s="3464"/>
      <c r="P47" s="3464"/>
      <c r="Q47" s="35"/>
      <c r="R47" s="100"/>
      <c r="S47" s="35"/>
      <c r="T47" s="41"/>
      <c r="U47" s="37"/>
      <c r="V47" s="41"/>
      <c r="W47" s="37"/>
      <c r="X47" s="37"/>
    </row>
    <row r="48" spans="1:247" s="99" customFormat="1" ht="16.5" customHeight="1">
      <c r="A48" s="1040"/>
      <c r="B48" s="99" t="s">
        <v>14</v>
      </c>
      <c r="N48" s="1697"/>
      <c r="O48" s="1697"/>
      <c r="P48" s="1697"/>
      <c r="R48" s="972"/>
    </row>
    <row r="49" spans="1:21">
      <c r="A49" s="679"/>
      <c r="B49" s="52" t="s">
        <v>14</v>
      </c>
      <c r="C49" s="35"/>
      <c r="D49" s="35"/>
      <c r="E49" s="35"/>
      <c r="F49" s="35"/>
      <c r="G49" s="35"/>
      <c r="H49" s="35"/>
      <c r="I49" s="35"/>
      <c r="J49" s="35"/>
      <c r="K49" s="35"/>
      <c r="L49" s="35"/>
      <c r="M49" s="35"/>
      <c r="N49" s="3465"/>
      <c r="O49" s="3464"/>
      <c r="P49" s="3465"/>
      <c r="Q49" s="35"/>
      <c r="R49" s="100"/>
      <c r="S49" s="35"/>
      <c r="T49" s="100"/>
      <c r="U49" s="35"/>
    </row>
    <row r="50" spans="1:21">
      <c r="A50" s="679"/>
      <c r="B50" s="35"/>
      <c r="C50" s="35"/>
      <c r="D50" s="35"/>
      <c r="E50" s="35"/>
      <c r="F50" s="35"/>
      <c r="G50" s="35"/>
      <c r="H50" s="35"/>
      <c r="I50" s="35"/>
      <c r="J50" s="35"/>
      <c r="K50" s="35"/>
      <c r="L50" s="35"/>
      <c r="M50" s="35"/>
      <c r="N50" s="275" t="s">
        <v>14</v>
      </c>
      <c r="O50" s="3464"/>
      <c r="P50" s="275"/>
      <c r="Q50" s="35"/>
      <c r="R50" s="100"/>
      <c r="S50" s="35"/>
      <c r="T50" s="100"/>
      <c r="U50" s="35"/>
    </row>
    <row r="51" spans="1:21">
      <c r="A51" s="679"/>
      <c r="B51" s="35"/>
      <c r="C51" s="35"/>
      <c r="D51" s="35"/>
      <c r="E51" s="35"/>
      <c r="F51" s="35"/>
      <c r="G51" s="35"/>
      <c r="H51" s="35"/>
      <c r="I51" s="35"/>
      <c r="J51" s="35"/>
      <c r="K51" s="35"/>
      <c r="L51" s="35"/>
      <c r="M51" s="35"/>
      <c r="N51" s="3464" t="s">
        <v>14</v>
      </c>
      <c r="O51" s="3464"/>
      <c r="P51" s="3464"/>
      <c r="Q51" s="35"/>
      <c r="R51" s="100"/>
      <c r="S51" s="35"/>
      <c r="T51" s="100"/>
      <c r="U51" s="35"/>
    </row>
    <row r="52" spans="1:21">
      <c r="A52" s="679"/>
      <c r="B52" s="35"/>
      <c r="C52" s="35"/>
      <c r="D52" s="35"/>
      <c r="E52" s="35"/>
      <c r="F52" s="35"/>
      <c r="G52" s="35"/>
      <c r="H52" s="35"/>
      <c r="I52" s="35"/>
      <c r="J52" s="35"/>
      <c r="K52" s="35"/>
      <c r="L52" s="35"/>
      <c r="M52" s="35"/>
      <c r="N52" s="3464"/>
      <c r="O52" s="3464"/>
      <c r="P52" s="3464"/>
      <c r="Q52" s="35"/>
      <c r="R52" s="100"/>
      <c r="S52" s="35"/>
      <c r="T52" s="100"/>
      <c r="U52" s="35"/>
    </row>
    <row r="53" spans="1:21">
      <c r="A53" s="909"/>
    </row>
    <row r="54" spans="1:21">
      <c r="A54" s="909"/>
    </row>
    <row r="55" spans="1:21">
      <c r="A55" s="909"/>
    </row>
    <row r="56" spans="1:21">
      <c r="A56" s="909"/>
    </row>
    <row r="57" spans="1:21">
      <c r="A57" s="909"/>
    </row>
  </sheetData>
  <mergeCells count="2">
    <mergeCell ref="O3:P3"/>
    <mergeCell ref="U3:V3"/>
  </mergeCells>
  <pageMargins left="0.25" right="0.25" top="0.5" bottom="0.36" header="0" footer="0.25"/>
  <pageSetup scale="59"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A1:IR61"/>
  <sheetViews>
    <sheetView showGridLines="0" zoomScale="90" zoomScaleNormal="90" workbookViewId="0"/>
  </sheetViews>
  <sheetFormatPr defaultColWidth="8.84375" defaultRowHeight="15.5"/>
  <cols>
    <col min="1" max="1" width="38.07421875" style="877" customWidth="1"/>
    <col min="2" max="2" width="13.84375" style="877" customWidth="1"/>
    <col min="3" max="3" width="1.84375" style="877" customWidth="1"/>
    <col min="4" max="4" width="13.84375" style="877" customWidth="1"/>
    <col min="5" max="5" width="2.4609375" style="877" customWidth="1"/>
    <col min="6" max="6" width="13.84375" style="877" customWidth="1"/>
    <col min="7" max="7" width="1.84375" style="877" customWidth="1"/>
    <col min="8" max="8" width="13.84375" style="877" customWidth="1"/>
    <col min="9" max="9" width="1.84375" style="877" customWidth="1"/>
    <col min="10" max="10" width="13.84375" style="877" customWidth="1"/>
    <col min="11" max="11" width="1.84375" style="877" customWidth="1"/>
    <col min="12" max="12" width="13.84375" style="877" customWidth="1"/>
    <col min="13" max="13" width="0.53515625" style="877" customWidth="1"/>
    <col min="14" max="14" width="13.84375" style="877" customWidth="1"/>
    <col min="15" max="15" width="2.53515625" style="877" customWidth="1"/>
    <col min="16" max="16" width="13.84375" style="877" customWidth="1"/>
    <col min="17" max="17" width="1.53515625" style="877" customWidth="1"/>
    <col min="18" max="18" width="2.07421875" style="981" customWidth="1"/>
    <col min="19" max="19" width="10.53515625" style="877" bestFit="1" customWidth="1"/>
    <col min="20" max="20" width="2.4609375" style="981" customWidth="1"/>
    <col min="21" max="21" width="11.07421875" style="877" bestFit="1" customWidth="1"/>
    <col min="22" max="16384" width="8.84375" style="877"/>
  </cols>
  <sheetData>
    <row r="1" spans="1:252">
      <c r="A1" s="635" t="s">
        <v>882</v>
      </c>
    </row>
    <row r="2" spans="1:252">
      <c r="A2" s="814"/>
    </row>
    <row r="3" spans="1:252" s="982" customFormat="1" ht="18" customHeight="1">
      <c r="A3" s="102" t="s">
        <v>0</v>
      </c>
      <c r="B3" s="102"/>
      <c r="C3" s="102"/>
      <c r="D3" s="102"/>
      <c r="E3" s="102"/>
      <c r="F3" s="877"/>
      <c r="G3" s="877"/>
      <c r="H3" s="102"/>
      <c r="I3" s="102"/>
      <c r="J3" s="102"/>
      <c r="K3" s="102"/>
      <c r="L3" s="102"/>
      <c r="M3" s="102"/>
      <c r="N3" s="3457"/>
      <c r="P3" s="997"/>
      <c r="Q3" s="983"/>
      <c r="R3" s="984"/>
      <c r="S3" s="814"/>
      <c r="T3" s="984"/>
      <c r="U3" s="968" t="s">
        <v>77</v>
      </c>
      <c r="V3" s="814"/>
      <c r="W3" s="877"/>
      <c r="X3" s="877"/>
      <c r="Y3" s="877"/>
      <c r="Z3" s="877"/>
      <c r="AA3" s="877"/>
      <c r="AB3" s="877"/>
      <c r="AC3" s="877"/>
      <c r="AD3" s="877"/>
      <c r="AE3" s="877"/>
      <c r="AF3" s="877"/>
      <c r="AG3" s="877"/>
      <c r="AH3" s="877"/>
      <c r="AI3" s="877"/>
      <c r="AJ3" s="877"/>
      <c r="AK3" s="877"/>
      <c r="AL3" s="877"/>
      <c r="AM3" s="877"/>
      <c r="AN3" s="877"/>
      <c r="AO3" s="877"/>
      <c r="AP3" s="877"/>
      <c r="AQ3" s="877"/>
      <c r="AR3" s="877"/>
      <c r="AS3" s="877"/>
      <c r="AT3" s="877"/>
      <c r="AU3" s="877"/>
      <c r="AV3" s="877"/>
      <c r="AW3" s="877"/>
      <c r="AX3" s="877"/>
      <c r="AY3" s="877"/>
      <c r="AZ3" s="877"/>
      <c r="BA3" s="877"/>
      <c r="BB3" s="877"/>
      <c r="BC3" s="877"/>
      <c r="BD3" s="877"/>
      <c r="BE3" s="877"/>
      <c r="BF3" s="877"/>
      <c r="BG3" s="877"/>
      <c r="BH3" s="877"/>
      <c r="BI3" s="877"/>
      <c r="BJ3" s="877"/>
      <c r="BK3" s="877"/>
      <c r="BL3" s="877"/>
      <c r="BM3" s="877"/>
      <c r="BN3" s="877"/>
      <c r="BO3" s="877"/>
      <c r="BP3" s="877"/>
      <c r="BQ3" s="877"/>
      <c r="BR3" s="877"/>
      <c r="BS3" s="877"/>
      <c r="BT3" s="877"/>
      <c r="BU3" s="877"/>
      <c r="BV3" s="877"/>
      <c r="BW3" s="877"/>
      <c r="BX3" s="877"/>
      <c r="BY3" s="877"/>
      <c r="BZ3" s="877"/>
      <c r="CA3" s="877"/>
      <c r="CB3" s="877"/>
      <c r="CC3" s="877"/>
      <c r="CD3" s="877"/>
      <c r="CE3" s="877"/>
      <c r="CF3" s="877"/>
      <c r="CG3" s="877"/>
      <c r="CH3" s="877"/>
      <c r="CI3" s="877"/>
      <c r="CJ3" s="877"/>
      <c r="CK3" s="877"/>
      <c r="CL3" s="877"/>
      <c r="CM3" s="877"/>
      <c r="CN3" s="877"/>
      <c r="CO3" s="877"/>
      <c r="CP3" s="877"/>
      <c r="CQ3" s="877"/>
      <c r="CR3" s="877"/>
      <c r="CS3" s="877"/>
      <c r="CT3" s="877"/>
      <c r="CU3" s="877"/>
      <c r="CV3" s="877"/>
      <c r="CW3" s="877"/>
      <c r="CX3" s="877"/>
      <c r="CY3" s="877"/>
      <c r="CZ3" s="877"/>
      <c r="DA3" s="877"/>
      <c r="DB3" s="877"/>
      <c r="DC3" s="877"/>
      <c r="DD3" s="877"/>
      <c r="DE3" s="877"/>
      <c r="DF3" s="877"/>
      <c r="DG3" s="877"/>
      <c r="DH3" s="877"/>
      <c r="DI3" s="877"/>
      <c r="DJ3" s="877"/>
      <c r="DK3" s="877"/>
      <c r="DL3" s="877"/>
      <c r="DM3" s="877"/>
      <c r="DN3" s="877"/>
      <c r="DO3" s="877"/>
      <c r="DP3" s="877"/>
      <c r="DQ3" s="877"/>
      <c r="DR3" s="877"/>
      <c r="DS3" s="877"/>
      <c r="DT3" s="877"/>
      <c r="DU3" s="877"/>
      <c r="DV3" s="877"/>
      <c r="DW3" s="877"/>
      <c r="DX3" s="877"/>
      <c r="DY3" s="877"/>
      <c r="DZ3" s="877"/>
      <c r="EA3" s="877"/>
      <c r="EB3" s="877"/>
      <c r="EC3" s="877"/>
      <c r="ED3" s="877"/>
      <c r="EE3" s="877"/>
      <c r="EF3" s="877"/>
      <c r="EG3" s="877"/>
      <c r="EH3" s="877"/>
      <c r="EI3" s="877"/>
      <c r="EJ3" s="877"/>
      <c r="EK3" s="877"/>
      <c r="EL3" s="877"/>
      <c r="EM3" s="877"/>
      <c r="EN3" s="877"/>
      <c r="EO3" s="877"/>
      <c r="EP3" s="877"/>
      <c r="EQ3" s="877"/>
      <c r="ER3" s="877"/>
      <c r="ES3" s="877"/>
      <c r="ET3" s="877"/>
      <c r="EU3" s="877"/>
      <c r="EV3" s="877"/>
      <c r="EW3" s="877"/>
      <c r="EX3" s="877"/>
      <c r="EY3" s="877"/>
      <c r="EZ3" s="877"/>
      <c r="FA3" s="877"/>
      <c r="FB3" s="877"/>
      <c r="FC3" s="877"/>
      <c r="FD3" s="877"/>
      <c r="FE3" s="877"/>
      <c r="FF3" s="877"/>
      <c r="FG3" s="877"/>
      <c r="FH3" s="877"/>
      <c r="FI3" s="877"/>
      <c r="FJ3" s="877"/>
      <c r="FK3" s="877"/>
      <c r="FL3" s="877"/>
      <c r="FM3" s="877"/>
      <c r="FN3" s="877"/>
      <c r="FO3" s="877"/>
      <c r="FP3" s="877"/>
      <c r="FQ3" s="877"/>
      <c r="FR3" s="877"/>
      <c r="FS3" s="877"/>
      <c r="FT3" s="877"/>
      <c r="FU3" s="877"/>
      <c r="FV3" s="877"/>
      <c r="FW3" s="877"/>
      <c r="FX3" s="877"/>
      <c r="FY3" s="877"/>
      <c r="FZ3" s="877"/>
      <c r="GA3" s="877"/>
      <c r="GB3" s="877"/>
      <c r="GC3" s="877"/>
      <c r="GD3" s="877"/>
      <c r="GE3" s="877"/>
      <c r="GF3" s="877"/>
      <c r="GG3" s="877"/>
      <c r="GH3" s="877"/>
      <c r="GI3" s="877"/>
      <c r="GJ3" s="877"/>
      <c r="GK3" s="877"/>
      <c r="GL3" s="877"/>
      <c r="GM3" s="877"/>
      <c r="GN3" s="877"/>
      <c r="GO3" s="877"/>
      <c r="GP3" s="877"/>
      <c r="GQ3" s="877"/>
      <c r="GR3" s="877"/>
      <c r="GS3" s="877"/>
      <c r="GT3" s="877"/>
      <c r="GU3" s="877"/>
      <c r="GV3" s="877"/>
      <c r="GW3" s="877"/>
      <c r="GX3" s="877"/>
      <c r="GY3" s="877"/>
      <c r="GZ3" s="877"/>
      <c r="HA3" s="877"/>
      <c r="HB3" s="877"/>
      <c r="HC3" s="877"/>
      <c r="HD3" s="877"/>
      <c r="HE3" s="877"/>
      <c r="HF3" s="877"/>
      <c r="HG3" s="877"/>
      <c r="HH3" s="877"/>
      <c r="HI3" s="877"/>
      <c r="HJ3" s="877"/>
      <c r="HK3" s="877"/>
      <c r="HL3" s="877"/>
      <c r="HM3" s="877"/>
      <c r="HN3" s="877"/>
      <c r="HO3" s="877"/>
      <c r="HP3" s="877"/>
      <c r="HQ3" s="877"/>
      <c r="HR3" s="877"/>
      <c r="HS3" s="877"/>
      <c r="HT3" s="877"/>
      <c r="HU3" s="877"/>
      <c r="HV3" s="877"/>
      <c r="HW3" s="877"/>
      <c r="HX3" s="877"/>
      <c r="HY3" s="877"/>
      <c r="HZ3" s="877"/>
      <c r="IA3" s="877"/>
      <c r="IB3" s="877"/>
      <c r="IC3" s="877"/>
      <c r="ID3" s="877"/>
      <c r="IE3" s="877"/>
      <c r="IF3" s="877"/>
      <c r="IG3" s="877"/>
      <c r="IH3" s="877"/>
      <c r="II3" s="877"/>
      <c r="IJ3" s="877"/>
      <c r="IK3" s="877"/>
      <c r="IL3" s="877"/>
      <c r="IM3" s="877"/>
      <c r="IN3" s="877"/>
      <c r="IO3" s="877"/>
      <c r="IP3" s="877"/>
      <c r="IQ3" s="877"/>
      <c r="IR3" s="877"/>
    </row>
    <row r="4" spans="1:252" s="982" customFormat="1" ht="15.75" customHeight="1">
      <c r="A4" s="102" t="s">
        <v>793</v>
      </c>
      <c r="B4" s="102"/>
      <c r="C4" s="102"/>
      <c r="D4" s="102"/>
      <c r="E4" s="102"/>
      <c r="F4" s="877"/>
      <c r="G4" s="877"/>
      <c r="H4" s="102"/>
      <c r="I4" s="102"/>
      <c r="J4" s="102"/>
      <c r="K4" s="102"/>
      <c r="L4" s="102"/>
      <c r="M4" s="102"/>
      <c r="N4" s="102"/>
      <c r="O4" s="102"/>
      <c r="P4" s="102"/>
      <c r="Q4" s="983"/>
      <c r="R4" s="984"/>
      <c r="S4" s="814"/>
      <c r="T4" s="984"/>
      <c r="U4" s="814"/>
      <c r="V4" s="814"/>
      <c r="W4" s="877"/>
      <c r="X4" s="877"/>
      <c r="Y4" s="877"/>
      <c r="Z4" s="877"/>
      <c r="AA4" s="877"/>
      <c r="AB4" s="877"/>
      <c r="AC4" s="877"/>
      <c r="AD4" s="877"/>
      <c r="AE4" s="877"/>
      <c r="AF4" s="877"/>
      <c r="AG4" s="877"/>
      <c r="AH4" s="877"/>
      <c r="AI4" s="877"/>
      <c r="AJ4" s="877"/>
      <c r="AK4" s="877"/>
      <c r="AL4" s="877"/>
      <c r="AM4" s="877"/>
      <c r="AN4" s="877"/>
      <c r="AO4" s="877"/>
      <c r="AP4" s="877"/>
      <c r="AQ4" s="877"/>
      <c r="AR4" s="877"/>
      <c r="AS4" s="877"/>
      <c r="AT4" s="877"/>
      <c r="AU4" s="877"/>
      <c r="AV4" s="877"/>
      <c r="AW4" s="877"/>
      <c r="AX4" s="877"/>
      <c r="AY4" s="877"/>
      <c r="AZ4" s="877"/>
      <c r="BA4" s="877"/>
      <c r="BB4" s="877"/>
      <c r="BC4" s="877"/>
      <c r="BD4" s="877"/>
      <c r="BE4" s="877"/>
      <c r="BF4" s="877"/>
      <c r="BG4" s="877"/>
      <c r="BH4" s="877"/>
      <c r="BI4" s="877"/>
      <c r="BJ4" s="877"/>
      <c r="BK4" s="877"/>
      <c r="BL4" s="877"/>
      <c r="BM4" s="877"/>
      <c r="BN4" s="877"/>
      <c r="BO4" s="877"/>
      <c r="BP4" s="877"/>
      <c r="BQ4" s="877"/>
      <c r="BR4" s="877"/>
      <c r="BS4" s="877"/>
      <c r="BT4" s="877"/>
      <c r="BU4" s="877"/>
      <c r="BV4" s="877"/>
      <c r="BW4" s="877"/>
      <c r="BX4" s="877"/>
      <c r="BY4" s="877"/>
      <c r="BZ4" s="877"/>
      <c r="CA4" s="877"/>
      <c r="CB4" s="877"/>
      <c r="CC4" s="877"/>
      <c r="CD4" s="877"/>
      <c r="CE4" s="877"/>
      <c r="CF4" s="877"/>
      <c r="CG4" s="877"/>
      <c r="CH4" s="877"/>
      <c r="CI4" s="877"/>
      <c r="CJ4" s="877"/>
      <c r="CK4" s="877"/>
      <c r="CL4" s="877"/>
      <c r="CM4" s="877"/>
      <c r="CN4" s="877"/>
      <c r="CO4" s="877"/>
      <c r="CP4" s="877"/>
      <c r="CQ4" s="877"/>
      <c r="CR4" s="877"/>
      <c r="CS4" s="877"/>
      <c r="CT4" s="877"/>
      <c r="CU4" s="877"/>
      <c r="CV4" s="877"/>
      <c r="CW4" s="877"/>
      <c r="CX4" s="877"/>
      <c r="CY4" s="877"/>
      <c r="CZ4" s="877"/>
      <c r="DA4" s="877"/>
      <c r="DB4" s="877"/>
      <c r="DC4" s="877"/>
      <c r="DD4" s="877"/>
      <c r="DE4" s="877"/>
      <c r="DF4" s="877"/>
      <c r="DG4" s="877"/>
      <c r="DH4" s="877"/>
      <c r="DI4" s="877"/>
      <c r="DJ4" s="877"/>
      <c r="DK4" s="877"/>
      <c r="DL4" s="877"/>
      <c r="DM4" s="877"/>
      <c r="DN4" s="877"/>
      <c r="DO4" s="877"/>
      <c r="DP4" s="877"/>
      <c r="DQ4" s="877"/>
      <c r="DR4" s="877"/>
      <c r="DS4" s="877"/>
      <c r="DT4" s="877"/>
      <c r="DU4" s="877"/>
      <c r="DV4" s="877"/>
      <c r="DW4" s="877"/>
      <c r="DX4" s="877"/>
      <c r="DY4" s="877"/>
      <c r="DZ4" s="877"/>
      <c r="EA4" s="877"/>
      <c r="EB4" s="877"/>
      <c r="EC4" s="877"/>
      <c r="ED4" s="877"/>
      <c r="EE4" s="877"/>
      <c r="EF4" s="877"/>
      <c r="EG4" s="877"/>
      <c r="EH4" s="877"/>
      <c r="EI4" s="877"/>
      <c r="EJ4" s="877"/>
      <c r="EK4" s="877"/>
      <c r="EL4" s="877"/>
      <c r="EM4" s="877"/>
      <c r="EN4" s="877"/>
      <c r="EO4" s="877"/>
      <c r="EP4" s="877"/>
      <c r="EQ4" s="877"/>
      <c r="ER4" s="877"/>
      <c r="ES4" s="877"/>
      <c r="ET4" s="877"/>
      <c r="EU4" s="877"/>
      <c r="EV4" s="877"/>
      <c r="EW4" s="877"/>
      <c r="EX4" s="877"/>
      <c r="EY4" s="877"/>
      <c r="EZ4" s="877"/>
      <c r="FA4" s="877"/>
      <c r="FB4" s="877"/>
      <c r="FC4" s="877"/>
      <c r="FD4" s="877"/>
      <c r="FE4" s="877"/>
      <c r="FF4" s="877"/>
      <c r="FG4" s="877"/>
      <c r="FH4" s="877"/>
      <c r="FI4" s="877"/>
      <c r="FJ4" s="877"/>
      <c r="FK4" s="877"/>
      <c r="FL4" s="877"/>
      <c r="FM4" s="877"/>
      <c r="FN4" s="877"/>
      <c r="FO4" s="877"/>
      <c r="FP4" s="877"/>
      <c r="FQ4" s="877"/>
      <c r="FR4" s="877"/>
      <c r="FS4" s="877"/>
      <c r="FT4" s="877"/>
      <c r="FU4" s="877"/>
      <c r="FV4" s="877"/>
      <c r="FW4" s="877"/>
      <c r="FX4" s="877"/>
      <c r="FY4" s="877"/>
      <c r="FZ4" s="877"/>
      <c r="GA4" s="877"/>
      <c r="GB4" s="877"/>
      <c r="GC4" s="877"/>
      <c r="GD4" s="877"/>
      <c r="GE4" s="877"/>
      <c r="GF4" s="877"/>
      <c r="GG4" s="877"/>
      <c r="GH4" s="877"/>
      <c r="GI4" s="877"/>
      <c r="GJ4" s="877"/>
      <c r="GK4" s="877"/>
      <c r="GL4" s="877"/>
      <c r="GM4" s="877"/>
      <c r="GN4" s="877"/>
      <c r="GO4" s="877"/>
      <c r="GP4" s="877"/>
      <c r="GQ4" s="877"/>
      <c r="GR4" s="877"/>
      <c r="GS4" s="877"/>
      <c r="GT4" s="877"/>
      <c r="GU4" s="877"/>
      <c r="GV4" s="877"/>
      <c r="GW4" s="877"/>
      <c r="GX4" s="877"/>
      <c r="GY4" s="877"/>
      <c r="GZ4" s="877"/>
      <c r="HA4" s="877"/>
      <c r="HB4" s="877"/>
      <c r="HC4" s="877"/>
      <c r="HD4" s="877"/>
      <c r="HE4" s="877"/>
      <c r="HF4" s="877"/>
      <c r="HG4" s="877"/>
      <c r="HH4" s="877"/>
      <c r="HI4" s="877"/>
      <c r="HJ4" s="877"/>
      <c r="HK4" s="877"/>
      <c r="HL4" s="877"/>
      <c r="HM4" s="877"/>
      <c r="HN4" s="877"/>
      <c r="HO4" s="877"/>
      <c r="HP4" s="877"/>
      <c r="HQ4" s="877"/>
      <c r="HR4" s="877"/>
      <c r="HS4" s="877"/>
      <c r="HT4" s="877"/>
      <c r="HU4" s="877"/>
      <c r="HV4" s="877"/>
      <c r="HW4" s="877"/>
      <c r="HX4" s="877"/>
      <c r="HY4" s="877"/>
      <c r="HZ4" s="877"/>
      <c r="IA4" s="877"/>
      <c r="IB4" s="877"/>
      <c r="IC4" s="877"/>
      <c r="ID4" s="877"/>
      <c r="IE4" s="877"/>
      <c r="IF4" s="877"/>
      <c r="IG4" s="877"/>
      <c r="IH4" s="877"/>
      <c r="II4" s="877"/>
      <c r="IJ4" s="877"/>
      <c r="IK4" s="877"/>
      <c r="IL4" s="877"/>
      <c r="IM4" s="877"/>
      <c r="IN4" s="877"/>
      <c r="IO4" s="877"/>
      <c r="IP4" s="877"/>
      <c r="IQ4" s="877"/>
      <c r="IR4" s="877"/>
    </row>
    <row r="5" spans="1:252" s="982" customFormat="1" ht="15.75" customHeight="1">
      <c r="A5" s="258" t="s">
        <v>794</v>
      </c>
      <c r="B5" s="102"/>
      <c r="C5" s="102"/>
      <c r="D5" s="102"/>
      <c r="E5" s="102"/>
      <c r="F5" s="877"/>
      <c r="G5" s="877"/>
      <c r="H5" s="102"/>
      <c r="I5" s="102"/>
      <c r="J5" s="102"/>
      <c r="K5" s="102"/>
      <c r="L5" s="102"/>
      <c r="M5" s="102"/>
      <c r="N5" s="102"/>
      <c r="O5" s="102"/>
      <c r="P5" s="102" t="s">
        <v>14</v>
      </c>
      <c r="Q5" s="983"/>
      <c r="R5" s="984"/>
      <c r="S5" s="814"/>
      <c r="T5" s="984"/>
      <c r="U5" s="814"/>
      <c r="V5" s="814"/>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7"/>
      <c r="EF5" s="877"/>
      <c r="EG5" s="877"/>
      <c r="EH5" s="877"/>
      <c r="EI5" s="877"/>
      <c r="EJ5" s="877"/>
      <c r="EK5" s="877"/>
      <c r="EL5" s="877"/>
      <c r="EM5" s="877"/>
      <c r="EN5" s="877"/>
      <c r="EO5" s="877"/>
      <c r="EP5" s="877"/>
      <c r="EQ5" s="877"/>
      <c r="ER5" s="877"/>
      <c r="ES5" s="877"/>
      <c r="ET5" s="877"/>
      <c r="EU5" s="877"/>
      <c r="EV5" s="877"/>
      <c r="EW5" s="877"/>
      <c r="EX5" s="877"/>
      <c r="EY5" s="877"/>
      <c r="EZ5" s="877"/>
      <c r="FA5" s="877"/>
      <c r="FB5" s="877"/>
      <c r="FC5" s="877"/>
      <c r="FD5" s="877"/>
      <c r="FE5" s="877"/>
      <c r="FF5" s="877"/>
      <c r="FG5" s="877"/>
      <c r="FH5" s="877"/>
      <c r="FI5" s="877"/>
      <c r="FJ5" s="877"/>
      <c r="FK5" s="877"/>
      <c r="FL5" s="877"/>
      <c r="FM5" s="877"/>
      <c r="FN5" s="877"/>
      <c r="FO5" s="877"/>
      <c r="FP5" s="877"/>
      <c r="FQ5" s="877"/>
      <c r="FR5" s="877"/>
      <c r="FS5" s="877"/>
      <c r="FT5" s="877"/>
      <c r="FU5" s="877"/>
      <c r="FV5" s="877"/>
      <c r="FW5" s="877"/>
      <c r="FX5" s="877"/>
      <c r="FY5" s="877"/>
      <c r="FZ5" s="877"/>
      <c r="GA5" s="877"/>
      <c r="GB5" s="877"/>
      <c r="GC5" s="877"/>
      <c r="GD5" s="877"/>
      <c r="GE5" s="877"/>
      <c r="GF5" s="877"/>
      <c r="GG5" s="877"/>
      <c r="GH5" s="877"/>
      <c r="GI5" s="877"/>
      <c r="GJ5" s="877"/>
      <c r="GK5" s="877"/>
      <c r="GL5" s="877"/>
      <c r="GM5" s="877"/>
      <c r="GN5" s="877"/>
      <c r="GO5" s="877"/>
      <c r="GP5" s="877"/>
      <c r="GQ5" s="877"/>
      <c r="GR5" s="877"/>
      <c r="GS5" s="877"/>
      <c r="GT5" s="877"/>
      <c r="GU5" s="877"/>
      <c r="GV5" s="877"/>
      <c r="GW5" s="877"/>
      <c r="GX5" s="877"/>
      <c r="GY5" s="877"/>
      <c r="GZ5" s="877"/>
      <c r="HA5" s="877"/>
      <c r="HB5" s="877"/>
      <c r="HC5" s="877"/>
      <c r="HD5" s="877"/>
      <c r="HE5" s="877"/>
      <c r="HF5" s="877"/>
      <c r="HG5" s="877"/>
      <c r="HH5" s="877"/>
      <c r="HI5" s="877"/>
      <c r="HJ5" s="877"/>
      <c r="HK5" s="877"/>
      <c r="HL5" s="877"/>
      <c r="HM5" s="877"/>
      <c r="HN5" s="877"/>
      <c r="HO5" s="877"/>
      <c r="HP5" s="877"/>
      <c r="HQ5" s="877"/>
      <c r="HR5" s="877"/>
      <c r="HS5" s="877"/>
      <c r="HT5" s="877"/>
      <c r="HU5" s="877"/>
      <c r="HV5" s="877"/>
      <c r="HW5" s="877"/>
      <c r="HX5" s="877"/>
      <c r="HY5" s="877"/>
      <c r="HZ5" s="877"/>
      <c r="IA5" s="877"/>
      <c r="IB5" s="877"/>
      <c r="IC5" s="877"/>
      <c r="ID5" s="877"/>
      <c r="IE5" s="877"/>
      <c r="IF5" s="877"/>
      <c r="IG5" s="877"/>
      <c r="IH5" s="877"/>
      <c r="II5" s="877"/>
      <c r="IJ5" s="877"/>
      <c r="IK5" s="877"/>
      <c r="IL5" s="877"/>
      <c r="IM5" s="877"/>
      <c r="IN5" s="877"/>
      <c r="IO5" s="877"/>
      <c r="IP5" s="877"/>
      <c r="IQ5" s="877"/>
      <c r="IR5" s="877"/>
    </row>
    <row r="6" spans="1:252" s="982" customFormat="1" ht="15.75" customHeight="1">
      <c r="A6" s="102" t="s">
        <v>1277</v>
      </c>
      <c r="B6" s="102"/>
      <c r="C6" s="102"/>
      <c r="D6" s="102"/>
      <c r="E6" s="102"/>
      <c r="F6" s="877"/>
      <c r="G6" s="877"/>
      <c r="H6" s="102"/>
      <c r="I6" s="102"/>
      <c r="J6" s="102"/>
      <c r="K6" s="102"/>
      <c r="L6" s="102"/>
      <c r="M6" s="102"/>
      <c r="N6" s="102"/>
      <c r="O6" s="102"/>
      <c r="P6" s="102"/>
      <c r="Q6" s="983"/>
      <c r="R6" s="984"/>
      <c r="S6" s="814"/>
      <c r="T6" s="984"/>
      <c r="U6" s="814"/>
      <c r="V6" s="814"/>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7"/>
      <c r="EF6" s="877"/>
      <c r="EG6" s="877"/>
      <c r="EH6" s="877"/>
      <c r="EI6" s="877"/>
      <c r="EJ6" s="877"/>
      <c r="EK6" s="877"/>
      <c r="EL6" s="877"/>
      <c r="EM6" s="877"/>
      <c r="EN6" s="877"/>
      <c r="EO6" s="877"/>
      <c r="EP6" s="877"/>
      <c r="EQ6" s="877"/>
      <c r="ER6" s="877"/>
      <c r="ES6" s="877"/>
      <c r="ET6" s="877"/>
      <c r="EU6" s="877"/>
      <c r="EV6" s="877"/>
      <c r="EW6" s="877"/>
      <c r="EX6" s="877"/>
      <c r="EY6" s="877"/>
      <c r="EZ6" s="877"/>
      <c r="FA6" s="877"/>
      <c r="FB6" s="877"/>
      <c r="FC6" s="877"/>
      <c r="FD6" s="877"/>
      <c r="FE6" s="877"/>
      <c r="FF6" s="877"/>
      <c r="FG6" s="877"/>
      <c r="FH6" s="877"/>
      <c r="FI6" s="877"/>
      <c r="FJ6" s="877"/>
      <c r="FK6" s="877"/>
      <c r="FL6" s="877"/>
      <c r="FM6" s="877"/>
      <c r="FN6" s="877"/>
      <c r="FO6" s="877"/>
      <c r="FP6" s="877"/>
      <c r="FQ6" s="877"/>
      <c r="FR6" s="877"/>
      <c r="FS6" s="877"/>
      <c r="FT6" s="877"/>
      <c r="FU6" s="877"/>
      <c r="FV6" s="877"/>
      <c r="FW6" s="877"/>
      <c r="FX6" s="877"/>
      <c r="FY6" s="877"/>
      <c r="FZ6" s="877"/>
      <c r="GA6" s="877"/>
      <c r="GB6" s="877"/>
      <c r="GC6" s="877"/>
      <c r="GD6" s="877"/>
      <c r="GE6" s="877"/>
      <c r="GF6" s="877"/>
      <c r="GG6" s="877"/>
      <c r="GH6" s="877"/>
      <c r="GI6" s="877"/>
      <c r="GJ6" s="877"/>
      <c r="GK6" s="877"/>
      <c r="GL6" s="877"/>
      <c r="GM6" s="877"/>
      <c r="GN6" s="877"/>
      <c r="GO6" s="877"/>
      <c r="GP6" s="877"/>
      <c r="GQ6" s="877"/>
      <c r="GR6" s="877"/>
      <c r="GS6" s="877"/>
      <c r="GT6" s="877"/>
      <c r="GU6" s="877"/>
      <c r="GV6" s="877"/>
      <c r="GW6" s="877"/>
      <c r="GX6" s="877"/>
      <c r="GY6" s="877"/>
      <c r="GZ6" s="877"/>
      <c r="HA6" s="877"/>
      <c r="HB6" s="877"/>
      <c r="HC6" s="877"/>
      <c r="HD6" s="877"/>
      <c r="HE6" s="877"/>
      <c r="HF6" s="877"/>
      <c r="HG6" s="877"/>
      <c r="HH6" s="877"/>
      <c r="HI6" s="877"/>
      <c r="HJ6" s="877"/>
      <c r="HK6" s="877"/>
      <c r="HL6" s="877"/>
      <c r="HM6" s="877"/>
      <c r="HN6" s="877"/>
      <c r="HO6" s="877"/>
      <c r="HP6" s="877"/>
      <c r="HQ6" s="877"/>
      <c r="HR6" s="877"/>
      <c r="HS6" s="877"/>
      <c r="HT6" s="877"/>
      <c r="HU6" s="877"/>
      <c r="HV6" s="877"/>
      <c r="HW6" s="877"/>
      <c r="HX6" s="877"/>
      <c r="HY6" s="877"/>
      <c r="HZ6" s="877"/>
      <c r="IA6" s="877"/>
      <c r="IB6" s="877"/>
      <c r="IC6" s="877"/>
      <c r="ID6" s="877"/>
      <c r="IE6" s="877"/>
      <c r="IF6" s="877"/>
      <c r="IG6" s="877"/>
      <c r="IH6" s="877"/>
      <c r="II6" s="877"/>
      <c r="IJ6" s="877"/>
      <c r="IK6" s="877"/>
      <c r="IL6" s="877"/>
      <c r="IM6" s="877"/>
      <c r="IN6" s="877"/>
      <c r="IO6" s="877"/>
      <c r="IP6" s="877"/>
      <c r="IQ6" s="877"/>
      <c r="IR6" s="877"/>
    </row>
    <row r="7" spans="1:252" s="982" customFormat="1">
      <c r="A7" s="105"/>
      <c r="B7" s="102"/>
      <c r="C7" s="102"/>
      <c r="D7" s="102"/>
      <c r="E7" s="102"/>
      <c r="F7" s="877"/>
      <c r="G7" s="877"/>
      <c r="H7" s="102"/>
      <c r="I7" s="102"/>
      <c r="J7" s="102"/>
      <c r="K7" s="102"/>
      <c r="L7" s="102"/>
      <c r="M7" s="102"/>
      <c r="N7" s="102"/>
      <c r="O7" s="102"/>
      <c r="P7" s="102"/>
      <c r="Q7" s="983"/>
      <c r="R7" s="984"/>
      <c r="S7" s="814"/>
      <c r="T7" s="984"/>
      <c r="U7" s="814"/>
      <c r="V7" s="814"/>
      <c r="W7" s="877"/>
      <c r="X7" s="877"/>
      <c r="Y7" s="877"/>
      <c r="Z7" s="877"/>
      <c r="AA7" s="877"/>
      <c r="AB7" s="877"/>
      <c r="AC7" s="877"/>
      <c r="AD7" s="877"/>
      <c r="AE7" s="877"/>
      <c r="AF7" s="877"/>
      <c r="AG7" s="877"/>
      <c r="AH7" s="877"/>
      <c r="AI7" s="877"/>
      <c r="AJ7" s="877"/>
      <c r="AK7" s="877"/>
      <c r="AL7" s="877"/>
      <c r="AM7" s="877"/>
      <c r="AN7" s="877"/>
      <c r="AO7" s="877"/>
      <c r="AP7" s="877"/>
      <c r="AQ7" s="877"/>
      <c r="AR7" s="877"/>
      <c r="AS7" s="877"/>
      <c r="AT7" s="877"/>
      <c r="AU7" s="877"/>
      <c r="AV7" s="877"/>
      <c r="AW7" s="877"/>
      <c r="AX7" s="877"/>
      <c r="AY7" s="877"/>
      <c r="AZ7" s="877"/>
      <c r="BA7" s="877"/>
      <c r="BB7" s="877"/>
      <c r="BC7" s="877"/>
      <c r="BD7" s="877"/>
      <c r="BE7" s="877"/>
      <c r="BF7" s="877"/>
      <c r="BG7" s="877"/>
      <c r="BH7" s="877"/>
      <c r="BI7" s="877"/>
      <c r="BJ7" s="877"/>
      <c r="BK7" s="877"/>
      <c r="BL7" s="877"/>
      <c r="BM7" s="877"/>
      <c r="BN7" s="877"/>
      <c r="BO7" s="877"/>
      <c r="BP7" s="877"/>
      <c r="BQ7" s="877"/>
      <c r="BR7" s="877"/>
      <c r="BS7" s="877"/>
      <c r="BT7" s="877"/>
      <c r="BU7" s="877"/>
      <c r="BV7" s="877"/>
      <c r="BW7" s="877"/>
      <c r="BX7" s="877"/>
      <c r="BY7" s="877"/>
      <c r="BZ7" s="877"/>
      <c r="CA7" s="877"/>
      <c r="CB7" s="877"/>
      <c r="CC7" s="877"/>
      <c r="CD7" s="877"/>
      <c r="CE7" s="877"/>
      <c r="CF7" s="877"/>
      <c r="CG7" s="877"/>
      <c r="CH7" s="877"/>
      <c r="CI7" s="877"/>
      <c r="CJ7" s="877"/>
      <c r="CK7" s="877"/>
      <c r="CL7" s="877"/>
      <c r="CM7" s="877"/>
      <c r="CN7" s="877"/>
      <c r="CO7" s="877"/>
      <c r="CP7" s="877"/>
      <c r="CQ7" s="877"/>
      <c r="CR7" s="877"/>
      <c r="CS7" s="877"/>
      <c r="CT7" s="877"/>
      <c r="CU7" s="877"/>
      <c r="CV7" s="877"/>
      <c r="CW7" s="877"/>
      <c r="CX7" s="877"/>
      <c r="CY7" s="877"/>
      <c r="CZ7" s="877"/>
      <c r="DA7" s="877"/>
      <c r="DB7" s="877"/>
      <c r="DC7" s="877"/>
      <c r="DD7" s="877"/>
      <c r="DE7" s="877"/>
      <c r="DF7" s="877"/>
      <c r="DG7" s="877"/>
      <c r="DH7" s="877"/>
      <c r="DI7" s="877"/>
      <c r="DJ7" s="877"/>
      <c r="DK7" s="877"/>
      <c r="DL7" s="877"/>
      <c r="DM7" s="877"/>
      <c r="DN7" s="877"/>
      <c r="DO7" s="877"/>
      <c r="DP7" s="877"/>
      <c r="DQ7" s="877"/>
      <c r="DR7" s="877"/>
      <c r="DS7" s="877"/>
      <c r="DT7" s="877"/>
      <c r="DU7" s="877"/>
      <c r="DV7" s="877"/>
      <c r="DW7" s="877"/>
      <c r="DX7" s="877"/>
      <c r="DY7" s="877"/>
      <c r="DZ7" s="877"/>
      <c r="EA7" s="877"/>
      <c r="EB7" s="877"/>
      <c r="EC7" s="877"/>
      <c r="ED7" s="877"/>
      <c r="EE7" s="877"/>
      <c r="EF7" s="877"/>
      <c r="EG7" s="877"/>
      <c r="EH7" s="877"/>
      <c r="EI7" s="877"/>
      <c r="EJ7" s="877"/>
      <c r="EK7" s="877"/>
      <c r="EL7" s="877"/>
      <c r="EM7" s="877"/>
      <c r="EN7" s="877"/>
      <c r="EO7" s="877"/>
      <c r="EP7" s="877"/>
      <c r="EQ7" s="877"/>
      <c r="ER7" s="877"/>
      <c r="ES7" s="877"/>
      <c r="ET7" s="877"/>
      <c r="EU7" s="877"/>
      <c r="EV7" s="877"/>
      <c r="EW7" s="877"/>
      <c r="EX7" s="877"/>
      <c r="EY7" s="877"/>
      <c r="EZ7" s="877"/>
      <c r="FA7" s="877"/>
      <c r="FB7" s="877"/>
      <c r="FC7" s="877"/>
      <c r="FD7" s="877"/>
      <c r="FE7" s="877"/>
      <c r="FF7" s="877"/>
      <c r="FG7" s="877"/>
      <c r="FH7" s="877"/>
      <c r="FI7" s="877"/>
      <c r="FJ7" s="877"/>
      <c r="FK7" s="877"/>
      <c r="FL7" s="877"/>
      <c r="FM7" s="877"/>
      <c r="FN7" s="877"/>
      <c r="FO7" s="877"/>
      <c r="FP7" s="877"/>
      <c r="FQ7" s="877"/>
      <c r="FR7" s="877"/>
      <c r="FS7" s="877"/>
      <c r="FT7" s="877"/>
      <c r="FU7" s="877"/>
      <c r="FV7" s="877"/>
      <c r="FW7" s="877"/>
      <c r="FX7" s="877"/>
      <c r="FY7" s="877"/>
      <c r="FZ7" s="877"/>
      <c r="GA7" s="877"/>
      <c r="GB7" s="877"/>
      <c r="GC7" s="877"/>
      <c r="GD7" s="877"/>
      <c r="GE7" s="877"/>
      <c r="GF7" s="877"/>
      <c r="GG7" s="877"/>
      <c r="GH7" s="877"/>
      <c r="GI7" s="877"/>
      <c r="GJ7" s="877"/>
      <c r="GK7" s="877"/>
      <c r="GL7" s="877"/>
      <c r="GM7" s="877"/>
      <c r="GN7" s="877"/>
      <c r="GO7" s="877"/>
      <c r="GP7" s="877"/>
      <c r="GQ7" s="877"/>
      <c r="GR7" s="877"/>
      <c r="GS7" s="877"/>
      <c r="GT7" s="877"/>
      <c r="GU7" s="877"/>
      <c r="GV7" s="877"/>
      <c r="GW7" s="877"/>
      <c r="GX7" s="877"/>
      <c r="GY7" s="877"/>
      <c r="GZ7" s="877"/>
      <c r="HA7" s="877"/>
      <c r="HB7" s="877"/>
      <c r="HC7" s="877"/>
      <c r="HD7" s="877"/>
      <c r="HE7" s="877"/>
      <c r="HF7" s="877"/>
      <c r="HG7" s="877"/>
      <c r="HH7" s="877"/>
      <c r="HI7" s="877"/>
      <c r="HJ7" s="877"/>
      <c r="HK7" s="877"/>
      <c r="HL7" s="877"/>
      <c r="HM7" s="877"/>
      <c r="HN7" s="877"/>
      <c r="HO7" s="877"/>
      <c r="HP7" s="877"/>
      <c r="HQ7" s="877"/>
      <c r="HR7" s="877"/>
      <c r="HS7" s="877"/>
      <c r="HT7" s="877"/>
      <c r="HU7" s="877"/>
      <c r="HV7" s="877"/>
      <c r="HW7" s="877"/>
      <c r="HX7" s="877"/>
      <c r="HY7" s="877"/>
      <c r="HZ7" s="877"/>
      <c r="IA7" s="877"/>
      <c r="IB7" s="877"/>
      <c r="IC7" s="877"/>
      <c r="ID7" s="877"/>
      <c r="IE7" s="877"/>
      <c r="IF7" s="877"/>
      <c r="IG7" s="877"/>
      <c r="IH7" s="877"/>
      <c r="II7" s="877"/>
      <c r="IJ7" s="877"/>
      <c r="IK7" s="877"/>
      <c r="IL7" s="877"/>
      <c r="IM7" s="877"/>
      <c r="IN7" s="877"/>
      <c r="IO7" s="877"/>
      <c r="IP7" s="877"/>
      <c r="IQ7" s="877"/>
      <c r="IR7" s="877"/>
    </row>
    <row r="8" spans="1:252" s="982" customFormat="1">
      <c r="B8" s="102"/>
      <c r="C8" s="102"/>
      <c r="D8" s="102"/>
      <c r="E8" s="102"/>
      <c r="F8" s="877"/>
      <c r="G8" s="877"/>
      <c r="H8" s="102"/>
      <c r="I8" s="102"/>
      <c r="J8" s="102"/>
      <c r="K8" s="102"/>
      <c r="L8" s="102"/>
      <c r="M8" s="102"/>
      <c r="N8" s="102"/>
      <c r="O8" s="102"/>
      <c r="P8" s="102"/>
      <c r="Q8" s="983"/>
      <c r="R8" s="984"/>
      <c r="S8" s="814"/>
      <c r="T8" s="984"/>
      <c r="U8" s="814"/>
      <c r="V8" s="814"/>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7"/>
      <c r="EF8" s="877"/>
      <c r="EG8" s="877"/>
      <c r="EH8" s="877"/>
      <c r="EI8" s="877"/>
      <c r="EJ8" s="877"/>
      <c r="EK8" s="877"/>
      <c r="EL8" s="877"/>
      <c r="EM8" s="877"/>
      <c r="EN8" s="877"/>
      <c r="EO8" s="877"/>
      <c r="EP8" s="877"/>
      <c r="EQ8" s="877"/>
      <c r="ER8" s="877"/>
      <c r="ES8" s="877"/>
      <c r="ET8" s="877"/>
      <c r="EU8" s="877"/>
      <c r="EV8" s="877"/>
      <c r="EW8" s="877"/>
      <c r="EX8" s="877"/>
      <c r="EY8" s="877"/>
      <c r="EZ8" s="877"/>
      <c r="FA8" s="877"/>
      <c r="FB8" s="877"/>
      <c r="FC8" s="877"/>
      <c r="FD8" s="877"/>
      <c r="FE8" s="877"/>
      <c r="FF8" s="877"/>
      <c r="FG8" s="877"/>
      <c r="FH8" s="877"/>
      <c r="FI8" s="877"/>
      <c r="FJ8" s="877"/>
      <c r="FK8" s="877"/>
      <c r="FL8" s="877"/>
      <c r="FM8" s="877"/>
      <c r="FN8" s="877"/>
      <c r="FO8" s="877"/>
      <c r="FP8" s="877"/>
      <c r="FQ8" s="877"/>
      <c r="FR8" s="877"/>
      <c r="FS8" s="877"/>
      <c r="FT8" s="877"/>
      <c r="FU8" s="877"/>
      <c r="FV8" s="877"/>
      <c r="FW8" s="877"/>
      <c r="FX8" s="877"/>
      <c r="FY8" s="877"/>
      <c r="FZ8" s="877"/>
      <c r="GA8" s="877"/>
      <c r="GB8" s="877"/>
      <c r="GC8" s="877"/>
      <c r="GD8" s="877"/>
      <c r="GE8" s="877"/>
      <c r="GF8" s="877"/>
      <c r="GG8" s="877"/>
      <c r="GH8" s="877"/>
      <c r="GI8" s="877"/>
      <c r="GJ8" s="877"/>
      <c r="GK8" s="877"/>
      <c r="GL8" s="877"/>
      <c r="GM8" s="877"/>
      <c r="GN8" s="877"/>
      <c r="GO8" s="877"/>
      <c r="GP8" s="877"/>
      <c r="GQ8" s="877"/>
      <c r="GR8" s="877"/>
      <c r="GS8" s="877"/>
      <c r="GT8" s="877"/>
      <c r="GU8" s="877"/>
      <c r="GV8" s="877"/>
      <c r="GW8" s="877"/>
      <c r="GX8" s="877"/>
      <c r="GY8" s="877"/>
      <c r="GZ8" s="877"/>
      <c r="HA8" s="877"/>
      <c r="HB8" s="877"/>
      <c r="HC8" s="877"/>
      <c r="HD8" s="877"/>
      <c r="HE8" s="877"/>
      <c r="HF8" s="877"/>
      <c r="HG8" s="877"/>
      <c r="HH8" s="877"/>
      <c r="HI8" s="877"/>
      <c r="HJ8" s="877"/>
      <c r="HK8" s="877"/>
      <c r="HL8" s="877"/>
      <c r="HM8" s="877"/>
      <c r="HN8" s="877"/>
      <c r="HO8" s="877"/>
      <c r="HP8" s="877"/>
      <c r="HQ8" s="877"/>
      <c r="HR8" s="877"/>
      <c r="HS8" s="877"/>
      <c r="HT8" s="877"/>
      <c r="HU8" s="877"/>
      <c r="HV8" s="877"/>
      <c r="HW8" s="877"/>
      <c r="HX8" s="877"/>
      <c r="HY8" s="877"/>
      <c r="HZ8" s="877"/>
      <c r="IA8" s="877"/>
      <c r="IB8" s="877"/>
      <c r="IC8" s="877"/>
      <c r="ID8" s="877"/>
      <c r="IE8" s="877"/>
      <c r="IF8" s="877"/>
      <c r="IG8" s="877"/>
      <c r="IH8" s="877"/>
      <c r="II8" s="877"/>
      <c r="IJ8" s="877"/>
      <c r="IK8" s="877"/>
      <c r="IL8" s="877"/>
      <c r="IM8" s="877"/>
      <c r="IN8" s="877"/>
      <c r="IO8" s="877"/>
      <c r="IP8" s="877"/>
      <c r="IQ8" s="877"/>
      <c r="IR8" s="877"/>
    </row>
    <row r="9" spans="1:252" s="982" customFormat="1" ht="8.15" customHeight="1">
      <c r="A9" s="983"/>
      <c r="B9" s="102"/>
      <c r="C9" s="102"/>
      <c r="D9" s="102"/>
      <c r="E9" s="102"/>
      <c r="F9" s="102"/>
      <c r="G9" s="877"/>
      <c r="H9" s="102"/>
      <c r="I9" s="102"/>
      <c r="J9" s="102"/>
      <c r="K9" s="102"/>
      <c r="L9" s="102"/>
      <c r="M9" s="102"/>
      <c r="N9" s="102"/>
      <c r="O9" s="102"/>
      <c r="P9" s="102"/>
      <c r="Q9" s="983"/>
      <c r="R9" s="985"/>
      <c r="S9" s="983"/>
      <c r="T9" s="981"/>
      <c r="U9" s="877"/>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877"/>
      <c r="DV9" s="877"/>
      <c r="DW9" s="877"/>
      <c r="DX9" s="877"/>
      <c r="DY9" s="877"/>
      <c r="DZ9" s="877"/>
      <c r="EA9" s="877"/>
      <c r="EB9" s="877"/>
      <c r="EC9" s="877"/>
      <c r="ED9" s="877"/>
      <c r="EE9" s="877"/>
      <c r="EF9" s="877"/>
      <c r="EG9" s="877"/>
      <c r="EH9" s="877"/>
      <c r="EI9" s="877"/>
      <c r="EJ9" s="877"/>
      <c r="EK9" s="877"/>
      <c r="EL9" s="877"/>
      <c r="EM9" s="877"/>
      <c r="EN9" s="877"/>
      <c r="EO9" s="877"/>
      <c r="EP9" s="877"/>
      <c r="EQ9" s="877"/>
      <c r="ER9" s="877"/>
      <c r="ES9" s="877"/>
      <c r="ET9" s="877"/>
      <c r="EU9" s="877"/>
      <c r="EV9" s="877"/>
      <c r="EW9" s="877"/>
      <c r="EX9" s="877"/>
      <c r="EY9" s="877"/>
      <c r="EZ9" s="877"/>
      <c r="FA9" s="877"/>
      <c r="FB9" s="877"/>
      <c r="FC9" s="877"/>
      <c r="FD9" s="877"/>
      <c r="FE9" s="877"/>
      <c r="FF9" s="877"/>
      <c r="FG9" s="877"/>
      <c r="FH9" s="877"/>
      <c r="FI9" s="877"/>
      <c r="FJ9" s="877"/>
      <c r="FK9" s="877"/>
      <c r="FL9" s="877"/>
      <c r="FM9" s="877"/>
      <c r="FN9" s="877"/>
      <c r="FO9" s="877"/>
      <c r="FP9" s="877"/>
      <c r="FQ9" s="877"/>
      <c r="FR9" s="877"/>
      <c r="FS9" s="877"/>
      <c r="FT9" s="877"/>
      <c r="FU9" s="877"/>
      <c r="FV9" s="877"/>
      <c r="FW9" s="877"/>
      <c r="FX9" s="877"/>
      <c r="FY9" s="877"/>
      <c r="FZ9" s="877"/>
      <c r="GA9" s="877"/>
      <c r="GB9" s="877"/>
      <c r="GC9" s="877"/>
      <c r="GD9" s="877"/>
      <c r="GE9" s="877"/>
      <c r="GF9" s="877"/>
      <c r="GG9" s="877"/>
      <c r="GH9" s="877"/>
      <c r="GI9" s="877"/>
      <c r="GJ9" s="877"/>
      <c r="GK9" s="877"/>
      <c r="GL9" s="877"/>
      <c r="GM9" s="877"/>
      <c r="GN9" s="877"/>
      <c r="GO9" s="877"/>
      <c r="GP9" s="877"/>
      <c r="GQ9" s="877"/>
      <c r="GR9" s="877"/>
      <c r="GS9" s="877"/>
      <c r="GT9" s="877"/>
      <c r="GU9" s="877"/>
      <c r="GV9" s="877"/>
      <c r="GW9" s="877"/>
      <c r="GX9" s="877"/>
      <c r="GY9" s="877"/>
      <c r="GZ9" s="877"/>
      <c r="HA9" s="877"/>
      <c r="HB9" s="877"/>
      <c r="HC9" s="877"/>
      <c r="HD9" s="877"/>
      <c r="HE9" s="877"/>
      <c r="HF9" s="877"/>
      <c r="HG9" s="877"/>
      <c r="HH9" s="877"/>
      <c r="HI9" s="877"/>
      <c r="HJ9" s="877"/>
      <c r="HK9" s="877"/>
      <c r="HL9" s="877"/>
      <c r="HM9" s="877"/>
      <c r="HN9" s="877"/>
      <c r="HO9" s="877"/>
      <c r="HP9" s="877"/>
      <c r="HQ9" s="877"/>
      <c r="HR9" s="877"/>
      <c r="HS9" s="877"/>
      <c r="HT9" s="877"/>
      <c r="HU9" s="877"/>
      <c r="HV9" s="877"/>
      <c r="HW9" s="877"/>
      <c r="HX9" s="877"/>
      <c r="HY9" s="877"/>
      <c r="HZ9" s="877"/>
      <c r="IA9" s="877"/>
      <c r="IB9" s="877"/>
      <c r="IC9" s="877"/>
      <c r="ID9" s="877"/>
      <c r="IE9" s="877"/>
      <c r="IF9" s="877"/>
      <c r="IG9" s="877"/>
      <c r="IH9" s="877"/>
      <c r="II9" s="877"/>
      <c r="IJ9" s="877"/>
      <c r="IK9" s="877"/>
      <c r="IL9" s="877"/>
      <c r="IM9" s="877"/>
      <c r="IN9" s="877"/>
      <c r="IO9" s="877"/>
      <c r="IP9" s="877"/>
      <c r="IQ9" s="877"/>
      <c r="IR9" s="877"/>
    </row>
    <row r="10" spans="1:252" s="982" customFormat="1">
      <c r="A10" s="983"/>
      <c r="B10" s="102"/>
      <c r="C10" s="102"/>
      <c r="D10" s="102"/>
      <c r="E10" s="102"/>
      <c r="F10" s="102"/>
      <c r="G10" s="877"/>
      <c r="H10" s="102"/>
      <c r="I10" s="102"/>
      <c r="J10" s="102"/>
      <c r="K10" s="102"/>
      <c r="L10" s="102"/>
      <c r="M10" s="102"/>
      <c r="N10" s="102"/>
      <c r="O10" s="102"/>
      <c r="P10" s="102"/>
      <c r="Q10" s="983"/>
      <c r="R10" s="984"/>
      <c r="S10" s="814"/>
      <c r="T10" s="984"/>
      <c r="U10" s="814"/>
      <c r="V10" s="814"/>
      <c r="W10" s="877"/>
      <c r="X10" s="877"/>
      <c r="Y10" s="877"/>
      <c r="Z10" s="877"/>
      <c r="AA10" s="877"/>
      <c r="AB10" s="877"/>
      <c r="AC10" s="877"/>
      <c r="AD10" s="877"/>
      <c r="AE10" s="877"/>
      <c r="AF10" s="877"/>
      <c r="AG10" s="877"/>
      <c r="AH10" s="877"/>
      <c r="AI10" s="877"/>
      <c r="AJ10" s="877"/>
      <c r="AK10" s="877"/>
      <c r="AL10" s="877"/>
      <c r="AM10" s="877"/>
      <c r="AN10" s="877"/>
      <c r="AO10" s="877"/>
      <c r="AP10" s="877"/>
      <c r="AQ10" s="877"/>
      <c r="AR10" s="877"/>
      <c r="AS10" s="877"/>
      <c r="AT10" s="877"/>
      <c r="AU10" s="877"/>
      <c r="AV10" s="877"/>
      <c r="AW10" s="877"/>
      <c r="AX10" s="877"/>
      <c r="AY10" s="877"/>
      <c r="AZ10" s="877"/>
      <c r="BA10" s="877"/>
      <c r="BB10" s="877"/>
      <c r="BC10" s="877"/>
      <c r="BD10" s="877"/>
      <c r="BE10" s="877"/>
      <c r="BF10" s="877"/>
      <c r="BG10" s="877"/>
      <c r="BH10" s="877"/>
      <c r="BI10" s="877"/>
      <c r="BJ10" s="877"/>
      <c r="BK10" s="877"/>
      <c r="BL10" s="877"/>
      <c r="BM10" s="877"/>
      <c r="BN10" s="877"/>
      <c r="BO10" s="877"/>
      <c r="BP10" s="877"/>
      <c r="BQ10" s="877"/>
      <c r="BR10" s="877"/>
      <c r="BS10" s="877"/>
      <c r="BT10" s="877"/>
      <c r="BU10" s="877"/>
      <c r="BV10" s="877"/>
      <c r="BW10" s="877"/>
      <c r="BX10" s="877"/>
      <c r="BY10" s="877"/>
      <c r="BZ10" s="877"/>
      <c r="CA10" s="877"/>
      <c r="CB10" s="877"/>
      <c r="CC10" s="877"/>
      <c r="CD10" s="877"/>
      <c r="CE10" s="877"/>
      <c r="CF10" s="877"/>
      <c r="CG10" s="877"/>
      <c r="CH10" s="877"/>
      <c r="CI10" s="877"/>
      <c r="CJ10" s="877"/>
      <c r="CK10" s="877"/>
      <c r="CL10" s="877"/>
      <c r="CM10" s="877"/>
      <c r="CN10" s="877"/>
      <c r="CO10" s="877"/>
      <c r="CP10" s="877"/>
      <c r="CQ10" s="877"/>
      <c r="CR10" s="877"/>
      <c r="CS10" s="877"/>
      <c r="CT10" s="877"/>
      <c r="CU10" s="877"/>
      <c r="CV10" s="877"/>
      <c r="CW10" s="877"/>
      <c r="CX10" s="877"/>
      <c r="CY10" s="877"/>
      <c r="CZ10" s="877"/>
      <c r="DA10" s="877"/>
      <c r="DB10" s="877"/>
      <c r="DC10" s="877"/>
      <c r="DD10" s="877"/>
      <c r="DE10" s="877"/>
      <c r="DF10" s="877"/>
      <c r="DG10" s="877"/>
      <c r="DH10" s="877"/>
      <c r="DI10" s="877"/>
      <c r="DJ10" s="877"/>
      <c r="DK10" s="877"/>
      <c r="DL10" s="877"/>
      <c r="DM10" s="877"/>
      <c r="DN10" s="877"/>
      <c r="DO10" s="877"/>
      <c r="DP10" s="877"/>
      <c r="DQ10" s="877"/>
      <c r="DR10" s="877"/>
      <c r="DS10" s="877"/>
      <c r="DT10" s="877"/>
      <c r="DU10" s="877"/>
      <c r="DV10" s="877"/>
      <c r="DW10" s="877"/>
      <c r="DX10" s="877"/>
      <c r="DY10" s="877"/>
      <c r="DZ10" s="877"/>
      <c r="EA10" s="877"/>
      <c r="EB10" s="877"/>
      <c r="EC10" s="877"/>
      <c r="ED10" s="877"/>
      <c r="EE10" s="877"/>
      <c r="EF10" s="877"/>
      <c r="EG10" s="877"/>
      <c r="EH10" s="877"/>
      <c r="EI10" s="877"/>
      <c r="EJ10" s="877"/>
      <c r="EK10" s="877"/>
      <c r="EL10" s="877"/>
      <c r="EM10" s="877"/>
      <c r="EN10" s="877"/>
      <c r="EO10" s="877"/>
      <c r="EP10" s="877"/>
      <c r="EQ10" s="877"/>
      <c r="ER10" s="877"/>
      <c r="ES10" s="877"/>
      <c r="ET10" s="877"/>
      <c r="EU10" s="877"/>
      <c r="EV10" s="877"/>
      <c r="EW10" s="877"/>
      <c r="EX10" s="877"/>
      <c r="EY10" s="877"/>
      <c r="EZ10" s="877"/>
      <c r="FA10" s="877"/>
      <c r="FB10" s="877"/>
      <c r="FC10" s="877"/>
      <c r="FD10" s="877"/>
      <c r="FE10" s="877"/>
      <c r="FF10" s="877"/>
      <c r="FG10" s="877"/>
      <c r="FH10" s="877"/>
      <c r="FI10" s="877"/>
      <c r="FJ10" s="877"/>
      <c r="FK10" s="877"/>
      <c r="FL10" s="877"/>
      <c r="FM10" s="877"/>
      <c r="FN10" s="877"/>
      <c r="FO10" s="877"/>
      <c r="FP10" s="877"/>
      <c r="FQ10" s="877"/>
      <c r="FR10" s="877"/>
      <c r="FS10" s="877"/>
      <c r="FT10" s="877"/>
      <c r="FU10" s="877"/>
      <c r="FV10" s="877"/>
      <c r="FW10" s="877"/>
      <c r="FX10" s="877"/>
      <c r="FY10" s="877"/>
      <c r="FZ10" s="877"/>
      <c r="GA10" s="877"/>
      <c r="GB10" s="877"/>
      <c r="GC10" s="877"/>
      <c r="GD10" s="877"/>
      <c r="GE10" s="877"/>
      <c r="GF10" s="877"/>
      <c r="GG10" s="877"/>
      <c r="GH10" s="877"/>
      <c r="GI10" s="877"/>
      <c r="GJ10" s="877"/>
      <c r="GK10" s="877"/>
      <c r="GL10" s="877"/>
      <c r="GM10" s="877"/>
      <c r="GN10" s="877"/>
      <c r="GO10" s="877"/>
      <c r="GP10" s="877"/>
      <c r="GQ10" s="877"/>
      <c r="GR10" s="877"/>
      <c r="GS10" s="877"/>
      <c r="GT10" s="877"/>
      <c r="GU10" s="877"/>
      <c r="GV10" s="877"/>
      <c r="GW10" s="877"/>
      <c r="GX10" s="877"/>
      <c r="GY10" s="877"/>
      <c r="GZ10" s="877"/>
      <c r="HA10" s="877"/>
      <c r="HB10" s="877"/>
      <c r="HC10" s="877"/>
      <c r="HD10" s="877"/>
      <c r="HE10" s="877"/>
      <c r="HF10" s="877"/>
      <c r="HG10" s="877"/>
      <c r="HH10" s="877"/>
      <c r="HI10" s="877"/>
      <c r="HJ10" s="877"/>
      <c r="HK10" s="877"/>
      <c r="HL10" s="877"/>
      <c r="HM10" s="877"/>
      <c r="HN10" s="877"/>
      <c r="HO10" s="877"/>
      <c r="HP10" s="877"/>
      <c r="HQ10" s="877"/>
      <c r="HR10" s="877"/>
      <c r="HS10" s="877"/>
      <c r="HT10" s="877"/>
      <c r="HU10" s="877"/>
      <c r="HV10" s="877"/>
      <c r="HW10" s="877"/>
      <c r="HX10" s="877"/>
      <c r="HY10" s="877"/>
      <c r="HZ10" s="877"/>
      <c r="IA10" s="877"/>
      <c r="IB10" s="877"/>
      <c r="IC10" s="877"/>
      <c r="ID10" s="877"/>
      <c r="IE10" s="877"/>
      <c r="IF10" s="877"/>
      <c r="IG10" s="877"/>
      <c r="IH10" s="877"/>
      <c r="II10" s="877"/>
      <c r="IJ10" s="877"/>
      <c r="IK10" s="877"/>
      <c r="IL10" s="877"/>
      <c r="IM10" s="877"/>
      <c r="IN10" s="877"/>
      <c r="IO10" s="877"/>
      <c r="IP10" s="877"/>
      <c r="IQ10" s="877"/>
      <c r="IR10" s="877"/>
    </row>
    <row r="11" spans="1:252" s="982" customFormat="1">
      <c r="A11" s="983"/>
      <c r="B11" s="102"/>
      <c r="C11" s="102"/>
      <c r="D11" s="102"/>
      <c r="E11" s="102"/>
      <c r="F11" s="102"/>
      <c r="G11" s="877"/>
      <c r="H11" s="102"/>
      <c r="I11" s="102"/>
      <c r="K11" s="107"/>
      <c r="L11" s="878"/>
      <c r="M11" s="878"/>
      <c r="N11" s="107"/>
      <c r="O11" s="107"/>
      <c r="P11" s="107"/>
      <c r="Q11" s="983"/>
      <c r="R11" s="984"/>
      <c r="S11" s="814"/>
      <c r="T11" s="984"/>
      <c r="U11" s="814"/>
      <c r="V11" s="814"/>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877"/>
      <c r="CT11" s="877"/>
      <c r="CU11" s="877"/>
      <c r="CV11" s="877"/>
      <c r="CW11" s="877"/>
      <c r="CX11" s="877"/>
      <c r="CY11" s="877"/>
      <c r="CZ11" s="877"/>
      <c r="DA11" s="877"/>
      <c r="DB11" s="877"/>
      <c r="DC11" s="877"/>
      <c r="DD11" s="877"/>
      <c r="DE11" s="877"/>
      <c r="DF11" s="877"/>
      <c r="DG11" s="877"/>
      <c r="DH11" s="877"/>
      <c r="DI11" s="877"/>
      <c r="DJ11" s="877"/>
      <c r="DK11" s="877"/>
      <c r="DL11" s="877"/>
      <c r="DM11" s="877"/>
      <c r="DN11" s="877"/>
      <c r="DO11" s="877"/>
      <c r="DP11" s="877"/>
      <c r="DQ11" s="877"/>
      <c r="DR11" s="877"/>
      <c r="DS11" s="877"/>
      <c r="DT11" s="877"/>
      <c r="DU11" s="877"/>
      <c r="DV11" s="877"/>
      <c r="DW11" s="877"/>
      <c r="DX11" s="877"/>
      <c r="DY11" s="877"/>
      <c r="DZ11" s="877"/>
      <c r="EA11" s="877"/>
      <c r="EB11" s="877"/>
      <c r="EC11" s="877"/>
      <c r="ED11" s="877"/>
      <c r="EE11" s="877"/>
      <c r="EF11" s="877"/>
      <c r="EG11" s="877"/>
      <c r="EH11" s="877"/>
      <c r="EI11" s="877"/>
      <c r="EJ11" s="877"/>
      <c r="EK11" s="877"/>
      <c r="EL11" s="877"/>
      <c r="EM11" s="877"/>
      <c r="EN11" s="877"/>
      <c r="EO11" s="877"/>
      <c r="EP11" s="877"/>
      <c r="EQ11" s="877"/>
      <c r="ER11" s="877"/>
      <c r="ES11" s="877"/>
      <c r="ET11" s="877"/>
      <c r="EU11" s="877"/>
      <c r="EV11" s="877"/>
      <c r="EW11" s="877"/>
      <c r="EX11" s="877"/>
      <c r="EY11" s="877"/>
      <c r="EZ11" s="877"/>
      <c r="FA11" s="877"/>
      <c r="FB11" s="877"/>
      <c r="FC11" s="877"/>
      <c r="FD11" s="877"/>
      <c r="FE11" s="877"/>
      <c r="FF11" s="877"/>
      <c r="FG11" s="877"/>
      <c r="FH11" s="877"/>
      <c r="FI11" s="877"/>
      <c r="FJ11" s="877"/>
      <c r="FK11" s="877"/>
      <c r="FL11" s="877"/>
      <c r="FM11" s="877"/>
      <c r="FN11" s="877"/>
      <c r="FO11" s="877"/>
      <c r="FP11" s="877"/>
      <c r="FQ11" s="877"/>
      <c r="FR11" s="877"/>
      <c r="FS11" s="877"/>
      <c r="FT11" s="877"/>
      <c r="FU11" s="877"/>
      <c r="FV11" s="877"/>
      <c r="FW11" s="877"/>
      <c r="FX11" s="877"/>
      <c r="FY11" s="877"/>
      <c r="FZ11" s="877"/>
      <c r="GA11" s="877"/>
      <c r="GB11" s="877"/>
      <c r="GC11" s="877"/>
      <c r="GD11" s="877"/>
      <c r="GE11" s="877"/>
      <c r="GF11" s="877"/>
      <c r="GG11" s="877"/>
      <c r="GH11" s="877"/>
      <c r="GI11" s="877"/>
      <c r="GJ11" s="877"/>
      <c r="GK11" s="877"/>
      <c r="GL11" s="877"/>
      <c r="GM11" s="877"/>
      <c r="GN11" s="877"/>
      <c r="GO11" s="877"/>
      <c r="GP11" s="877"/>
      <c r="GQ11" s="877"/>
      <c r="GR11" s="877"/>
      <c r="GS11" s="877"/>
      <c r="GT11" s="877"/>
      <c r="GU11" s="877"/>
      <c r="GV11" s="877"/>
      <c r="GW11" s="877"/>
      <c r="GX11" s="877"/>
      <c r="GY11" s="877"/>
      <c r="GZ11" s="877"/>
      <c r="HA11" s="877"/>
      <c r="HB11" s="877"/>
      <c r="HC11" s="877"/>
      <c r="HD11" s="877"/>
      <c r="HE11" s="877"/>
      <c r="HF11" s="877"/>
      <c r="HG11" s="877"/>
      <c r="HH11" s="877"/>
      <c r="HI11" s="877"/>
      <c r="HJ11" s="877"/>
      <c r="HK11" s="877"/>
      <c r="HL11" s="877"/>
      <c r="HM11" s="877"/>
      <c r="HN11" s="877"/>
      <c r="HO11" s="877"/>
      <c r="HP11" s="877"/>
      <c r="HQ11" s="877"/>
      <c r="HR11" s="877"/>
      <c r="HS11" s="877"/>
      <c r="HT11" s="877"/>
      <c r="HU11" s="877"/>
      <c r="HV11" s="877"/>
      <c r="HW11" s="877"/>
      <c r="HX11" s="877"/>
      <c r="HY11" s="877"/>
      <c r="HZ11" s="877"/>
      <c r="IA11" s="877"/>
      <c r="IB11" s="877"/>
      <c r="IC11" s="877"/>
      <c r="ID11" s="877"/>
      <c r="IE11" s="877"/>
      <c r="IF11" s="877"/>
      <c r="IG11" s="877"/>
      <c r="IH11" s="877"/>
      <c r="II11" s="877"/>
      <c r="IJ11" s="877"/>
      <c r="IK11" s="877"/>
      <c r="IL11" s="877"/>
      <c r="IM11" s="877"/>
      <c r="IN11" s="877"/>
      <c r="IO11" s="877"/>
      <c r="IP11" s="877"/>
      <c r="IQ11" s="877"/>
      <c r="IR11" s="877"/>
    </row>
    <row r="12" spans="1:252" ht="16.399999999999999" customHeight="1">
      <c r="A12" s="983"/>
      <c r="B12" s="107" t="s">
        <v>78</v>
      </c>
      <c r="C12" s="986"/>
      <c r="D12" s="107"/>
      <c r="E12" s="102"/>
      <c r="F12" s="107" t="s">
        <v>79</v>
      </c>
      <c r="G12" s="986"/>
      <c r="H12" s="107"/>
      <c r="I12" s="102"/>
      <c r="J12" s="107" t="s">
        <v>80</v>
      </c>
      <c r="K12" s="107"/>
      <c r="L12" s="878"/>
      <c r="M12" s="107"/>
      <c r="N12" s="107"/>
      <c r="O12" s="107"/>
      <c r="P12" s="107"/>
      <c r="Q12" s="983"/>
      <c r="R12" s="987"/>
      <c r="S12" s="3953" t="s">
        <v>813</v>
      </c>
      <c r="T12" s="3953"/>
      <c r="U12" s="3953"/>
      <c r="V12" s="814"/>
    </row>
    <row r="13" spans="1:252" ht="13.4" customHeight="1">
      <c r="A13" s="983"/>
      <c r="B13" s="988"/>
      <c r="C13" s="988"/>
      <c r="D13" s="988"/>
      <c r="E13" s="983"/>
      <c r="F13" s="988"/>
      <c r="G13" s="989"/>
      <c r="H13" s="988"/>
      <c r="I13" s="983"/>
      <c r="J13" s="988"/>
      <c r="K13" s="988"/>
      <c r="L13" s="988"/>
      <c r="M13" s="988"/>
      <c r="N13" s="988"/>
      <c r="O13" s="988"/>
      <c r="P13" s="988"/>
      <c r="Q13" s="983"/>
      <c r="R13" s="990"/>
      <c r="S13" s="983"/>
      <c r="T13" s="991"/>
      <c r="U13" s="813"/>
      <c r="V13" s="814"/>
    </row>
    <row r="14" spans="1:252" ht="16.399999999999999" customHeight="1">
      <c r="A14" s="983"/>
      <c r="B14" s="729" t="s">
        <v>6</v>
      </c>
      <c r="C14" s="102"/>
      <c r="D14" s="730" t="str">
        <f>'Exhibit A'!F11</f>
        <v>6 MOS. ENDED</v>
      </c>
      <c r="E14" s="102"/>
      <c r="F14" s="729" t="s">
        <v>6</v>
      </c>
      <c r="G14" s="731"/>
      <c r="H14" s="729" t="str">
        <f>D14</f>
        <v>6 MOS. ENDED</v>
      </c>
      <c r="I14" s="102"/>
      <c r="J14" s="729" t="s">
        <v>6</v>
      </c>
      <c r="K14" s="102"/>
      <c r="L14" s="729" t="str">
        <f>D14</f>
        <v>6 MOS. ENDED</v>
      </c>
      <c r="M14" s="102"/>
      <c r="N14" s="729" t="s">
        <v>6</v>
      </c>
      <c r="O14" s="102"/>
      <c r="P14" s="729" t="str">
        <f>H14</f>
        <v>6 MOS. ENDED</v>
      </c>
      <c r="Q14" s="983"/>
      <c r="R14" s="990"/>
      <c r="S14" s="3278" t="s">
        <v>7</v>
      </c>
      <c r="T14" s="207"/>
      <c r="U14" s="738" t="s">
        <v>8</v>
      </c>
      <c r="V14" s="814"/>
    </row>
    <row r="15" spans="1:252" ht="16.399999999999999" customHeight="1">
      <c r="A15" s="983"/>
      <c r="B15" s="894" t="str">
        <f>'Exhibit A'!D12</f>
        <v>SEP. 2021</v>
      </c>
      <c r="C15" s="102"/>
      <c r="D15" s="894" t="str">
        <f>'Exhibit A'!F12</f>
        <v>SEP. 30, 2021</v>
      </c>
      <c r="E15" s="102"/>
      <c r="F15" s="732" t="str">
        <f>+B15</f>
        <v>SEP. 2021</v>
      </c>
      <c r="G15" s="102"/>
      <c r="H15" s="733" t="str">
        <f>D15</f>
        <v>SEP. 30, 2021</v>
      </c>
      <c r="I15" s="102"/>
      <c r="J15" s="732" t="str">
        <f>+F15</f>
        <v>SEP. 2021</v>
      </c>
      <c r="K15" s="102"/>
      <c r="L15" s="733" t="str">
        <f>'Exhibit A'!X12</f>
        <v>SEP. 30, 2021</v>
      </c>
      <c r="M15" s="102"/>
      <c r="N15" s="3458" t="str">
        <f>'Exhibit A'!AB12</f>
        <v>SEP. 2020</v>
      </c>
      <c r="O15" s="102"/>
      <c r="P15" s="894" t="str">
        <f>'Exhibit A'!AD12</f>
        <v>SEP. 30, 2020</v>
      </c>
      <c r="Q15" s="983"/>
      <c r="R15" s="990"/>
      <c r="S15" s="3279" t="s">
        <v>11</v>
      </c>
      <c r="T15" s="206"/>
      <c r="U15" s="741" t="s">
        <v>12</v>
      </c>
      <c r="V15" s="814"/>
    </row>
    <row r="16" spans="1:252" ht="13.4" customHeight="1">
      <c r="A16" s="983"/>
      <c r="B16" s="985"/>
      <c r="C16" s="983"/>
      <c r="D16" s="985" t="s">
        <v>14</v>
      </c>
      <c r="E16" s="983"/>
      <c r="F16" s="988"/>
      <c r="G16" s="983"/>
      <c r="H16" s="992" t="s">
        <v>14</v>
      </c>
      <c r="I16" s="985"/>
      <c r="J16" s="993"/>
      <c r="K16" s="983"/>
      <c r="L16" s="994"/>
      <c r="M16" s="985"/>
      <c r="N16" s="985"/>
      <c r="O16" s="983"/>
      <c r="P16" s="985"/>
      <c r="Q16" s="983"/>
      <c r="R16" s="995"/>
      <c r="S16" s="814"/>
      <c r="T16" s="985"/>
      <c r="U16" s="814"/>
      <c r="V16" s="814"/>
    </row>
    <row r="17" spans="1:245" ht="16.399999999999999" customHeight="1">
      <c r="A17" s="102" t="s">
        <v>13</v>
      </c>
      <c r="B17" s="996"/>
      <c r="C17" s="996"/>
      <c r="D17" s="996"/>
      <c r="E17" s="996"/>
      <c r="F17" s="997"/>
      <c r="G17" s="996"/>
      <c r="H17" s="998"/>
      <c r="I17" s="997"/>
      <c r="J17" s="999"/>
      <c r="K17" s="996"/>
      <c r="L17" s="998"/>
      <c r="M17" s="997"/>
      <c r="N17" s="997"/>
      <c r="O17" s="996"/>
      <c r="P17" s="997"/>
      <c r="Q17" s="983"/>
      <c r="R17" s="1000"/>
      <c r="S17" s="814"/>
      <c r="T17" s="997"/>
      <c r="U17" s="814"/>
      <c r="V17" s="814"/>
    </row>
    <row r="18" spans="1:245" ht="16.399999999999999" customHeight="1">
      <c r="A18" s="983" t="s">
        <v>19</v>
      </c>
      <c r="B18" s="1001">
        <f>+'Exhibit L'!L16</f>
        <v>14.400000000000004</v>
      </c>
      <c r="C18" s="883"/>
      <c r="D18" s="882">
        <f>+'Exhibit L'!AA16</f>
        <v>66.900000000000006</v>
      </c>
      <c r="E18" s="883"/>
      <c r="F18" s="1002">
        <f>'Exhibit M'!L16</f>
        <v>0.59999999999999987</v>
      </c>
      <c r="G18" s="883"/>
      <c r="H18" s="1003">
        <f>+'Exhibit M'!AA16</f>
        <v>2.7</v>
      </c>
      <c r="I18" s="1004"/>
      <c r="J18" s="1005">
        <f>SUM(B18)+SUM(F18)</f>
        <v>15.000000000000004</v>
      </c>
      <c r="K18" s="883"/>
      <c r="L18" s="1003">
        <f>D18+SUM(H18)</f>
        <v>69.600000000000009</v>
      </c>
      <c r="M18" s="1004"/>
      <c r="N18" s="3459">
        <v>14.3</v>
      </c>
      <c r="O18" s="883"/>
      <c r="P18" s="3459">
        <f>'Exhibit L'!AD16+'Exhibit M'!AD16</f>
        <v>62.6</v>
      </c>
      <c r="Q18" s="1006"/>
      <c r="R18" s="1007"/>
      <c r="S18" s="1112">
        <f>ROUND(SUM(L18-P18),1)</f>
        <v>7</v>
      </c>
      <c r="T18" s="1008"/>
      <c r="U18" s="1371">
        <f>ROUND(IF(S18=0,0,S18/ABS(P18)),3)</f>
        <v>0.112</v>
      </c>
      <c r="V18" s="1009"/>
      <c r="W18" s="1010"/>
      <c r="X18" s="1010"/>
      <c r="Y18" s="1010"/>
      <c r="Z18" s="1010"/>
      <c r="AA18" s="1010"/>
      <c r="AB18" s="1010"/>
      <c r="AC18" s="1010"/>
      <c r="AD18" s="1010"/>
      <c r="AE18" s="1010"/>
      <c r="AF18" s="1010"/>
      <c r="AG18" s="1010"/>
      <c r="AH18" s="1010"/>
      <c r="AI18" s="1010"/>
      <c r="AJ18" s="1010"/>
      <c r="AK18" s="1010"/>
      <c r="AL18" s="1010"/>
      <c r="AM18" s="1010"/>
      <c r="AN18" s="1010"/>
      <c r="AO18" s="1010"/>
      <c r="AP18" s="1010"/>
      <c r="AQ18" s="1010"/>
      <c r="AR18" s="1010"/>
      <c r="AS18" s="1010"/>
      <c r="AT18" s="1010"/>
      <c r="AU18" s="1010"/>
      <c r="AV18" s="1010"/>
      <c r="AW18" s="1010"/>
      <c r="AX18" s="1010"/>
      <c r="AY18" s="1010"/>
      <c r="AZ18" s="1010"/>
      <c r="BA18" s="1010"/>
      <c r="BB18" s="1010"/>
      <c r="BC18" s="1010"/>
      <c r="BD18" s="1010"/>
      <c r="BE18" s="1010"/>
      <c r="BF18" s="1010"/>
      <c r="BG18" s="1010"/>
      <c r="BH18" s="1010"/>
      <c r="BI18" s="1010"/>
      <c r="BJ18" s="1010"/>
      <c r="BK18" s="1010"/>
      <c r="BL18" s="1010"/>
      <c r="BM18" s="1010"/>
      <c r="BN18" s="1010"/>
      <c r="BO18" s="1010"/>
      <c r="BP18" s="1010"/>
      <c r="BQ18" s="1010"/>
      <c r="BR18" s="1010"/>
      <c r="BS18" s="1010"/>
      <c r="BT18" s="1010"/>
      <c r="BU18" s="1010"/>
      <c r="BV18" s="1010"/>
      <c r="BW18" s="1010"/>
      <c r="BX18" s="1010"/>
      <c r="BY18" s="1010"/>
      <c r="BZ18" s="1010"/>
      <c r="CA18" s="1010"/>
      <c r="CB18" s="1010"/>
      <c r="CC18" s="1010"/>
      <c r="CD18" s="1010"/>
      <c r="CE18" s="1010"/>
      <c r="CF18" s="1010"/>
      <c r="CG18" s="1010"/>
      <c r="CH18" s="1010"/>
      <c r="CI18" s="1010"/>
      <c r="CJ18" s="1010"/>
      <c r="CK18" s="1010"/>
      <c r="CL18" s="1010"/>
      <c r="CM18" s="1010"/>
      <c r="CN18" s="1010"/>
      <c r="CO18" s="1010"/>
      <c r="CP18" s="1010"/>
      <c r="CQ18" s="1010"/>
      <c r="CR18" s="1010"/>
      <c r="CS18" s="1010"/>
      <c r="CT18" s="1010"/>
      <c r="CU18" s="1010"/>
      <c r="CV18" s="1010"/>
      <c r="CW18" s="1010"/>
      <c r="CX18" s="1010"/>
      <c r="CY18" s="1010"/>
      <c r="CZ18" s="1010"/>
      <c r="DA18" s="1010"/>
      <c r="DB18" s="1010"/>
      <c r="DC18" s="1010"/>
      <c r="DD18" s="1010"/>
      <c r="DE18" s="1010"/>
      <c r="DF18" s="1010"/>
      <c r="DG18" s="1010"/>
      <c r="DH18" s="1010"/>
      <c r="DI18" s="1010"/>
      <c r="DJ18" s="1010"/>
      <c r="DK18" s="1010"/>
      <c r="DL18" s="1010"/>
      <c r="DM18" s="1010"/>
      <c r="DN18" s="1010"/>
      <c r="DO18" s="1010"/>
      <c r="DP18" s="1010"/>
      <c r="DQ18" s="1010"/>
      <c r="DR18" s="1010"/>
      <c r="DS18" s="1010"/>
      <c r="DT18" s="1010"/>
      <c r="DU18" s="1010"/>
      <c r="DV18" s="1010"/>
      <c r="DW18" s="1010"/>
      <c r="DX18" s="1010"/>
      <c r="DY18" s="1010"/>
      <c r="DZ18" s="1010"/>
      <c r="EA18" s="1010"/>
      <c r="EB18" s="1010"/>
      <c r="EC18" s="1010"/>
      <c r="ED18" s="1010"/>
      <c r="EE18" s="1010"/>
      <c r="EF18" s="1010"/>
      <c r="EG18" s="1010"/>
      <c r="EH18" s="1010"/>
      <c r="EI18" s="1010"/>
      <c r="EJ18" s="1010"/>
      <c r="EK18" s="1010"/>
      <c r="EL18" s="1010"/>
      <c r="EM18" s="1010"/>
      <c r="EN18" s="1010"/>
      <c r="EO18" s="1010"/>
      <c r="EP18" s="1010"/>
      <c r="EQ18" s="1010"/>
      <c r="ER18" s="1010"/>
      <c r="ES18" s="1010"/>
      <c r="ET18" s="1010"/>
      <c r="EU18" s="1010"/>
      <c r="EV18" s="1010"/>
      <c r="EW18" s="1010"/>
      <c r="EX18" s="1010"/>
      <c r="EY18" s="1010"/>
      <c r="EZ18" s="1010"/>
      <c r="FA18" s="1010"/>
      <c r="FB18" s="1010"/>
      <c r="FC18" s="1010"/>
      <c r="FD18" s="1010"/>
      <c r="FE18" s="1010"/>
      <c r="FF18" s="1010"/>
      <c r="FG18" s="1010"/>
      <c r="FH18" s="1010"/>
      <c r="FI18" s="1010"/>
      <c r="FJ18" s="1010"/>
      <c r="FK18" s="1010"/>
      <c r="FL18" s="1010"/>
      <c r="FM18" s="1010"/>
      <c r="FN18" s="1010"/>
      <c r="FO18" s="1010"/>
      <c r="FP18" s="1010"/>
      <c r="FQ18" s="1010"/>
      <c r="FR18" s="1010"/>
      <c r="FS18" s="1010"/>
      <c r="FT18" s="1010"/>
      <c r="FU18" s="1010"/>
      <c r="FV18" s="1010"/>
      <c r="FW18" s="1010"/>
      <c r="FX18" s="1010"/>
      <c r="FY18" s="1010"/>
      <c r="FZ18" s="1010"/>
      <c r="GA18" s="1010"/>
      <c r="GB18" s="1010"/>
      <c r="GC18" s="1010"/>
      <c r="GD18" s="1010"/>
      <c r="GE18" s="1010"/>
      <c r="GF18" s="1010"/>
      <c r="GG18" s="1010"/>
      <c r="GH18" s="1010"/>
      <c r="GI18" s="1010"/>
      <c r="GJ18" s="1010"/>
      <c r="GK18" s="1010"/>
      <c r="GL18" s="1010"/>
      <c r="GM18" s="1010"/>
      <c r="GN18" s="1010"/>
      <c r="GO18" s="1010"/>
      <c r="GP18" s="1010"/>
      <c r="GQ18" s="1010"/>
      <c r="GR18" s="1010"/>
      <c r="GS18" s="1010"/>
      <c r="GT18" s="1010"/>
      <c r="GU18" s="1010"/>
      <c r="GV18" s="1010"/>
      <c r="GW18" s="1010"/>
      <c r="GX18" s="1010"/>
      <c r="GY18" s="1010"/>
      <c r="GZ18" s="1010"/>
      <c r="HA18" s="1010"/>
      <c r="HB18" s="1010"/>
      <c r="HC18" s="1010"/>
      <c r="HD18" s="1010"/>
      <c r="HE18" s="1010"/>
      <c r="HF18" s="1010"/>
      <c r="HG18" s="1010"/>
      <c r="HH18" s="1010"/>
      <c r="HI18" s="1010"/>
      <c r="HJ18" s="1010"/>
      <c r="HK18" s="1010"/>
      <c r="HL18" s="1010"/>
      <c r="HM18" s="1010"/>
      <c r="HN18" s="1010"/>
      <c r="HO18" s="1010"/>
      <c r="HP18" s="1010"/>
      <c r="HQ18" s="1010"/>
      <c r="HR18" s="1010"/>
      <c r="HS18" s="1010"/>
      <c r="HT18" s="1010"/>
      <c r="HU18" s="1010"/>
      <c r="HV18" s="1010"/>
      <c r="HW18" s="1010"/>
      <c r="HX18" s="1010"/>
      <c r="HY18" s="1010"/>
      <c r="HZ18" s="1010"/>
      <c r="IA18" s="1010"/>
      <c r="IB18" s="1010"/>
      <c r="IC18" s="1010"/>
      <c r="ID18" s="1010"/>
      <c r="IE18" s="1010"/>
      <c r="IF18" s="1010"/>
      <c r="IG18" s="1010"/>
      <c r="IH18" s="1010"/>
      <c r="II18" s="1010"/>
      <c r="IJ18" s="1010"/>
      <c r="IK18" s="1010"/>
    </row>
    <row r="19" spans="1:245">
      <c r="A19" s="102" t="s">
        <v>21</v>
      </c>
      <c r="B19" s="108">
        <f>ROUND(SUM(B18),1)</f>
        <v>14.4</v>
      </c>
      <c r="C19" s="109"/>
      <c r="D19" s="108">
        <f>ROUND(SUM(D18),1)</f>
        <v>66.900000000000006</v>
      </c>
      <c r="E19" s="109"/>
      <c r="F19" s="110">
        <f>ROUND(SUM(F18),1)</f>
        <v>0.6</v>
      </c>
      <c r="G19" s="109"/>
      <c r="H19" s="111">
        <f>ROUND(SUM(H18),1)</f>
        <v>2.7</v>
      </c>
      <c r="I19" s="112"/>
      <c r="J19" s="113">
        <f>ROUND(SUM(J18),1)</f>
        <v>15</v>
      </c>
      <c r="K19" s="109"/>
      <c r="L19" s="111">
        <f>ROUND(SUM(L18),1)</f>
        <v>69.599999999999994</v>
      </c>
      <c r="M19" s="112"/>
      <c r="N19" s="108">
        <f>ROUND(SUM(N18),1)</f>
        <v>14.3</v>
      </c>
      <c r="O19" s="109"/>
      <c r="P19" s="108">
        <f>ROUND(SUM(P18),1)</f>
        <v>62.6</v>
      </c>
      <c r="Q19" s="731"/>
      <c r="R19" s="1011"/>
      <c r="S19" s="1038">
        <f>ROUND(SUM(S18),3)</f>
        <v>7</v>
      </c>
      <c r="T19" s="640"/>
      <c r="U19" s="1039">
        <f>ROUND(+S19/P19,3)</f>
        <v>0.112</v>
      </c>
      <c r="V19" s="814"/>
    </row>
    <row r="20" spans="1:245">
      <c r="A20" s="102"/>
      <c r="B20" s="884"/>
      <c r="C20" s="884"/>
      <c r="D20" s="884"/>
      <c r="E20" s="884"/>
      <c r="F20" s="884"/>
      <c r="G20" s="884"/>
      <c r="H20" s="1012"/>
      <c r="I20" s="1013"/>
      <c r="J20" s="1014"/>
      <c r="K20" s="884"/>
      <c r="L20" s="1015"/>
      <c r="M20" s="1013"/>
      <c r="N20" s="1013"/>
      <c r="O20" s="884"/>
      <c r="P20" s="1013"/>
      <c r="R20" s="1000"/>
      <c r="S20" s="1037"/>
      <c r="T20" s="997"/>
      <c r="U20" s="814"/>
      <c r="V20" s="814"/>
    </row>
    <row r="21" spans="1:245" ht="16.399999999999999" customHeight="1">
      <c r="A21" s="102" t="s">
        <v>22</v>
      </c>
      <c r="B21" s="884"/>
      <c r="C21" s="884"/>
      <c r="D21" s="884"/>
      <c r="E21" s="884"/>
      <c r="F21" s="884"/>
      <c r="G21" s="884"/>
      <c r="H21" s="1015"/>
      <c r="I21" s="1013"/>
      <c r="J21" s="1014"/>
      <c r="K21" s="884"/>
      <c r="L21" s="1015"/>
      <c r="M21" s="1013"/>
      <c r="N21" s="1013"/>
      <c r="O21" s="884"/>
      <c r="P21" s="1013"/>
      <c r="R21" s="1000"/>
      <c r="S21" s="1037"/>
      <c r="T21" s="997"/>
      <c r="U21" s="814"/>
      <c r="V21" s="814"/>
    </row>
    <row r="22" spans="1:245" ht="16.399999999999999" customHeight="1">
      <c r="A22" s="983" t="s">
        <v>35</v>
      </c>
      <c r="B22" s="884"/>
      <c r="C22" s="884"/>
      <c r="D22" s="884"/>
      <c r="E22" s="884"/>
      <c r="F22" s="884"/>
      <c r="G22" s="884"/>
      <c r="H22" s="1015"/>
      <c r="I22" s="1013"/>
      <c r="J22" s="1014"/>
      <c r="K22" s="884"/>
      <c r="L22" s="1015"/>
      <c r="M22" s="1013"/>
      <c r="N22" s="1013"/>
      <c r="O22" s="884"/>
      <c r="P22" s="1013"/>
      <c r="R22" s="1000"/>
      <c r="S22" s="1037"/>
      <c r="T22" s="997"/>
      <c r="U22" s="814"/>
      <c r="V22" s="814"/>
    </row>
    <row r="23" spans="1:245" ht="16.399999999999999" customHeight="1">
      <c r="A23" s="983" t="s">
        <v>66</v>
      </c>
      <c r="B23" s="673">
        <f>+'Exhibit L'!L22</f>
        <v>8.3000000000000043</v>
      </c>
      <c r="C23" s="884"/>
      <c r="D23" s="673">
        <f>+'Exhibit L'!AA22</f>
        <v>37.200000000000003</v>
      </c>
      <c r="E23" s="884"/>
      <c r="F23" s="1016">
        <f>+'Exhibit M'!L22</f>
        <v>0.1</v>
      </c>
      <c r="G23" s="884"/>
      <c r="H23" s="1017">
        <f>+'Exhibit M'!AA22</f>
        <v>0.2</v>
      </c>
      <c r="I23" s="1013"/>
      <c r="J23" s="1018">
        <f>SUM(B23)+SUM(F23)</f>
        <v>8.4000000000000039</v>
      </c>
      <c r="K23" s="884"/>
      <c r="L23" s="1019">
        <f>SUM(D23)+SUM(H23)</f>
        <v>37.400000000000006</v>
      </c>
      <c r="M23" s="1013"/>
      <c r="N23" s="1020">
        <v>8.3000000000000007</v>
      </c>
      <c r="O23" s="884"/>
      <c r="P23" s="1020">
        <f>'Exhibit L'!AD22+'Exhibit M'!AD22</f>
        <v>38.800000000000004</v>
      </c>
      <c r="R23" s="1000"/>
      <c r="S23" s="1037">
        <f>ROUND(SUM(L23-P23),1)</f>
        <v>-1.4</v>
      </c>
      <c r="T23" s="997"/>
      <c r="U23" s="1371">
        <f>ROUND(IF(S23=0,0,S23/ABS(P23)),3)</f>
        <v>-3.5999999999999997E-2</v>
      </c>
      <c r="V23" s="814"/>
    </row>
    <row r="24" spans="1:245" ht="16.399999999999999" customHeight="1">
      <c r="A24" s="983" t="s">
        <v>67</v>
      </c>
      <c r="B24" s="673">
        <f>+'Exhibit L'!L23</f>
        <v>0.90000000000000036</v>
      </c>
      <c r="C24" s="884"/>
      <c r="D24" s="1020">
        <f>+'Exhibit L'!AA23</f>
        <v>6.4</v>
      </c>
      <c r="E24" s="884"/>
      <c r="F24" s="1016">
        <f>+'Exhibit M'!L23</f>
        <v>0</v>
      </c>
      <c r="G24" s="884"/>
      <c r="H24" s="1017">
        <f>+'Exhibit M'!AA23</f>
        <v>0</v>
      </c>
      <c r="I24" s="1013"/>
      <c r="J24" s="1018">
        <f>SUM(B24)+SUM(F24)</f>
        <v>0.90000000000000036</v>
      </c>
      <c r="K24" s="884"/>
      <c r="L24" s="1019">
        <f>SUM(D24)+SUM(H24)</f>
        <v>6.4</v>
      </c>
      <c r="M24" s="1013"/>
      <c r="N24" s="1020">
        <v>0.8</v>
      </c>
      <c r="O24" s="1013"/>
      <c r="P24" s="1020">
        <f>'Exhibit L'!AD23+'Exhibit M'!AD23</f>
        <v>4.5999999999999996</v>
      </c>
      <c r="R24" s="1000"/>
      <c r="S24" s="1037">
        <f>ROUND(SUM(L24-P24),1)</f>
        <v>1.8</v>
      </c>
      <c r="T24" s="997"/>
      <c r="U24" s="1371">
        <f>ROUND(IF(S24=0,0,S24/ABS(P24)),3)</f>
        <v>0.39100000000000001</v>
      </c>
      <c r="V24" s="814"/>
    </row>
    <row r="25" spans="1:245" ht="16.399999999999999" customHeight="1">
      <c r="A25" s="983" t="s">
        <v>68</v>
      </c>
      <c r="B25" s="673">
        <f>+'Exhibit L'!L24</f>
        <v>3.5000000000000009</v>
      </c>
      <c r="C25" s="884"/>
      <c r="D25" s="1021">
        <f>+'Exhibit L'!AA24</f>
        <v>23.3</v>
      </c>
      <c r="E25" s="884"/>
      <c r="F25" s="1016">
        <f>+'Exhibit M'!L24</f>
        <v>0</v>
      </c>
      <c r="G25" s="884"/>
      <c r="H25" s="1022">
        <f>+'Exhibit M'!AA24</f>
        <v>0.1</v>
      </c>
      <c r="I25" s="1013"/>
      <c r="J25" s="1018">
        <f>SUM(B25)+SUM(F25)</f>
        <v>3.5000000000000009</v>
      </c>
      <c r="K25" s="884"/>
      <c r="L25" s="1023">
        <f>SUM(D25)+SUM(H25)</f>
        <v>23.400000000000002</v>
      </c>
      <c r="M25" s="1013"/>
      <c r="N25" s="1020">
        <v>3.5</v>
      </c>
      <c r="O25" s="3460"/>
      <c r="P25" s="1020">
        <f>'Exhibit L'!AD24+'Exhibit M'!AD24</f>
        <v>22.500000000000004</v>
      </c>
      <c r="R25" s="1000"/>
      <c r="S25" s="1037">
        <f>ROUND(SUM(L25-P25),1)</f>
        <v>0.9</v>
      </c>
      <c r="T25" s="997"/>
      <c r="U25" s="3637">
        <f>ROUND(IF(P25=0,1,S25/ABS(P25)),3)</f>
        <v>0.04</v>
      </c>
      <c r="V25" s="814"/>
    </row>
    <row r="26" spans="1:245">
      <c r="A26" s="102" t="s">
        <v>56</v>
      </c>
      <c r="B26" s="108">
        <f>ROUND(SUM(B23:B25),1)</f>
        <v>12.7</v>
      </c>
      <c r="C26" s="109"/>
      <c r="D26" s="108">
        <f>ROUND(SUM(D23:D25),1)</f>
        <v>66.900000000000006</v>
      </c>
      <c r="E26" s="109"/>
      <c r="F26" s="108">
        <f>ROUND(SUM(F23:F25),1)</f>
        <v>0.1</v>
      </c>
      <c r="G26" s="109"/>
      <c r="H26" s="111">
        <f>ROUND(SUM(H23:H25),1)</f>
        <v>0.3</v>
      </c>
      <c r="I26" s="112"/>
      <c r="J26" s="113">
        <f>ROUND(SUM(J23:J25),1)</f>
        <v>12.8</v>
      </c>
      <c r="K26" s="109"/>
      <c r="L26" s="111">
        <f>ROUND(SUM(L23:L25),1)</f>
        <v>67.2</v>
      </c>
      <c r="M26" s="112"/>
      <c r="N26" s="108">
        <f>ROUND(SUM(N23:N25),1)</f>
        <v>12.6</v>
      </c>
      <c r="O26" s="109"/>
      <c r="P26" s="108">
        <f>ROUND(SUM(P23:P25),1)</f>
        <v>65.900000000000006</v>
      </c>
      <c r="Q26" s="731"/>
      <c r="R26" s="979"/>
      <c r="S26" s="1038">
        <f>ROUND(SUM(S23:S25),3)</f>
        <v>1.3</v>
      </c>
      <c r="T26" s="640"/>
      <c r="U26" s="3641">
        <f>ROUND(S26/P26,3)</f>
        <v>0.02</v>
      </c>
      <c r="V26" s="814"/>
    </row>
    <row r="27" spans="1:245">
      <c r="A27" s="102"/>
      <c r="B27" s="884"/>
      <c r="C27" s="884"/>
      <c r="D27" s="884"/>
      <c r="E27" s="884"/>
      <c r="F27" s="884"/>
      <c r="G27" s="884"/>
      <c r="H27" s="1015"/>
      <c r="I27" s="1013"/>
      <c r="J27" s="1014"/>
      <c r="K27" s="884"/>
      <c r="L27" s="1015"/>
      <c r="M27" s="1013"/>
      <c r="N27" s="1013"/>
      <c r="O27" s="884"/>
      <c r="P27" s="1013"/>
      <c r="R27" s="1000"/>
      <c r="S27" s="1037"/>
      <c r="T27" s="997"/>
      <c r="U27" s="814"/>
      <c r="V27" s="814"/>
    </row>
    <row r="28" spans="1:245" ht="16.399999999999999" customHeight="1">
      <c r="A28" s="102" t="s">
        <v>43</v>
      </c>
      <c r="B28" s="884"/>
      <c r="C28" s="884"/>
      <c r="D28" s="884"/>
      <c r="E28" s="884"/>
      <c r="F28" s="884"/>
      <c r="G28" s="884"/>
      <c r="H28" s="1015"/>
      <c r="I28" s="1013"/>
      <c r="J28" s="1014"/>
      <c r="K28" s="884"/>
      <c r="L28" s="1015"/>
      <c r="M28" s="1013"/>
      <c r="N28" s="1013"/>
      <c r="O28" s="884"/>
      <c r="P28" s="1013"/>
      <c r="R28" s="1000"/>
      <c r="S28" s="1037"/>
      <c r="T28" s="997"/>
      <c r="U28" s="814"/>
      <c r="V28" s="814"/>
    </row>
    <row r="29" spans="1:245">
      <c r="A29" s="102" t="s">
        <v>70</v>
      </c>
      <c r="B29" s="117">
        <f>ROUND(SUM(B19-B26),1)</f>
        <v>1.7</v>
      </c>
      <c r="C29" s="109"/>
      <c r="D29" s="117">
        <f>ROUND(SUM(D19-D26),1)</f>
        <v>0</v>
      </c>
      <c r="E29" s="109"/>
      <c r="F29" s="117">
        <f>ROUND(SUM(F19-F26),1)</f>
        <v>0.5</v>
      </c>
      <c r="G29" s="109"/>
      <c r="H29" s="118">
        <f>ROUND(SUM(H19-H26),1)</f>
        <v>2.4</v>
      </c>
      <c r="I29" s="112"/>
      <c r="J29" s="119">
        <f>ROUND(SUM(J19-J26),1)</f>
        <v>2.2000000000000002</v>
      </c>
      <c r="K29" s="112"/>
      <c r="L29" s="118">
        <f>ROUND(SUM(L19-L26),1)</f>
        <v>2.4</v>
      </c>
      <c r="M29" s="112"/>
      <c r="N29" s="117">
        <f>ROUND(SUM(N19-N26),1)</f>
        <v>1.7</v>
      </c>
      <c r="O29" s="112"/>
      <c r="P29" s="117">
        <f>ROUND(SUM(P19-P26),1)</f>
        <v>-3.3</v>
      </c>
      <c r="Q29" s="731"/>
      <c r="R29" s="1000"/>
      <c r="S29" s="1544">
        <f>ROUND(SUM(L29-P29),1)</f>
        <v>5.7</v>
      </c>
      <c r="T29" s="997"/>
      <c r="U29" s="2108">
        <f>ROUND(IF(P29=0,1,S29/ABS(P29)),3)</f>
        <v>1.7270000000000001</v>
      </c>
      <c r="V29" s="814"/>
    </row>
    <row r="30" spans="1:245">
      <c r="A30" s="983"/>
      <c r="B30" s="884"/>
      <c r="C30" s="884"/>
      <c r="D30" s="884"/>
      <c r="E30" s="884"/>
      <c r="F30" s="884"/>
      <c r="G30" s="884"/>
      <c r="H30" s="1015"/>
      <c r="I30" s="1013"/>
      <c r="J30" s="1014"/>
      <c r="K30" s="884"/>
      <c r="L30" s="1015"/>
      <c r="M30" s="1013"/>
      <c r="N30" s="1013"/>
      <c r="O30" s="884"/>
      <c r="P30" s="1013"/>
      <c r="R30" s="1000"/>
      <c r="S30" s="1037"/>
      <c r="T30" s="997"/>
      <c r="U30" s="814"/>
      <c r="V30" s="814"/>
    </row>
    <row r="31" spans="1:245" ht="16.399999999999999" customHeight="1">
      <c r="A31" s="102" t="s">
        <v>45</v>
      </c>
      <c r="B31" s="884"/>
      <c r="C31" s="884"/>
      <c r="D31" s="884"/>
      <c r="E31" s="884"/>
      <c r="F31" s="884"/>
      <c r="G31" s="884"/>
      <c r="H31" s="1015"/>
      <c r="I31" s="1013"/>
      <c r="J31" s="1014"/>
      <c r="K31" s="884"/>
      <c r="L31" s="1015"/>
      <c r="M31" s="1013"/>
      <c r="N31" s="1013"/>
      <c r="O31" s="884"/>
      <c r="P31" s="1013"/>
      <c r="R31" s="1000"/>
      <c r="S31" s="1037"/>
      <c r="T31" s="997"/>
      <c r="U31" s="814"/>
      <c r="V31" s="814"/>
    </row>
    <row r="32" spans="1:245" ht="16.399999999999999" customHeight="1">
      <c r="A32" s="983" t="s">
        <v>46</v>
      </c>
      <c r="B32" s="1016">
        <f>+'Exhibit L'!L31</f>
        <v>0</v>
      </c>
      <c r="C32" s="884"/>
      <c r="D32" s="1016">
        <f>+'Exhibit L'!AA31</f>
        <v>0</v>
      </c>
      <c r="E32" s="884"/>
      <c r="F32" s="1016">
        <f>+'Exhibit M'!L31</f>
        <v>0</v>
      </c>
      <c r="G32" s="673"/>
      <c r="H32" s="1024">
        <f>+'Exhibit M'!AA31</f>
        <v>0</v>
      </c>
      <c r="I32" s="1013"/>
      <c r="J32" s="1025">
        <f>SUM(B32)+SUM(F32)</f>
        <v>0</v>
      </c>
      <c r="K32" s="884"/>
      <c r="L32" s="1017">
        <f>SUM(D32)+SUM(H32)</f>
        <v>0</v>
      </c>
      <c r="M32" s="1013"/>
      <c r="N32" s="1020">
        <v>0</v>
      </c>
      <c r="O32" s="1013"/>
      <c r="P32" s="1021">
        <f>'Exhibit L'!AD31+'Exhibit M'!AD31</f>
        <v>0</v>
      </c>
      <c r="R32" s="1026"/>
      <c r="S32" s="1037">
        <f>ROUND(SUM(L32-P32),1)</f>
        <v>0</v>
      </c>
      <c r="T32" s="658"/>
      <c r="U32" s="1371">
        <f>ROUND(IF(S32=0,0,S32/ABS(P32)),3)</f>
        <v>0</v>
      </c>
      <c r="V32" s="814"/>
    </row>
    <row r="33" spans="1:245" ht="16.399999999999999" customHeight="1">
      <c r="A33" s="983" t="s">
        <v>71</v>
      </c>
      <c r="B33" s="1016">
        <f>+'Exhibit L'!L32</f>
        <v>0</v>
      </c>
      <c r="C33" s="884"/>
      <c r="D33" s="1027">
        <f>+'Exhibit L'!AA32</f>
        <v>0</v>
      </c>
      <c r="E33" s="884"/>
      <c r="F33" s="1016">
        <f>+'Exhibit M'!L32</f>
        <v>0</v>
      </c>
      <c r="G33" s="884"/>
      <c r="H33" s="1024">
        <f>+'Exhibit M'!AA32</f>
        <v>0</v>
      </c>
      <c r="I33" s="1013"/>
      <c r="J33" s="1025">
        <f>SUM(B33)+SUM(F33)</f>
        <v>0</v>
      </c>
      <c r="K33" s="884"/>
      <c r="L33" s="1028">
        <f>SUM(D33)+SUM(H33)</f>
        <v>0</v>
      </c>
      <c r="M33" s="1013"/>
      <c r="N33" s="1020">
        <v>0</v>
      </c>
      <c r="O33" s="3460"/>
      <c r="P33" s="1021">
        <f>'Exhibit L'!AD32+'Exhibit M'!AD32</f>
        <v>0</v>
      </c>
      <c r="R33" s="1029"/>
      <c r="S33" s="1037">
        <f>ROUND(SUM(L33-P33),1)</f>
        <v>0</v>
      </c>
      <c r="T33" s="658"/>
      <c r="U33" s="1371">
        <f>ROUND(IF(S33=0,0,S33/ABS(P33)),3)</f>
        <v>0</v>
      </c>
      <c r="V33" s="814"/>
    </row>
    <row r="34" spans="1:245">
      <c r="A34" s="102" t="s">
        <v>48</v>
      </c>
      <c r="B34" s="120">
        <f>ROUND(SUM(B32:B33),1)</f>
        <v>0</v>
      </c>
      <c r="C34" s="109"/>
      <c r="D34" s="120">
        <f>ROUND(SUM(D32:D33),1)</f>
        <v>0</v>
      </c>
      <c r="E34" s="109"/>
      <c r="F34" s="120">
        <f>ROUND(SUM(F32:F33),1)</f>
        <v>0</v>
      </c>
      <c r="G34" s="109"/>
      <c r="H34" s="121">
        <f>ROUND(SUM(H32:H33),1)</f>
        <v>0</v>
      </c>
      <c r="I34" s="112"/>
      <c r="J34" s="122">
        <f>ROUND(SUM(J32:J33),1)</f>
        <v>0</v>
      </c>
      <c r="K34" s="109"/>
      <c r="L34" s="111">
        <f>ROUND(SUM(L32:L33),1)</f>
        <v>0</v>
      </c>
      <c r="M34" s="112"/>
      <c r="N34" s="108">
        <f>ROUND(SUM(N32:N33),1)</f>
        <v>0</v>
      </c>
      <c r="O34" s="109"/>
      <c r="P34" s="108">
        <f>ROUND(SUM(P32:P33),1)</f>
        <v>0</v>
      </c>
      <c r="R34" s="1030"/>
      <c r="S34" s="3280">
        <f>ROUND(SUM(S32-S33),3)</f>
        <v>0</v>
      </c>
      <c r="T34" s="1389"/>
      <c r="U34" s="1068">
        <f>ROUND(IF(P34=0,0,S34/ABS(P34)),3)</f>
        <v>0</v>
      </c>
      <c r="V34" s="814"/>
    </row>
    <row r="35" spans="1:245">
      <c r="A35" s="102"/>
      <c r="B35" s="1031"/>
      <c r="C35" s="884"/>
      <c r="D35" s="1031"/>
      <c r="E35" s="884"/>
      <c r="F35" s="1013"/>
      <c r="G35" s="884"/>
      <c r="H35" s="1015"/>
      <c r="I35" s="1013"/>
      <c r="J35" s="1014"/>
      <c r="K35" s="884"/>
      <c r="L35" s="1032"/>
      <c r="M35" s="1013"/>
      <c r="N35" s="1013"/>
      <c r="O35" s="884"/>
      <c r="P35" s="1013"/>
      <c r="R35" s="1000"/>
      <c r="S35" s="1037"/>
      <c r="T35" s="997"/>
      <c r="U35" s="814"/>
      <c r="V35" s="814"/>
    </row>
    <row r="36" spans="1:245" ht="15.75" customHeight="1">
      <c r="A36" s="102" t="s">
        <v>43</v>
      </c>
      <c r="B36" s="884"/>
      <c r="C36" s="884"/>
      <c r="D36" s="884"/>
      <c r="E36" s="884"/>
      <c r="F36" s="884"/>
      <c r="G36" s="884"/>
      <c r="H36" s="1015"/>
      <c r="I36" s="1013"/>
      <c r="J36" s="1014"/>
      <c r="K36" s="884"/>
      <c r="L36" s="1015"/>
      <c r="M36" s="1013"/>
      <c r="N36" s="1013"/>
      <c r="O36" s="884"/>
      <c r="P36" s="1013"/>
      <c r="R36" s="1000"/>
      <c r="S36" s="1037"/>
      <c r="T36" s="997"/>
      <c r="U36" s="814"/>
      <c r="V36" s="814"/>
    </row>
    <row r="37" spans="1:245" ht="15.75" customHeight="1">
      <c r="A37" s="102" t="s">
        <v>72</v>
      </c>
      <c r="B37" s="884"/>
      <c r="C37" s="884"/>
      <c r="D37" s="884"/>
      <c r="E37" s="884"/>
      <c r="F37" s="884"/>
      <c r="G37" s="884"/>
      <c r="H37" s="1015"/>
      <c r="I37" s="1013"/>
      <c r="J37" s="1014"/>
      <c r="K37" s="884"/>
      <c r="L37" s="1015"/>
      <c r="M37" s="1013"/>
      <c r="N37" s="1013"/>
      <c r="O37" s="884"/>
      <c r="P37" s="1013"/>
      <c r="R37" s="1000"/>
      <c r="S37" s="1037"/>
      <c r="T37" s="997"/>
      <c r="U37" s="814"/>
      <c r="V37" s="814"/>
    </row>
    <row r="38" spans="1:245" ht="15.75" customHeight="1">
      <c r="A38" s="102" t="s">
        <v>73</v>
      </c>
      <c r="B38" s="884"/>
      <c r="C38" s="884"/>
      <c r="D38" s="884"/>
      <c r="E38" s="884"/>
      <c r="F38" s="1033"/>
      <c r="G38" s="884"/>
      <c r="H38" s="1015"/>
      <c r="I38" s="1013"/>
      <c r="J38" s="1014"/>
      <c r="K38" s="884"/>
      <c r="L38" s="1015"/>
      <c r="M38" s="1013"/>
      <c r="N38" s="1013"/>
      <c r="O38" s="884"/>
      <c r="P38" s="1013"/>
      <c r="R38" s="1000"/>
      <c r="S38" s="1037"/>
      <c r="T38" s="997"/>
      <c r="U38" s="814"/>
      <c r="V38" s="814"/>
    </row>
    <row r="39" spans="1:245" ht="15.75" customHeight="1">
      <c r="A39" s="102" t="s">
        <v>74</v>
      </c>
      <c r="B39" s="125">
        <f>ROUND(SUM(B29+B34),1)</f>
        <v>1.7</v>
      </c>
      <c r="C39" s="109"/>
      <c r="D39" s="125">
        <f>ROUND(SUM(D29+D34),1)</f>
        <v>0</v>
      </c>
      <c r="E39" s="109"/>
      <c r="F39" s="125">
        <f>ROUND(SUM(F29+F34),1)</f>
        <v>0.5</v>
      </c>
      <c r="G39" s="109"/>
      <c r="H39" s="126">
        <f>ROUND(SUM(H29+H34),1)</f>
        <v>2.4</v>
      </c>
      <c r="I39" s="112"/>
      <c r="J39" s="127">
        <f>ROUND(SUM(J29+J34),1)</f>
        <v>2.2000000000000002</v>
      </c>
      <c r="K39" s="109"/>
      <c r="L39" s="126">
        <f>ROUND(SUM(L29+L34),1)</f>
        <v>2.4</v>
      </c>
      <c r="M39" s="112"/>
      <c r="N39" s="125">
        <f>ROUND(SUM(N29+N34),1)</f>
        <v>1.7</v>
      </c>
      <c r="O39" s="112"/>
      <c r="P39" s="125">
        <f>ROUND(SUM(P29+P34),1)</f>
        <v>-3.3</v>
      </c>
      <c r="Q39" s="731"/>
      <c r="R39" s="1000"/>
      <c r="S39" s="1448">
        <f>ROUND(SUM(L39-P39),1)</f>
        <v>5.7</v>
      </c>
      <c r="T39" s="997"/>
      <c r="U39" s="2109">
        <f>ROUND(IF(P39=0,1,S39/ABS(P39)),3)</f>
        <v>1.7270000000000001</v>
      </c>
      <c r="V39" s="814"/>
    </row>
    <row r="40" spans="1:245">
      <c r="A40" s="102"/>
      <c r="B40" s="884"/>
      <c r="C40" s="884"/>
      <c r="D40" s="884"/>
      <c r="E40" s="884"/>
      <c r="F40" s="884"/>
      <c r="G40" s="884"/>
      <c r="H40" s="1015"/>
      <c r="I40" s="1013"/>
      <c r="J40" s="1014"/>
      <c r="K40" s="884"/>
      <c r="L40" s="1015"/>
      <c r="M40" s="1013"/>
      <c r="N40" s="1013"/>
      <c r="O40" s="884"/>
      <c r="P40" s="1013"/>
      <c r="R40" s="1000"/>
      <c r="T40" s="1381"/>
      <c r="U40" s="909"/>
      <c r="V40" s="814"/>
    </row>
    <row r="41" spans="1:245" s="731" customFormat="1">
      <c r="A41" s="102" t="s">
        <v>51</v>
      </c>
      <c r="B41" s="128">
        <f>+'Exhibit L'!L13</f>
        <v>-1.7</v>
      </c>
      <c r="C41" s="109"/>
      <c r="D41" s="128">
        <f>+'Exhibit L'!AA13</f>
        <v>0</v>
      </c>
      <c r="E41" s="109"/>
      <c r="F41" s="128">
        <f>+'Exhibit M'!L13</f>
        <v>42.1</v>
      </c>
      <c r="G41" s="109"/>
      <c r="H41" s="129">
        <f>+'Exhibit M'!AA13</f>
        <v>40.200000000000003</v>
      </c>
      <c r="I41" s="112"/>
      <c r="J41" s="130">
        <f>ROUND(SUM(B41)+SUM(F41),1)</f>
        <v>40.4</v>
      </c>
      <c r="K41" s="109"/>
      <c r="L41" s="126">
        <f>ROUND(SUM(D41+H41),1)</f>
        <v>40.200000000000003</v>
      </c>
      <c r="M41" s="112"/>
      <c r="N41" s="117">
        <v>8.2000000000000064</v>
      </c>
      <c r="O41" s="109"/>
      <c r="P41" s="117">
        <f>'Exhibit L'!AD13+'Exhibit M'!AD13</f>
        <v>13.199999999999998</v>
      </c>
      <c r="R41" s="980"/>
      <c r="S41" s="1601">
        <f>ROUND(SUM(+L41-P41),1)</f>
        <v>27</v>
      </c>
      <c r="T41" s="88"/>
      <c r="U41" s="1372">
        <f>ROUND(IF(S41=0,0,S41/ABS(P41)),3)</f>
        <v>2.0449999999999999</v>
      </c>
      <c r="V41" s="1034"/>
    </row>
    <row r="42" spans="1:245" ht="16" thickBot="1">
      <c r="A42" s="102" t="s">
        <v>76</v>
      </c>
      <c r="B42" s="131">
        <f>ROUND(SUM(B41)+SUM(B39),1)</f>
        <v>0</v>
      </c>
      <c r="C42" s="132"/>
      <c r="D42" s="131">
        <f>ROUND(SUM(D41)+SUM(D39),1)</f>
        <v>0</v>
      </c>
      <c r="E42" s="132"/>
      <c r="F42" s="133">
        <f>ROUND(SUM(F41)+SUM(F39),1)</f>
        <v>42.6</v>
      </c>
      <c r="G42" s="134"/>
      <c r="H42" s="790">
        <f>ROUND(SUM(H41)+SUM(H39),1)</f>
        <v>42.6</v>
      </c>
      <c r="I42" s="791"/>
      <c r="J42" s="790">
        <f>ROUND(SUM(J41)+SUM(J39),1)</f>
        <v>42.6</v>
      </c>
      <c r="K42" s="136"/>
      <c r="L42" s="135">
        <f>ROUND(SUM(L41)+SUM(L39),1)</f>
        <v>42.6</v>
      </c>
      <c r="M42" s="136"/>
      <c r="N42" s="790">
        <f>ROUND(SUM(N41)+SUM(N39),1)</f>
        <v>9.9</v>
      </c>
      <c r="O42" s="136"/>
      <c r="P42" s="790">
        <f>ROUND(SUM(P41)+SUM(P39),1)</f>
        <v>9.9</v>
      </c>
      <c r="Q42" s="260"/>
      <c r="R42" s="1007"/>
      <c r="S42" s="3281">
        <f>ROUND(SUM(S39+S41),3)</f>
        <v>32.700000000000003</v>
      </c>
      <c r="T42" s="1185"/>
      <c r="U42" s="3505">
        <f>ROUND(IF(P42=0,1,S42/ABS(P42)),3)</f>
        <v>3.3029999999999999</v>
      </c>
      <c r="V42" s="814"/>
    </row>
    <row r="43" spans="1:245" ht="16" thickTop="1">
      <c r="A43" s="983"/>
      <c r="B43" s="1035"/>
      <c r="C43" s="1006"/>
      <c r="D43" s="1035"/>
      <c r="E43" s="1006"/>
      <c r="F43" s="1035"/>
      <c r="G43" s="1006"/>
      <c r="H43" s="1035"/>
      <c r="I43" s="1008"/>
      <c r="J43" s="1035"/>
      <c r="K43" s="1006"/>
      <c r="L43" s="1035"/>
      <c r="M43" s="1006"/>
      <c r="N43" s="1035"/>
      <c r="O43" s="1006"/>
      <c r="P43" s="1035"/>
      <c r="Q43" s="1006"/>
      <c r="R43" s="1036"/>
      <c r="S43" s="1009"/>
      <c r="T43" s="1036"/>
      <c r="U43" s="1009"/>
      <c r="V43" s="1009"/>
      <c r="W43" s="1010"/>
      <c r="X43" s="1010"/>
      <c r="Y43" s="1010"/>
      <c r="Z43" s="1010"/>
      <c r="AA43" s="1010"/>
      <c r="AB43" s="1010"/>
      <c r="AC43" s="1010"/>
      <c r="AD43" s="1010"/>
      <c r="AE43" s="1010"/>
      <c r="AF43" s="1010"/>
      <c r="AG43" s="1010"/>
      <c r="AH43" s="1010"/>
      <c r="AI43" s="1010"/>
      <c r="AJ43" s="1010"/>
      <c r="AK43" s="1010"/>
      <c r="AL43" s="1010"/>
      <c r="AM43" s="1010"/>
      <c r="AN43" s="1010"/>
      <c r="AO43" s="1010"/>
      <c r="AP43" s="1010"/>
      <c r="AQ43" s="1010"/>
      <c r="AR43" s="1010"/>
      <c r="AS43" s="1010"/>
      <c r="AT43" s="1010"/>
      <c r="AU43" s="1010"/>
      <c r="AV43" s="1010"/>
      <c r="AW43" s="1010"/>
      <c r="AX43" s="1010"/>
      <c r="AY43" s="1010"/>
      <c r="AZ43" s="1010"/>
      <c r="BA43" s="1010"/>
      <c r="BB43" s="1010"/>
      <c r="BC43" s="1010"/>
      <c r="BD43" s="1010"/>
      <c r="BE43" s="1010"/>
      <c r="BF43" s="1010"/>
      <c r="BG43" s="1010"/>
      <c r="BH43" s="1010"/>
      <c r="BI43" s="1010"/>
      <c r="BJ43" s="1010"/>
      <c r="BK43" s="1010"/>
      <c r="BL43" s="1010"/>
      <c r="BM43" s="1010"/>
      <c r="BN43" s="1010"/>
      <c r="BO43" s="1010"/>
      <c r="BP43" s="1010"/>
      <c r="BQ43" s="1010"/>
      <c r="BR43" s="1010"/>
      <c r="BS43" s="1010"/>
      <c r="BT43" s="1010"/>
      <c r="BU43" s="1010"/>
      <c r="BV43" s="1010"/>
      <c r="BW43" s="1010"/>
      <c r="BX43" s="1010"/>
      <c r="BY43" s="1010"/>
      <c r="BZ43" s="1010"/>
      <c r="CA43" s="1010"/>
      <c r="CB43" s="1010"/>
      <c r="CC43" s="1010"/>
      <c r="CD43" s="1010"/>
      <c r="CE43" s="1010"/>
      <c r="CF43" s="1010"/>
      <c r="CG43" s="1010"/>
      <c r="CH43" s="1010"/>
      <c r="CI43" s="1010"/>
      <c r="CJ43" s="1010"/>
      <c r="CK43" s="1010"/>
      <c r="CL43" s="1010"/>
      <c r="CM43" s="1010"/>
      <c r="CN43" s="1010"/>
      <c r="CO43" s="1010"/>
      <c r="CP43" s="1010"/>
      <c r="CQ43" s="1010"/>
      <c r="CR43" s="1010"/>
      <c r="CS43" s="1010"/>
      <c r="CT43" s="1010"/>
      <c r="CU43" s="1010"/>
      <c r="CV43" s="1010"/>
      <c r="CW43" s="1010"/>
      <c r="CX43" s="1010"/>
      <c r="CY43" s="1010"/>
      <c r="CZ43" s="1010"/>
      <c r="DA43" s="1010"/>
      <c r="DB43" s="1010"/>
      <c r="DC43" s="1010"/>
      <c r="DD43" s="1010"/>
      <c r="DE43" s="1010"/>
      <c r="DF43" s="1010"/>
      <c r="DG43" s="1010"/>
      <c r="DH43" s="1010"/>
      <c r="DI43" s="1010"/>
      <c r="DJ43" s="1010"/>
      <c r="DK43" s="1010"/>
      <c r="DL43" s="1010"/>
      <c r="DM43" s="1010"/>
      <c r="DN43" s="1010"/>
      <c r="DO43" s="1010"/>
      <c r="DP43" s="1010"/>
      <c r="DQ43" s="1010"/>
      <c r="DR43" s="1010"/>
      <c r="DS43" s="1010"/>
      <c r="DT43" s="1010"/>
      <c r="DU43" s="1010"/>
      <c r="DV43" s="1010"/>
      <c r="DW43" s="1010"/>
      <c r="DX43" s="1010"/>
      <c r="DY43" s="1010"/>
      <c r="DZ43" s="1010"/>
      <c r="EA43" s="1010"/>
      <c r="EB43" s="1010"/>
      <c r="EC43" s="1010"/>
      <c r="ED43" s="1010"/>
      <c r="EE43" s="1010"/>
      <c r="EF43" s="1010"/>
      <c r="EG43" s="1010"/>
      <c r="EH43" s="1010"/>
      <c r="EI43" s="1010"/>
      <c r="EJ43" s="1010"/>
      <c r="EK43" s="1010"/>
      <c r="EL43" s="1010"/>
      <c r="EM43" s="1010"/>
      <c r="EN43" s="1010"/>
      <c r="EO43" s="1010"/>
      <c r="EP43" s="1010"/>
      <c r="EQ43" s="1010"/>
      <c r="ER43" s="1010"/>
      <c r="ES43" s="1010"/>
      <c r="ET43" s="1010"/>
      <c r="EU43" s="1010"/>
      <c r="EV43" s="1010"/>
      <c r="EW43" s="1010"/>
      <c r="EX43" s="1010"/>
      <c r="EY43" s="1010"/>
      <c r="EZ43" s="1010"/>
      <c r="FA43" s="1010"/>
      <c r="FB43" s="1010"/>
      <c r="FC43" s="1010"/>
      <c r="FD43" s="1010"/>
      <c r="FE43" s="1010"/>
      <c r="FF43" s="1010"/>
      <c r="FG43" s="1010"/>
      <c r="FH43" s="1010"/>
      <c r="FI43" s="1010"/>
      <c r="FJ43" s="1010"/>
      <c r="FK43" s="1010"/>
      <c r="FL43" s="1010"/>
      <c r="FM43" s="1010"/>
      <c r="FN43" s="1010"/>
      <c r="FO43" s="1010"/>
      <c r="FP43" s="1010"/>
      <c r="FQ43" s="1010"/>
      <c r="FR43" s="1010"/>
      <c r="FS43" s="1010"/>
      <c r="FT43" s="1010"/>
      <c r="FU43" s="1010"/>
      <c r="FV43" s="1010"/>
      <c r="FW43" s="1010"/>
      <c r="FX43" s="1010"/>
      <c r="FY43" s="1010"/>
      <c r="FZ43" s="1010"/>
      <c r="GA43" s="1010"/>
      <c r="GB43" s="1010"/>
      <c r="GC43" s="1010"/>
      <c r="GD43" s="1010"/>
      <c r="GE43" s="1010"/>
      <c r="GF43" s="1010"/>
      <c r="GG43" s="1010"/>
      <c r="GH43" s="1010"/>
      <c r="GI43" s="1010"/>
      <c r="GJ43" s="1010"/>
      <c r="GK43" s="1010"/>
      <c r="GL43" s="1010"/>
      <c r="GM43" s="1010"/>
      <c r="GN43" s="1010"/>
      <c r="GO43" s="1010"/>
      <c r="GP43" s="1010"/>
      <c r="GQ43" s="1010"/>
      <c r="GR43" s="1010"/>
      <c r="GS43" s="1010"/>
      <c r="GT43" s="1010"/>
      <c r="GU43" s="1010"/>
      <c r="GV43" s="1010"/>
      <c r="GW43" s="1010"/>
      <c r="GX43" s="1010"/>
      <c r="GY43" s="1010"/>
      <c r="GZ43" s="1010"/>
      <c r="HA43" s="1010"/>
      <c r="HB43" s="1010"/>
      <c r="HC43" s="1010"/>
      <c r="HD43" s="1010"/>
      <c r="HE43" s="1010"/>
      <c r="HF43" s="1010"/>
      <c r="HG43" s="1010"/>
      <c r="HH43" s="1010"/>
      <c r="HI43" s="1010"/>
      <c r="HJ43" s="1010"/>
      <c r="HK43" s="1010"/>
      <c r="HL43" s="1010"/>
      <c r="HM43" s="1010"/>
      <c r="HN43" s="1010"/>
      <c r="HO43" s="1010"/>
      <c r="HP43" s="1010"/>
      <c r="HQ43" s="1010"/>
      <c r="HR43" s="1010"/>
      <c r="HS43" s="1010"/>
      <c r="HT43" s="1010"/>
      <c r="HU43" s="1010"/>
      <c r="HV43" s="1010"/>
      <c r="HW43" s="1010"/>
      <c r="HX43" s="1010"/>
      <c r="HY43" s="1010"/>
      <c r="HZ43" s="1010"/>
      <c r="IA43" s="1010"/>
      <c r="IB43" s="1010"/>
      <c r="IC43" s="1010"/>
      <c r="ID43" s="1010"/>
      <c r="IE43" s="1010"/>
      <c r="IF43" s="1010"/>
      <c r="IG43" s="1010"/>
      <c r="IH43" s="1010"/>
      <c r="II43" s="1010"/>
      <c r="IJ43" s="1010"/>
      <c r="IK43" s="1010"/>
    </row>
    <row r="44" spans="1:245">
      <c r="A44" s="983"/>
      <c r="B44" s="983"/>
      <c r="C44" s="983"/>
      <c r="D44" s="983"/>
      <c r="E44" s="983"/>
      <c r="F44" s="982"/>
      <c r="G44" s="983"/>
      <c r="H44" s="983"/>
      <c r="I44" s="983"/>
      <c r="J44" s="983"/>
      <c r="K44" s="983"/>
      <c r="L44" s="983"/>
      <c r="M44" s="983"/>
      <c r="N44" s="983"/>
      <c r="O44" s="983"/>
      <c r="P44" s="983"/>
      <c r="Q44" s="983"/>
      <c r="R44" s="984"/>
      <c r="S44" s="1340"/>
      <c r="T44" s="984"/>
      <c r="U44" s="814"/>
      <c r="V44" s="814"/>
    </row>
    <row r="45" spans="1:245">
      <c r="A45" s="983"/>
      <c r="B45" s="983"/>
      <c r="C45" s="983"/>
      <c r="D45" s="983"/>
      <c r="E45" s="983"/>
      <c r="F45" s="982" t="s">
        <v>14</v>
      </c>
      <c r="G45" s="983"/>
      <c r="H45" s="983"/>
      <c r="I45" s="983"/>
      <c r="J45" s="983"/>
      <c r="K45" s="983"/>
      <c r="L45" s="983"/>
      <c r="N45" s="884"/>
      <c r="O45" s="983"/>
      <c r="P45" s="983"/>
      <c r="Q45" s="983"/>
      <c r="R45" s="984"/>
      <c r="S45" s="814"/>
      <c r="T45" s="984"/>
      <c r="U45" s="814"/>
      <c r="V45" s="814"/>
    </row>
    <row r="46" spans="1:245">
      <c r="A46" s="880"/>
      <c r="B46" s="983"/>
      <c r="C46" s="983"/>
      <c r="D46" s="983"/>
      <c r="E46" s="983"/>
      <c r="F46" s="983"/>
      <c r="G46" s="983"/>
      <c r="H46" s="983"/>
      <c r="I46" s="983"/>
      <c r="J46" s="983"/>
      <c r="K46" s="983"/>
      <c r="L46" s="983"/>
      <c r="M46" s="983"/>
      <c r="N46" s="983"/>
      <c r="O46" s="983"/>
      <c r="P46" s="983"/>
      <c r="Q46" s="983"/>
      <c r="R46" s="984"/>
      <c r="S46" s="814"/>
      <c r="T46" s="984"/>
      <c r="U46" s="814"/>
      <c r="V46" s="814"/>
    </row>
    <row r="47" spans="1:245">
      <c r="A47" s="983"/>
      <c r="B47" s="983"/>
      <c r="C47" s="983"/>
      <c r="D47" s="983"/>
      <c r="E47" s="983"/>
      <c r="F47" s="983"/>
      <c r="G47" s="983"/>
      <c r="H47" s="983"/>
      <c r="I47" s="983"/>
      <c r="J47" s="983"/>
      <c r="K47" s="983"/>
      <c r="L47" s="983"/>
      <c r="M47" s="983"/>
      <c r="N47" s="983"/>
      <c r="O47" s="983"/>
      <c r="P47" s="983"/>
      <c r="Q47" s="983"/>
      <c r="R47" s="984"/>
      <c r="S47" s="814"/>
      <c r="T47" s="984"/>
      <c r="U47" s="814"/>
      <c r="V47" s="814"/>
    </row>
    <row r="48" spans="1:245">
      <c r="A48" s="983"/>
      <c r="B48" s="983"/>
      <c r="C48" s="983"/>
      <c r="D48" s="983"/>
      <c r="E48" s="983"/>
      <c r="F48" s="983"/>
      <c r="G48" s="983"/>
      <c r="H48" s="983"/>
      <c r="I48" s="983"/>
      <c r="J48" s="983"/>
      <c r="K48" s="983"/>
      <c r="L48" s="983"/>
      <c r="M48" s="983"/>
      <c r="N48" s="983"/>
      <c r="O48" s="983"/>
      <c r="P48" s="983"/>
      <c r="Q48" s="983"/>
      <c r="R48" s="984"/>
      <c r="S48" s="814"/>
      <c r="T48" s="984"/>
      <c r="U48" s="814"/>
      <c r="V48" s="814"/>
    </row>
    <row r="49" spans="1:22">
      <c r="A49" s="983"/>
      <c r="B49" s="983"/>
      <c r="C49" s="983"/>
      <c r="D49" s="983"/>
      <c r="E49" s="983"/>
      <c r="F49" s="983"/>
      <c r="G49" s="983"/>
      <c r="H49" s="983"/>
      <c r="I49" s="983"/>
      <c r="J49" s="983"/>
      <c r="K49" s="983"/>
      <c r="L49" s="983"/>
      <c r="M49" s="983"/>
      <c r="N49" s="983"/>
      <c r="O49" s="983"/>
      <c r="P49" s="983"/>
      <c r="Q49" s="983"/>
      <c r="R49" s="984"/>
      <c r="S49" s="814"/>
      <c r="T49" s="984"/>
      <c r="U49" s="814"/>
      <c r="V49" s="814"/>
    </row>
    <row r="50" spans="1:22">
      <c r="A50" s="983"/>
      <c r="B50" s="983"/>
      <c r="C50" s="983"/>
      <c r="D50" s="983"/>
      <c r="E50" s="983"/>
      <c r="F50" s="983"/>
      <c r="G50" s="983"/>
      <c r="H50" s="983"/>
      <c r="I50" s="983"/>
      <c r="J50" s="983"/>
      <c r="K50" s="983"/>
      <c r="L50" s="983"/>
      <c r="M50" s="983"/>
      <c r="N50" s="983"/>
      <c r="O50" s="983"/>
      <c r="P50" s="983"/>
      <c r="Q50" s="983"/>
      <c r="R50" s="984"/>
      <c r="S50" s="814"/>
      <c r="T50" s="984"/>
      <c r="U50" s="814"/>
      <c r="V50" s="814"/>
    </row>
    <row r="51" spans="1:22">
      <c r="A51" s="983"/>
      <c r="B51" s="983"/>
      <c r="C51" s="983"/>
      <c r="D51" s="983"/>
      <c r="E51" s="983"/>
      <c r="F51" s="983"/>
      <c r="G51" s="983"/>
      <c r="H51" s="983"/>
      <c r="I51" s="983"/>
      <c r="J51" s="983"/>
      <c r="K51" s="983"/>
      <c r="L51" s="983"/>
      <c r="M51" s="983"/>
      <c r="N51" s="983"/>
      <c r="O51" s="983"/>
      <c r="P51" s="983"/>
      <c r="Q51" s="983"/>
      <c r="R51" s="984"/>
      <c r="S51" s="814"/>
      <c r="T51" s="984"/>
      <c r="U51" s="814"/>
      <c r="V51" s="814"/>
    </row>
    <row r="52" spans="1:22">
      <c r="A52" s="983"/>
      <c r="B52" s="983"/>
      <c r="C52" s="983"/>
      <c r="D52" s="983"/>
      <c r="E52" s="983"/>
      <c r="F52" s="983"/>
      <c r="G52" s="983"/>
      <c r="H52" s="983"/>
      <c r="I52" s="983"/>
      <c r="J52" s="983"/>
      <c r="K52" s="983"/>
      <c r="L52" s="983"/>
      <c r="M52" s="983"/>
      <c r="N52" s="983"/>
      <c r="O52" s="983"/>
      <c r="P52" s="983"/>
      <c r="Q52" s="983"/>
      <c r="R52" s="984"/>
      <c r="S52" s="814"/>
      <c r="T52" s="984"/>
      <c r="U52" s="814"/>
      <c r="V52" s="814"/>
    </row>
    <row r="53" spans="1:22">
      <c r="A53" s="983"/>
      <c r="B53" s="983"/>
      <c r="C53" s="983"/>
      <c r="D53" s="983"/>
      <c r="E53" s="983"/>
      <c r="F53" s="983"/>
      <c r="G53" s="983"/>
      <c r="H53" s="983"/>
      <c r="I53" s="983"/>
      <c r="J53" s="983"/>
      <c r="K53" s="983"/>
      <c r="L53" s="983"/>
      <c r="M53" s="983"/>
      <c r="N53" s="983"/>
      <c r="O53" s="983"/>
      <c r="P53" s="983"/>
      <c r="Q53" s="983"/>
      <c r="R53" s="984"/>
      <c r="S53" s="814"/>
      <c r="T53" s="984"/>
      <c r="U53" s="814"/>
      <c r="V53" s="814"/>
    </row>
    <row r="54" spans="1:22">
      <c r="A54" s="983"/>
      <c r="B54" s="983"/>
      <c r="C54" s="983"/>
      <c r="D54" s="983"/>
      <c r="E54" s="983"/>
      <c r="F54" s="983"/>
      <c r="G54" s="983"/>
      <c r="H54" s="983"/>
      <c r="I54" s="983"/>
      <c r="J54" s="983"/>
      <c r="K54" s="983"/>
      <c r="L54" s="983"/>
      <c r="M54" s="983"/>
      <c r="N54" s="983"/>
      <c r="O54" s="983"/>
      <c r="P54" s="983"/>
      <c r="Q54" s="983"/>
      <c r="R54" s="984"/>
      <c r="S54" s="814"/>
      <c r="T54" s="984"/>
      <c r="U54" s="814"/>
      <c r="V54" s="814"/>
    </row>
    <row r="55" spans="1:22">
      <c r="A55" s="983"/>
      <c r="B55" s="983"/>
      <c r="C55" s="983"/>
      <c r="D55" s="983"/>
      <c r="E55" s="983"/>
      <c r="F55" s="983"/>
      <c r="G55" s="983"/>
      <c r="H55" s="983"/>
      <c r="I55" s="983"/>
      <c r="J55" s="983"/>
      <c r="K55" s="983"/>
      <c r="L55" s="983"/>
      <c r="M55" s="983"/>
      <c r="N55" s="983"/>
      <c r="O55" s="983"/>
      <c r="P55" s="983"/>
      <c r="Q55" s="983"/>
      <c r="R55" s="984"/>
      <c r="S55" s="814"/>
      <c r="T55" s="984"/>
      <c r="U55" s="814"/>
      <c r="V55" s="814"/>
    </row>
    <row r="56" spans="1:22">
      <c r="A56" s="983"/>
      <c r="B56" s="983"/>
      <c r="C56" s="983"/>
      <c r="D56" s="983"/>
      <c r="E56" s="983"/>
      <c r="F56" s="983"/>
      <c r="G56" s="983"/>
      <c r="H56" s="983"/>
      <c r="I56" s="983"/>
      <c r="J56" s="983"/>
      <c r="K56" s="983"/>
      <c r="L56" s="983"/>
      <c r="M56" s="983"/>
      <c r="N56" s="983"/>
      <c r="O56" s="983"/>
      <c r="P56" s="983"/>
      <c r="Q56" s="983"/>
      <c r="R56" s="985"/>
      <c r="S56" s="983"/>
    </row>
    <row r="57" spans="1:22">
      <c r="A57" s="983"/>
      <c r="B57" s="983"/>
      <c r="C57" s="983"/>
      <c r="D57" s="983"/>
      <c r="E57" s="983"/>
      <c r="F57" s="983"/>
      <c r="G57" s="983"/>
      <c r="H57" s="983"/>
      <c r="I57" s="983"/>
      <c r="J57" s="983"/>
      <c r="K57" s="983"/>
      <c r="L57" s="983"/>
      <c r="M57" s="983"/>
      <c r="N57" s="983"/>
      <c r="O57" s="983"/>
      <c r="P57" s="983"/>
      <c r="Q57" s="983"/>
      <c r="R57" s="985"/>
      <c r="S57" s="983"/>
    </row>
    <row r="58" spans="1:22">
      <c r="A58" s="983"/>
      <c r="B58" s="983"/>
      <c r="C58" s="983"/>
      <c r="D58" s="983"/>
      <c r="E58" s="983"/>
      <c r="F58" s="983"/>
      <c r="G58" s="983"/>
      <c r="H58" s="983"/>
      <c r="I58" s="983"/>
      <c r="J58" s="983"/>
      <c r="K58" s="983"/>
      <c r="L58" s="983"/>
      <c r="M58" s="983"/>
      <c r="N58" s="983"/>
      <c r="O58" s="983"/>
      <c r="P58" s="983"/>
      <c r="Q58" s="983"/>
      <c r="R58" s="985"/>
      <c r="S58" s="983"/>
    </row>
    <row r="59" spans="1:22">
      <c r="A59" s="983"/>
      <c r="B59" s="983"/>
      <c r="C59" s="983"/>
      <c r="D59" s="983"/>
      <c r="E59" s="983"/>
      <c r="F59" s="983"/>
      <c r="G59" s="983"/>
      <c r="H59" s="983"/>
      <c r="I59" s="983"/>
      <c r="J59" s="983"/>
      <c r="K59" s="983"/>
      <c r="L59" s="983"/>
      <c r="M59" s="983"/>
      <c r="N59" s="983"/>
      <c r="O59" s="983"/>
      <c r="P59" s="983"/>
      <c r="Q59" s="983"/>
      <c r="R59" s="985"/>
      <c r="S59" s="983"/>
    </row>
    <row r="60" spans="1:22">
      <c r="A60" s="983"/>
      <c r="B60" s="983"/>
      <c r="C60" s="983"/>
      <c r="D60" s="983"/>
      <c r="E60" s="983"/>
      <c r="F60" s="983"/>
      <c r="G60" s="983"/>
      <c r="H60" s="983"/>
      <c r="I60" s="983"/>
      <c r="J60" s="983"/>
      <c r="K60" s="983"/>
      <c r="L60" s="983"/>
      <c r="M60" s="983"/>
      <c r="N60" s="983"/>
      <c r="O60" s="983"/>
      <c r="P60" s="983"/>
      <c r="Q60" s="983"/>
      <c r="R60" s="985"/>
      <c r="S60" s="983"/>
    </row>
    <row r="61" spans="1:22">
      <c r="A61" s="983"/>
      <c r="B61" s="983"/>
      <c r="C61" s="983"/>
      <c r="D61" s="983"/>
      <c r="E61" s="983"/>
      <c r="F61" s="983"/>
      <c r="G61" s="983"/>
      <c r="H61" s="983"/>
      <c r="I61" s="983"/>
      <c r="J61" s="983"/>
      <c r="K61" s="983"/>
      <c r="L61" s="983"/>
      <c r="M61" s="983"/>
      <c r="N61" s="983"/>
      <c r="O61" s="983"/>
      <c r="P61" s="983"/>
      <c r="Q61" s="983"/>
      <c r="R61" s="985"/>
      <c r="S61" s="983"/>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N56"/>
  <sheetViews>
    <sheetView showGridLines="0" zoomScale="90" zoomScaleNormal="80" workbookViewId="0"/>
  </sheetViews>
  <sheetFormatPr defaultColWidth="8.84375" defaultRowHeight="15.5"/>
  <cols>
    <col min="1" max="1" width="45.84375" style="98" customWidth="1"/>
    <col min="2" max="2" width="2.4609375" style="98" customWidth="1"/>
    <col min="3" max="3" width="15.07421875" style="98" customWidth="1"/>
    <col min="4" max="4" width="1.84375" style="98" customWidth="1"/>
    <col min="5" max="5" width="15.07421875" style="98" customWidth="1"/>
    <col min="6" max="6" width="2.84375" style="98" customWidth="1"/>
    <col min="7" max="7" width="15.07421875" style="98" customWidth="1"/>
    <col min="8" max="8" width="2" style="98" customWidth="1"/>
    <col min="9" max="9" width="14.84375" style="98" customWidth="1"/>
    <col min="10" max="10" width="2.07421875" style="98" customWidth="1"/>
    <col min="11" max="11" width="14.07421875" style="98" customWidth="1"/>
    <col min="12" max="12" width="8.84375" style="98"/>
    <col min="13" max="13" width="10.07421875" style="98" bestFit="1" customWidth="1"/>
    <col min="14" max="16384" width="8.84375" style="98"/>
  </cols>
  <sheetData>
    <row r="1" spans="1:11">
      <c r="A1" s="912" t="s">
        <v>882</v>
      </c>
    </row>
    <row r="2" spans="1:11">
      <c r="A2" s="815"/>
    </row>
    <row r="3" spans="1:11" ht="17.25" customHeight="1">
      <c r="A3" s="138" t="s">
        <v>0</v>
      </c>
      <c r="B3" s="139"/>
      <c r="C3" s="139"/>
      <c r="D3" s="140"/>
      <c r="E3" s="139"/>
      <c r="F3" s="140"/>
      <c r="G3" s="140"/>
      <c r="H3" s="140"/>
      <c r="I3" s="140"/>
      <c r="J3" s="140"/>
      <c r="K3" s="141" t="s">
        <v>82</v>
      </c>
    </row>
    <row r="4" spans="1:11" ht="17.25" customHeight="1">
      <c r="A4" s="138" t="s">
        <v>81</v>
      </c>
      <c r="B4" s="139"/>
      <c r="C4" s="139"/>
      <c r="D4" s="140"/>
      <c r="E4" s="139"/>
      <c r="F4" s="140"/>
      <c r="G4" s="140"/>
      <c r="H4" s="140"/>
      <c r="I4" s="141"/>
      <c r="J4" s="142"/>
    </row>
    <row r="5" spans="1:11" ht="17.25" customHeight="1">
      <c r="A5" s="3954" t="s">
        <v>1404</v>
      </c>
      <c r="B5" s="3955"/>
      <c r="C5" s="3955"/>
      <c r="D5" s="3955"/>
      <c r="E5" s="3955"/>
      <c r="F5" s="140"/>
      <c r="G5" s="143"/>
      <c r="H5" s="140"/>
      <c r="I5" s="140"/>
      <c r="J5" s="140"/>
      <c r="K5" s="140"/>
    </row>
    <row r="6" spans="1:11" ht="17.25" customHeight="1">
      <c r="A6" s="810" t="s">
        <v>1561</v>
      </c>
      <c r="B6" s="144"/>
      <c r="C6" s="145"/>
      <c r="D6" s="140"/>
      <c r="E6" s="145"/>
      <c r="F6" s="140"/>
      <c r="G6" s="140"/>
      <c r="H6" s="140"/>
      <c r="I6" s="140"/>
      <c r="J6" s="140"/>
      <c r="K6" s="140"/>
    </row>
    <row r="7" spans="1:11" ht="18">
      <c r="A7" s="188" t="s">
        <v>1278</v>
      </c>
      <c r="B7" s="145"/>
      <c r="C7" s="145"/>
      <c r="D7" s="140"/>
      <c r="E7" s="145"/>
      <c r="F7" s="140"/>
      <c r="G7" s="140"/>
      <c r="H7" s="140"/>
      <c r="I7" s="140"/>
      <c r="J7" s="140"/>
      <c r="K7" s="140"/>
    </row>
    <row r="8" spans="1:11" ht="17.5">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c r="A11" s="28"/>
      <c r="B11" s="148"/>
      <c r="C11" s="3956" t="s">
        <v>1042</v>
      </c>
      <c r="D11" s="3956"/>
      <c r="E11" s="3956"/>
      <c r="F11" s="3956"/>
      <c r="G11" s="3956"/>
      <c r="H11" s="3956"/>
      <c r="I11" s="3956"/>
      <c r="J11" s="1161"/>
      <c r="K11" s="1162"/>
    </row>
    <row r="12" spans="1:11">
      <c r="A12" s="28"/>
      <c r="B12" s="148"/>
      <c r="C12" s="149"/>
      <c r="D12" s="149"/>
      <c r="E12" s="149"/>
      <c r="F12" s="149"/>
      <c r="G12" s="149"/>
      <c r="H12" s="149"/>
      <c r="I12" s="150" t="s">
        <v>83</v>
      </c>
      <c r="J12" s="150"/>
      <c r="K12" s="150" t="s">
        <v>83</v>
      </c>
    </row>
    <row r="13" spans="1:11">
      <c r="A13" s="28"/>
      <c r="B13" s="148"/>
      <c r="C13" s="149"/>
      <c r="D13" s="149"/>
      <c r="E13" s="149"/>
      <c r="F13" s="149"/>
      <c r="G13" s="149"/>
      <c r="H13" s="149"/>
      <c r="I13" s="150" t="s">
        <v>795</v>
      </c>
      <c r="J13" s="150"/>
      <c r="K13" s="150" t="s">
        <v>795</v>
      </c>
    </row>
    <row r="14" spans="1:11">
      <c r="A14" s="28"/>
      <c r="B14" s="148"/>
      <c r="C14" s="151" t="s">
        <v>991</v>
      </c>
      <c r="D14" s="149"/>
      <c r="E14" s="150" t="s">
        <v>992</v>
      </c>
      <c r="F14" s="149"/>
      <c r="G14" s="149"/>
      <c r="H14" s="149"/>
      <c r="I14" s="150" t="s">
        <v>84</v>
      </c>
      <c r="J14" s="150"/>
      <c r="K14" s="150" t="s">
        <v>84</v>
      </c>
    </row>
    <row r="15" spans="1:11">
      <c r="A15" s="28"/>
      <c r="B15" s="148"/>
      <c r="C15" s="150" t="s">
        <v>1028</v>
      </c>
      <c r="D15" s="149"/>
      <c r="E15" s="150" t="s">
        <v>1028</v>
      </c>
      <c r="F15" s="149"/>
      <c r="G15" s="149"/>
      <c r="H15" s="149"/>
      <c r="I15" s="150" t="s">
        <v>991</v>
      </c>
      <c r="J15" s="150"/>
      <c r="K15" s="150" t="s">
        <v>992</v>
      </c>
    </row>
    <row r="16" spans="1:11">
      <c r="A16" s="28"/>
      <c r="B16" s="148"/>
      <c r="C16" s="150" t="s">
        <v>1029</v>
      </c>
      <c r="D16" s="149"/>
      <c r="E16" s="150" t="s">
        <v>1544</v>
      </c>
      <c r="F16" s="149"/>
      <c r="G16" s="151" t="s">
        <v>83</v>
      </c>
      <c r="H16" s="149"/>
      <c r="I16" s="150" t="s">
        <v>85</v>
      </c>
      <c r="J16" s="150"/>
      <c r="K16" s="150" t="s">
        <v>85</v>
      </c>
    </row>
    <row r="17" spans="1:13">
      <c r="A17" s="152"/>
      <c r="B17" s="153"/>
      <c r="C17" s="154"/>
      <c r="D17" s="140"/>
      <c r="E17" s="154"/>
      <c r="F17" s="140"/>
      <c r="G17" s="154"/>
      <c r="H17" s="140"/>
      <c r="I17" s="154"/>
      <c r="J17" s="153"/>
      <c r="K17" s="154"/>
    </row>
    <row r="18" spans="1:13">
      <c r="A18" s="26" t="s">
        <v>13</v>
      </c>
      <c r="B18" s="155"/>
      <c r="C18" s="156"/>
      <c r="D18" s="156"/>
      <c r="E18" s="156"/>
      <c r="F18" s="156"/>
      <c r="G18" s="156"/>
      <c r="H18" s="156"/>
      <c r="I18" s="156"/>
      <c r="J18" s="156"/>
      <c r="K18" s="155"/>
    </row>
    <row r="19" spans="1:13" ht="15" customHeight="1">
      <c r="A19" s="809" t="s">
        <v>86</v>
      </c>
      <c r="B19" s="157" t="s">
        <v>14</v>
      </c>
      <c r="C19" s="158"/>
      <c r="D19" s="157"/>
      <c r="E19" s="158"/>
      <c r="F19" s="157"/>
      <c r="G19" s="96"/>
      <c r="H19" s="157"/>
      <c r="I19" s="96"/>
      <c r="J19" s="96"/>
      <c r="K19" s="49"/>
    </row>
    <row r="20" spans="1:13">
      <c r="A20" s="159" t="s">
        <v>87</v>
      </c>
      <c r="B20" s="157" t="s">
        <v>14</v>
      </c>
      <c r="C20" s="1863">
        <f>'Exh D General Fund'!C20+'Exh D Special Revenue'!C20+'Exh D Debt Service'!C20</f>
        <v>31006</v>
      </c>
      <c r="D20" s="2126"/>
      <c r="E20" s="1863">
        <f>+'Exh D General Fund'!E20+'Exh D Special Revenue'!E20+'Exh D Debt Service'!E20</f>
        <v>35212</v>
      </c>
      <c r="F20" s="160"/>
      <c r="G20" s="47">
        <f>+'Exh D General Fund'!G20+'Exh D Special Revenue'!G20+'Exh D Debt Service'!G20</f>
        <v>35795.199999999997</v>
      </c>
      <c r="H20" s="160"/>
      <c r="I20" s="47">
        <f>G20-C20</f>
        <v>4789.1999999999971</v>
      </c>
      <c r="J20" s="161"/>
      <c r="K20" s="960">
        <f>G20-E20</f>
        <v>583.19999999999709</v>
      </c>
      <c r="M20" s="1163"/>
    </row>
    <row r="21" spans="1:13">
      <c r="A21" s="809" t="s">
        <v>88</v>
      </c>
      <c r="B21" s="155" t="s">
        <v>14</v>
      </c>
      <c r="C21" s="115">
        <f>+'Exh D General Fund'!C21+'Exh D Debt Service'!C21+'Exh D Special Revenue'!C21+'Exh D Capital Projects'!C20</f>
        <v>8972</v>
      </c>
      <c r="D21" s="115"/>
      <c r="E21" s="115">
        <f>+'Exh D General Fund'!E21+'Exh D Special Revenue'!E21+'Exh D Debt Service'!E21+'Exh D Capital Projects'!E20</f>
        <v>9564</v>
      </c>
      <c r="F21" s="63"/>
      <c r="G21" s="63">
        <f>+'Exh D General Fund'!G21+'Exh D Special Revenue'!G21+'Exh D Debt Service'!G21+'Exh D Capital Projects'!G20</f>
        <v>9820.6999999999989</v>
      </c>
      <c r="H21" s="63"/>
      <c r="I21" s="63">
        <f>G21-C21</f>
        <v>848.69999999999891</v>
      </c>
      <c r="J21" s="161"/>
      <c r="K21" s="932">
        <f t="shared" ref="K21:K25" si="0">G21-E21</f>
        <v>256.69999999999891</v>
      </c>
      <c r="M21" s="1163"/>
    </row>
    <row r="22" spans="1:13" ht="15" customHeight="1">
      <c r="A22" s="809" t="s">
        <v>89</v>
      </c>
      <c r="B22" s="157" t="s">
        <v>14</v>
      </c>
      <c r="C22" s="115">
        <f>+'Exh D General Fund'!C22+'Exh D Special Revenue'!C22+'Exh D Capital Projects'!C21</f>
        <v>4547</v>
      </c>
      <c r="D22" s="116"/>
      <c r="E22" s="115">
        <f>+'Exh D General Fund'!E22+'Exh D Special Revenue'!E22+'Exh D Capital Projects'!E21</f>
        <v>4980</v>
      </c>
      <c r="F22" s="74"/>
      <c r="G22" s="63">
        <f>+'Exh D General Fund'!G22+'Exh D Special Revenue'!G22+'Exh D Capital Projects'!G21</f>
        <v>5884.8</v>
      </c>
      <c r="H22" s="74"/>
      <c r="I22" s="63">
        <f t="shared" ref="I22:I25" si="1">G22-C22</f>
        <v>1337.8000000000002</v>
      </c>
      <c r="J22" s="161"/>
      <c r="K22" s="932">
        <f t="shared" si="0"/>
        <v>904.80000000000018</v>
      </c>
      <c r="M22" s="1163"/>
    </row>
    <row r="23" spans="1:13" ht="14.25" customHeight="1">
      <c r="A23" s="809" t="s">
        <v>90</v>
      </c>
      <c r="B23" s="155" t="s">
        <v>14</v>
      </c>
      <c r="C23" s="115">
        <f>+'Exh D General Fund'!C23+'Exh D Capital Projects'!C22+'Exh D Debt Service'!C22</f>
        <v>1202</v>
      </c>
      <c r="D23" s="115"/>
      <c r="E23" s="115">
        <f>+'Exh D General Fund'!E23+'Exh D Debt Service'!E22+'Exh D Capital Projects'!E22</f>
        <v>1358</v>
      </c>
      <c r="F23" s="63"/>
      <c r="G23" s="63">
        <f>+'Exh D General Fund'!G23+'Exh D Debt Service'!G22+'Exh D Capital Projects'!G22</f>
        <v>1443.8999999999999</v>
      </c>
      <c r="H23" s="63"/>
      <c r="I23" s="63">
        <f t="shared" si="1"/>
        <v>241.89999999999986</v>
      </c>
      <c r="J23" s="161"/>
      <c r="K23" s="932">
        <f t="shared" si="0"/>
        <v>85.899999999999864</v>
      </c>
      <c r="L23" s="1163"/>
      <c r="M23" s="1163"/>
    </row>
    <row r="24" spans="1:13">
      <c r="A24" s="809" t="s">
        <v>19</v>
      </c>
      <c r="B24" s="155" t="s">
        <v>14</v>
      </c>
      <c r="C24" s="115">
        <f>+'Exh D General Fund'!C24+'Exh D Special Revenue'!C23+'Exh D Debt Service'!C23+'Exh D Capital Projects'!C23</f>
        <v>10864</v>
      </c>
      <c r="D24" s="115"/>
      <c r="E24" s="115">
        <f>+'Exh D General Fund'!E24+'Exh D Special Revenue'!E23+'Exh D Debt Service'!E23+'Exh D Capital Projects'!E23</f>
        <v>11670</v>
      </c>
      <c r="F24" s="63"/>
      <c r="G24" s="115">
        <f>+'Exh D General Fund'!G24+'Exh D Special Revenue'!G23+'Exh D Debt Service'!G23+'Exh D Capital Projects'!G23</f>
        <v>11494.7</v>
      </c>
      <c r="H24" s="63"/>
      <c r="I24" s="63">
        <f t="shared" si="1"/>
        <v>630.70000000000073</v>
      </c>
      <c r="J24" s="162"/>
      <c r="K24" s="932">
        <f t="shared" si="0"/>
        <v>-175.29999999999927</v>
      </c>
      <c r="M24" s="1163"/>
    </row>
    <row r="25" spans="1:13" ht="15" customHeight="1">
      <c r="A25" s="809" t="s">
        <v>20</v>
      </c>
      <c r="B25" s="155" t="s">
        <v>14</v>
      </c>
      <c r="C25" s="666">
        <f>+'Exh D General Fund'!C25+'Exh D Debt Service'!C24+'Exh D Special Revenue'!C24+'Exh D Capital Projects'!C24</f>
        <v>55679</v>
      </c>
      <c r="D25" s="115"/>
      <c r="E25" s="666">
        <f>+'Exh D General Fund'!E25+'Exh D Special Revenue'!E24+'Exh D Debt Service'!E24+'Exh D Capital Projects'!E24</f>
        <v>53470</v>
      </c>
      <c r="F25" s="63"/>
      <c r="G25" s="273">
        <f>+'Exh D General Fund'!G25+'Exh D Special Revenue'!G24+'Exh D Debt Service'!G24+'Exh D Capital Projects'!G24</f>
        <v>52300.399999999994</v>
      </c>
      <c r="H25" s="63"/>
      <c r="I25" s="63">
        <f t="shared" si="1"/>
        <v>-3378.6000000000058</v>
      </c>
      <c r="J25" s="162"/>
      <c r="K25" s="932">
        <f t="shared" si="0"/>
        <v>-1169.6000000000058</v>
      </c>
      <c r="M25" s="1163"/>
    </row>
    <row r="26" spans="1:13">
      <c r="A26" s="170" t="s">
        <v>91</v>
      </c>
      <c r="B26" s="148" t="s">
        <v>14</v>
      </c>
      <c r="C26" s="1470">
        <f>ROUND(SUM(C20:C25),1)</f>
        <v>112270</v>
      </c>
      <c r="D26" s="109"/>
      <c r="E26" s="1470">
        <f>ROUND(SUM(E20:E25),1)</f>
        <v>116254</v>
      </c>
      <c r="F26" s="59"/>
      <c r="G26" s="212">
        <f>ROUND(SUM(G20:G25),1)</f>
        <v>116739.7</v>
      </c>
      <c r="H26" s="59"/>
      <c r="I26" s="212">
        <f>ROUND(SUM(I20:I25),1)</f>
        <v>4469.7</v>
      </c>
      <c r="J26" s="163"/>
      <c r="K26" s="212">
        <f>ROUND(SUM(K20:K25),1)</f>
        <v>485.7</v>
      </c>
      <c r="M26" s="1163"/>
    </row>
    <row r="27" spans="1:13">
      <c r="A27" s="28"/>
      <c r="B27" s="155" t="s">
        <v>14</v>
      </c>
      <c r="C27" s="123"/>
      <c r="D27" s="115"/>
      <c r="E27" s="123"/>
      <c r="F27" s="63"/>
      <c r="G27" s="85"/>
      <c r="H27" s="63"/>
      <c r="I27" s="85"/>
      <c r="J27" s="56"/>
      <c r="K27" s="85"/>
      <c r="M27" s="1163"/>
    </row>
    <row r="28" spans="1:13">
      <c r="A28" s="26" t="s">
        <v>22</v>
      </c>
      <c r="B28" s="155" t="s">
        <v>14</v>
      </c>
      <c r="C28" s="115"/>
      <c r="D28" s="115"/>
      <c r="E28" s="115"/>
      <c r="F28" s="63"/>
      <c r="G28" s="63"/>
      <c r="H28" s="63"/>
      <c r="I28" s="63"/>
      <c r="J28" s="162"/>
      <c r="K28" s="53"/>
      <c r="M28" s="1163"/>
    </row>
    <row r="29" spans="1:13">
      <c r="A29" s="809" t="s">
        <v>92</v>
      </c>
      <c r="B29" s="155" t="s">
        <v>14</v>
      </c>
      <c r="C29" s="666">
        <f>+'Exh D General Fund'!C34+'Exh D Special Revenue'!C29+'Exh D Capital Projects'!C30</f>
        <v>73771</v>
      </c>
      <c r="D29" s="115"/>
      <c r="E29" s="666">
        <f>+'Exh D General Fund'!E34+'Exh D Special Revenue'!E29+'Exh D Capital Projects'!E30</f>
        <v>71148</v>
      </c>
      <c r="F29" s="63"/>
      <c r="G29" s="666">
        <f>+'Exh D General Fund'!G34+'Exh D Special Revenue'!G29+'Exh D Capital Projects'!G30</f>
        <v>70011.799999999988</v>
      </c>
      <c r="H29" s="63"/>
      <c r="I29" s="63">
        <f t="shared" ref="I29:I33" si="2">G29-C29</f>
        <v>-3759.2000000000116</v>
      </c>
      <c r="J29" s="162"/>
      <c r="K29" s="932">
        <f>G29-E29</f>
        <v>-1136.2000000000116</v>
      </c>
      <c r="M29" s="1163"/>
    </row>
    <row r="30" spans="1:13">
      <c r="A30" s="809" t="s">
        <v>93</v>
      </c>
      <c r="B30" s="155" t="s">
        <v>14</v>
      </c>
      <c r="C30" s="116">
        <f>+'Exh D General Fund'!C35+'Exh D Special Revenue'!C30+'Exh D Debt Service'!C29</f>
        <v>11957</v>
      </c>
      <c r="D30" s="115"/>
      <c r="E30" s="116">
        <f>+'Exh D General Fund'!E35+'Exh D Special Revenue'!E30+'Exh D Debt Service'!E29</f>
        <v>11388</v>
      </c>
      <c r="F30" s="63"/>
      <c r="G30" s="74">
        <f>+'Exh D General Fund'!G35+'Exh D Special Revenue'!G30+'Exh D Debt Service'!G29</f>
        <v>11312.3</v>
      </c>
      <c r="H30" s="63"/>
      <c r="I30" s="63">
        <f t="shared" si="2"/>
        <v>-644.70000000000073</v>
      </c>
      <c r="J30" s="162"/>
      <c r="K30" s="932">
        <f>G30-E30</f>
        <v>-75.700000000000728</v>
      </c>
      <c r="M30" s="1163"/>
    </row>
    <row r="31" spans="1:13">
      <c r="A31" s="809" t="s">
        <v>68</v>
      </c>
      <c r="B31" s="155" t="s">
        <v>14</v>
      </c>
      <c r="C31" s="666">
        <f>+'Exh D General Fund'!C36+'Exh D Special Revenue'!C31</f>
        <v>5751</v>
      </c>
      <c r="D31" s="115"/>
      <c r="E31" s="666">
        <f>+'Exh D General Fund'!E36+'Exh D Special Revenue'!E31</f>
        <v>5730</v>
      </c>
      <c r="F31" s="63"/>
      <c r="G31" s="273">
        <f>+'Exh D General Fund'!G36+'Exh D Special Revenue'!G31</f>
        <v>5774</v>
      </c>
      <c r="H31" s="63"/>
      <c r="I31" s="63">
        <f t="shared" si="2"/>
        <v>23</v>
      </c>
      <c r="J31" s="162"/>
      <c r="K31" s="932">
        <f>G31-E31</f>
        <v>44</v>
      </c>
      <c r="M31" s="1163"/>
    </row>
    <row r="32" spans="1:13">
      <c r="A32" s="809" t="s">
        <v>94</v>
      </c>
      <c r="B32" s="155" t="s">
        <v>14</v>
      </c>
      <c r="C32" s="116">
        <f>+'Exh D Debt Service'!C30+'Exh D Special Revenue'!C32</f>
        <v>1310</v>
      </c>
      <c r="D32" s="115"/>
      <c r="E32" s="116">
        <f>+'Exh D Debt Service'!E30+'Exh D Special Revenue'!E32</f>
        <v>1257</v>
      </c>
      <c r="F32" s="63"/>
      <c r="G32" s="74">
        <f>+'Exh D Debt Service'!G30+'Exh D Special Revenue'!K32</f>
        <v>1240.5</v>
      </c>
      <c r="H32" s="63"/>
      <c r="I32" s="63">
        <f t="shared" si="2"/>
        <v>-69.5</v>
      </c>
      <c r="J32" s="162"/>
      <c r="K32" s="932">
        <f>G32-E32</f>
        <v>-16.5</v>
      </c>
      <c r="M32" s="1163"/>
    </row>
    <row r="33" spans="1:14" ht="15" customHeight="1">
      <c r="A33" s="809" t="s">
        <v>41</v>
      </c>
      <c r="B33" s="155" t="s">
        <v>14</v>
      </c>
      <c r="C33" s="666">
        <f>+'Exh D Special Revenue'!C33+'Exh D Capital Projects'!C31</f>
        <v>4148</v>
      </c>
      <c r="D33" s="115"/>
      <c r="E33" s="666">
        <f>+'Exh D Special Revenue'!E33+'Exh D Capital Projects'!E31</f>
        <v>3796</v>
      </c>
      <c r="F33" s="63"/>
      <c r="G33" s="273">
        <f>+'Exh D Special Revenue'!G33+'Exh D Capital Projects'!G31</f>
        <v>3507.6</v>
      </c>
      <c r="H33" s="63"/>
      <c r="I33" s="63">
        <f t="shared" si="2"/>
        <v>-640.40000000000009</v>
      </c>
      <c r="J33" s="162"/>
      <c r="K33" s="932">
        <f>G33-E33</f>
        <v>-288.40000000000009</v>
      </c>
      <c r="M33" s="1163"/>
    </row>
    <row r="34" spans="1:14" ht="15.75" customHeight="1">
      <c r="A34" s="170" t="s">
        <v>95</v>
      </c>
      <c r="B34" s="148" t="s">
        <v>14</v>
      </c>
      <c r="C34" s="1085">
        <f>ROUND(SUM(C29:C33),1)</f>
        <v>96937</v>
      </c>
      <c r="D34" s="109"/>
      <c r="E34" s="1085">
        <f>ROUND(SUM(E29:E33),1)</f>
        <v>93319</v>
      </c>
      <c r="F34" s="59"/>
      <c r="G34" s="291">
        <f>ROUND(SUM(G29:G33),1)</f>
        <v>91846.2</v>
      </c>
      <c r="H34" s="59"/>
      <c r="I34" s="291">
        <f>ROUND(SUM(I29:I33),1)</f>
        <v>-5090.8</v>
      </c>
      <c r="J34" s="163"/>
      <c r="K34" s="291">
        <f>ROUND(SUM(K29:K33),1)</f>
        <v>-1472.8</v>
      </c>
      <c r="M34" s="1163"/>
    </row>
    <row r="35" spans="1:14">
      <c r="A35" s="28"/>
      <c r="B35" s="155"/>
      <c r="C35" s="115"/>
      <c r="D35" s="115"/>
      <c r="E35" s="115"/>
      <c r="F35" s="63"/>
      <c r="G35" s="63"/>
      <c r="H35" s="63"/>
      <c r="I35" s="63"/>
      <c r="J35" s="162"/>
      <c r="K35" s="53"/>
      <c r="M35" s="1163"/>
    </row>
    <row r="36" spans="1:14">
      <c r="A36" s="170" t="s">
        <v>43</v>
      </c>
      <c r="B36" s="155"/>
      <c r="C36" s="115"/>
      <c r="D36" s="115"/>
      <c r="E36" s="115"/>
      <c r="F36" s="63"/>
      <c r="G36" s="63"/>
      <c r="H36" s="63"/>
      <c r="I36" s="63"/>
      <c r="J36" s="162"/>
      <c r="K36" s="53"/>
      <c r="M36" s="1163"/>
    </row>
    <row r="37" spans="1:14">
      <c r="A37" s="170" t="s">
        <v>44</v>
      </c>
      <c r="B37" s="155" t="s">
        <v>14</v>
      </c>
      <c r="C37" s="110">
        <f>ROUND(SUM(+C26-C34),1)</f>
        <v>15333</v>
      </c>
      <c r="D37" s="115"/>
      <c r="E37" s="110">
        <f>ROUND(SUM(+E26-E34),1)</f>
        <v>22935</v>
      </c>
      <c r="F37" s="63"/>
      <c r="G37" s="71">
        <f>ROUND(SUM(+G26-G34),1)</f>
        <v>24893.5</v>
      </c>
      <c r="H37" s="63"/>
      <c r="I37" s="71">
        <f>ROUND(SUM(+I26-I34),1)</f>
        <v>9560.5</v>
      </c>
      <c r="J37" s="56"/>
      <c r="K37" s="818">
        <f>ROUND(SUM(+K26-K34),1)</f>
        <v>1958.5</v>
      </c>
      <c r="M37" s="1163"/>
    </row>
    <row r="38" spans="1:14">
      <c r="A38" s="28"/>
      <c r="B38" s="155"/>
      <c r="C38" s="115"/>
      <c r="D38" s="115"/>
      <c r="E38" s="115"/>
      <c r="F38" s="63"/>
      <c r="G38" s="63"/>
      <c r="H38" s="63"/>
      <c r="I38" s="63"/>
      <c r="J38" s="162"/>
      <c r="K38" s="53"/>
      <c r="M38" s="1163"/>
    </row>
    <row r="39" spans="1:14">
      <c r="A39" s="170" t="s">
        <v>45</v>
      </c>
      <c r="B39" s="155"/>
      <c r="C39" s="115"/>
      <c r="D39" s="115"/>
      <c r="E39" s="115"/>
      <c r="F39" s="63"/>
      <c r="G39" s="63"/>
      <c r="H39" s="63"/>
      <c r="I39" s="63"/>
      <c r="J39" s="162"/>
      <c r="K39" s="53"/>
      <c r="M39" s="1163"/>
      <c r="N39" s="920" t="s">
        <v>14</v>
      </c>
    </row>
    <row r="40" spans="1:14">
      <c r="A40" s="809" t="s">
        <v>96</v>
      </c>
      <c r="B40" s="155" t="s">
        <v>14</v>
      </c>
      <c r="C40" s="1069">
        <f>'Exh D Captl Projects State Fed'!C25</f>
        <v>0</v>
      </c>
      <c r="D40" s="115"/>
      <c r="E40" s="1069">
        <f>'Exh D Captl Projects State Fed'!E25</f>
        <v>0</v>
      </c>
      <c r="F40" s="63"/>
      <c r="G40" s="274">
        <f>'Exh D Captl Projects State Fed'!G25</f>
        <v>0</v>
      </c>
      <c r="H40" s="63"/>
      <c r="I40" s="63">
        <f>ROUND(SUM(G40)-SUM(C40),1)</f>
        <v>0</v>
      </c>
      <c r="J40" s="168"/>
      <c r="K40" s="932">
        <v>0</v>
      </c>
      <c r="M40" s="1163"/>
    </row>
    <row r="41" spans="1:14">
      <c r="A41" s="809" t="s">
        <v>46</v>
      </c>
      <c r="B41" s="155" t="s">
        <v>14</v>
      </c>
      <c r="C41" s="116">
        <f>+'Exh D General Fund'!C27+'Exh D General Fund'!C28+'Exh D General Fund'!C29+'Exh D General Fund'!C30+'Exh D Special Revenue'!C25+'Exh D Debt Service'!C25+'Exh D Capital Projects'!C26</f>
        <v>26611</v>
      </c>
      <c r="D41" s="115"/>
      <c r="E41" s="116">
        <f>+'Exh D General Fund'!E27+'Exh D General Fund'!E28+'Exh D General Fund'!E29+'Exh D General Fund'!E30+'Exh D Special Revenue'!E25+'Exh D Debt Service'!E25+'Exh D Capital Projects'!E26</f>
        <v>29912</v>
      </c>
      <c r="F41" s="63"/>
      <c r="G41" s="74">
        <f>+'Exh D General Fund'!G27+'Exh D General Fund'!G28+'Exh D General Fund'!G29+'Exh D General Fund'!G30+'Exh D Special Revenue'!K25+'Exh D Debt Service'!G25+'Exh D Capital Projects'!K26</f>
        <v>30339.000000000004</v>
      </c>
      <c r="H41" s="63"/>
      <c r="I41" s="1515">
        <f>ROUND(SUM(G41)-SUM(C41),1)</f>
        <v>3728</v>
      </c>
      <c r="J41" s="162"/>
      <c r="K41" s="932">
        <f>ROUND(SUM(G41)-SUM(E41),1)</f>
        <v>427</v>
      </c>
      <c r="M41" s="1163"/>
    </row>
    <row r="42" spans="1:14">
      <c r="A42" s="809" t="s">
        <v>97</v>
      </c>
      <c r="B42" s="155" t="s">
        <v>14</v>
      </c>
      <c r="C42" s="2127">
        <f>-(+'Exh D General Fund'!C38+'Exh D General Fund'!C39+'Exh D General Fund'!C40+'Exh D General Fund'!C41+'Exh D General Fund'!C42+'Exh D Special Revenue'!C34+'Exh D Debt Service'!C31+'Exh D Capital Projects'!C32)</f>
        <v>-26687</v>
      </c>
      <c r="D42" s="115"/>
      <c r="E42" s="2127">
        <f>-(+'Exh D General Fund'!E38+'Exh D General Fund'!E39+'Exh D General Fund'!E40+'Exh D General Fund'!E41+'Exh D General Fund'!E42+'Exh D Special Revenue'!E34+'Exh D Debt Service'!E31+'Exh D Capital Projects'!E32)</f>
        <v>-29987</v>
      </c>
      <c r="F42" s="63"/>
      <c r="G42" s="278">
        <f>-(+'Exh D General Fund'!G38+'Exh D General Fund'!G39+'Exh D General Fund'!G40+'Exh D General Fund'!G41+'Exh D General Fund'!G42+'Exh D Special Revenue'!K34+'Exh D Debt Service'!G31+'Exh D Capital Projects'!K32)</f>
        <v>-30412.799999999999</v>
      </c>
      <c r="H42" s="63"/>
      <c r="I42" s="918">
        <f>-ROUND(SUM(G42)-SUM(C42),1)</f>
        <v>3725.8</v>
      </c>
      <c r="J42" s="56"/>
      <c r="K42" s="918">
        <f>-ROUND(SUM(G42)-SUM(E42),1)</f>
        <v>425.8</v>
      </c>
      <c r="M42" s="1163"/>
    </row>
    <row r="43" spans="1:14">
      <c r="A43" s="170" t="s">
        <v>98</v>
      </c>
      <c r="B43" s="155" t="s">
        <v>14</v>
      </c>
      <c r="C43" s="117">
        <f>ROUND(+SUM(C40)+C41+C42,1)</f>
        <v>-76</v>
      </c>
      <c r="D43" s="115"/>
      <c r="E43" s="117">
        <f>ROUND(+SUM(E40)+E41+E42,1)</f>
        <v>-75</v>
      </c>
      <c r="F43" s="63"/>
      <c r="G43" s="280">
        <f>ROUND(+SUM(G40)+G41+G42,1)</f>
        <v>-73.8</v>
      </c>
      <c r="H43" s="63"/>
      <c r="I43" s="280">
        <f>ROUND(SUM(I40+I41-I42),1)</f>
        <v>2.2000000000000002</v>
      </c>
      <c r="J43" s="169"/>
      <c r="K43" s="1562">
        <f>ROUND(SUM(K40+K41-K42),1)</f>
        <v>1.2</v>
      </c>
      <c r="M43" s="1163"/>
    </row>
    <row r="44" spans="1:14">
      <c r="A44" s="170"/>
      <c r="B44" s="155"/>
      <c r="C44" s="116"/>
      <c r="D44" s="115"/>
      <c r="E44" s="116"/>
      <c r="F44" s="63"/>
      <c r="G44" s="74"/>
      <c r="H44" s="63"/>
      <c r="I44" s="74"/>
      <c r="J44" s="157"/>
      <c r="K44" s="75"/>
      <c r="M44" s="1163"/>
    </row>
    <row r="45" spans="1:14">
      <c r="A45" s="26" t="s">
        <v>99</v>
      </c>
      <c r="B45" s="155"/>
      <c r="C45" s="115"/>
      <c r="D45" s="115"/>
      <c r="E45" s="115"/>
      <c r="F45" s="63"/>
      <c r="G45" s="63"/>
      <c r="H45" s="63"/>
      <c r="I45" s="63"/>
      <c r="J45" s="162"/>
      <c r="K45" s="53"/>
      <c r="M45" s="1163"/>
    </row>
    <row r="46" spans="1:14" ht="15" customHeight="1">
      <c r="A46" s="26" t="s">
        <v>100</v>
      </c>
      <c r="B46" s="155"/>
      <c r="C46" s="115"/>
      <c r="D46" s="115"/>
      <c r="E46" s="115"/>
      <c r="F46" s="63"/>
      <c r="G46" s="63"/>
      <c r="H46" s="63"/>
      <c r="I46" s="63"/>
      <c r="J46" s="162"/>
      <c r="K46" s="53"/>
      <c r="M46" s="1163"/>
    </row>
    <row r="47" spans="1:14">
      <c r="A47" s="170" t="s">
        <v>101</v>
      </c>
      <c r="B47" s="171" t="s">
        <v>14</v>
      </c>
      <c r="C47" s="112">
        <f>ROUND(SUM(C26)-SUM(C34)+C43,1)</f>
        <v>15257</v>
      </c>
      <c r="D47" s="1094"/>
      <c r="E47" s="112">
        <f>ROUND(SUM(E26)-SUM(E34)+E43,1)</f>
        <v>22860</v>
      </c>
      <c r="F47" s="81"/>
      <c r="G47" s="73">
        <f>ROUND(SUM(G26)-SUM(G34)+G43,1)</f>
        <v>24819.7</v>
      </c>
      <c r="H47" s="81"/>
      <c r="I47" s="73">
        <f>ROUND(SUM(I26)-SUM(I34)+I43,1)</f>
        <v>9562.7000000000007</v>
      </c>
      <c r="J47" s="163"/>
      <c r="K47" s="1516">
        <f>ROUND(SUM(K26)-SUM(K34)+K43,1)</f>
        <v>1959.7</v>
      </c>
      <c r="M47" s="1163"/>
    </row>
    <row r="48" spans="1:14">
      <c r="A48" s="31"/>
      <c r="B48" s="173"/>
      <c r="C48" s="1777"/>
      <c r="D48" s="2128"/>
      <c r="E48" s="1777"/>
      <c r="F48" s="670"/>
      <c r="G48" s="337"/>
      <c r="H48" s="670"/>
      <c r="I48" s="337"/>
      <c r="J48" s="175"/>
      <c r="K48" s="1516" t="s">
        <v>14</v>
      </c>
      <c r="M48" s="1163"/>
    </row>
    <row r="49" spans="1:13">
      <c r="A49" s="170" t="s">
        <v>102</v>
      </c>
      <c r="B49" s="176" t="s">
        <v>14</v>
      </c>
      <c r="C49" s="112">
        <f>'Exh D General Fund'!C49+'Exh D Special Revenue'!C41+'Exh D Debt Service'!C38+'Exh D Capital Projects'!C39</f>
        <v>18751</v>
      </c>
      <c r="D49" s="2128"/>
      <c r="E49" s="112">
        <v>18751</v>
      </c>
      <c r="F49" s="670"/>
      <c r="G49" s="73">
        <f>'Exh D General Fund'!G49+'Exh D Special Revenue'!G41+'Exh D Debt Service'!G38+'Exh D Capital Projects'!G39</f>
        <v>18751.099999999999</v>
      </c>
      <c r="H49" s="670"/>
      <c r="I49" s="3034">
        <f t="shared" ref="I49" si="3">ROUND(SUM(G49)-SUM(C49),1)</f>
        <v>0.1</v>
      </c>
      <c r="J49" s="163"/>
      <c r="K49" s="1516">
        <f>G49-E49</f>
        <v>9.9999999998544808E-2</v>
      </c>
      <c r="M49" s="1163"/>
    </row>
    <row r="50" spans="1:13" ht="16" thickBot="1">
      <c r="A50" s="1563" t="s">
        <v>1562</v>
      </c>
      <c r="B50" s="177" t="s">
        <v>14</v>
      </c>
      <c r="C50" s="1472">
        <f>ROUND(SUM(C47:C49),1)</f>
        <v>34008</v>
      </c>
      <c r="D50" s="2043"/>
      <c r="E50" s="1472">
        <f>ROUND(SUM(E47:E49),1)</f>
        <v>41611</v>
      </c>
      <c r="F50" s="178"/>
      <c r="G50" s="95">
        <f>ROUND(SUM(G47:G49),1)</f>
        <v>43570.8</v>
      </c>
      <c r="H50" s="178"/>
      <c r="I50" s="95">
        <f>ROUND(SUM(I47:I49),1)</f>
        <v>9562.7999999999993</v>
      </c>
      <c r="J50" s="179"/>
      <c r="K50" s="95">
        <f>ROUND(SUM(K47:K49),1)</f>
        <v>1959.8</v>
      </c>
      <c r="M50" s="1163"/>
    </row>
    <row r="51" spans="1:13" ht="16" thickTop="1">
      <c r="A51" s="31"/>
      <c r="B51" s="173"/>
      <c r="C51" s="2129"/>
      <c r="D51" s="2130"/>
      <c r="E51" s="2129"/>
      <c r="F51" s="174"/>
      <c r="G51" s="174"/>
      <c r="H51" s="174"/>
      <c r="I51" s="174"/>
      <c r="J51" s="174"/>
      <c r="K51" s="173"/>
      <c r="M51" s="1163"/>
    </row>
    <row r="52" spans="1:13">
      <c r="A52" s="925" t="s">
        <v>1503</v>
      </c>
      <c r="G52" s="1163"/>
      <c r="K52" s="1186"/>
      <c r="M52" s="1163"/>
    </row>
    <row r="53" spans="1:13">
      <c r="A53" s="925" t="s">
        <v>1553</v>
      </c>
      <c r="G53" s="1163"/>
    </row>
    <row r="54" spans="1:13">
      <c r="A54" s="181"/>
      <c r="G54" s="352"/>
    </row>
    <row r="55" spans="1:13">
      <c r="A55" s="180"/>
      <c r="G55" s="1163"/>
    </row>
    <row r="56" spans="1:13">
      <c r="A56" s="180"/>
    </row>
  </sheetData>
  <mergeCells count="2">
    <mergeCell ref="A5:E5"/>
    <mergeCell ref="C11:I11"/>
  </mergeCells>
  <printOptions horizontalCentered="1"/>
  <pageMargins left="0.7" right="0.7" top="0.75" bottom="1" header="0.5" footer="0.25"/>
  <pageSetup scale="61"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
    <pageSetUpPr fitToPage="1"/>
  </sheetPr>
  <dimension ref="A1:L55"/>
  <sheetViews>
    <sheetView showGridLines="0" zoomScale="90" workbookViewId="0"/>
  </sheetViews>
  <sheetFormatPr defaultColWidth="8.84375" defaultRowHeight="15.5"/>
  <cols>
    <col min="1" max="1" width="45.84375" style="98" customWidth="1"/>
    <col min="2" max="2" width="2.4609375" style="98" customWidth="1"/>
    <col min="3" max="3" width="15.07421875" style="98" customWidth="1"/>
    <col min="4" max="4" width="1.84375" style="98" customWidth="1"/>
    <col min="5" max="5" width="15.07421875" style="98" customWidth="1"/>
    <col min="6" max="6" width="2.84375" style="98" customWidth="1"/>
    <col min="7" max="7" width="15.07421875" style="98" customWidth="1"/>
    <col min="8" max="8" width="5.07421875" style="98" customWidth="1"/>
    <col min="9" max="9" width="15.07421875" style="98" customWidth="1"/>
    <col min="10" max="10" width="2.07421875" style="98" customWidth="1"/>
    <col min="11" max="11" width="15.07421875" style="98" customWidth="1"/>
    <col min="12" max="16384" width="8.84375" style="98"/>
  </cols>
  <sheetData>
    <row r="1" spans="1:11">
      <c r="A1" s="912" t="s">
        <v>882</v>
      </c>
    </row>
    <row r="2" spans="1:11">
      <c r="A2" s="815"/>
    </row>
    <row r="3" spans="1:11" ht="17.25" customHeight="1">
      <c r="A3" s="138" t="s">
        <v>0</v>
      </c>
      <c r="B3" s="139"/>
      <c r="C3" s="139"/>
      <c r="D3" s="140"/>
      <c r="E3" s="139"/>
      <c r="F3" s="140"/>
      <c r="G3" s="140"/>
      <c r="H3" s="140"/>
      <c r="I3" s="140"/>
      <c r="J3" s="140"/>
      <c r="K3" s="141" t="s">
        <v>82</v>
      </c>
    </row>
    <row r="4" spans="1:11" ht="17.25" customHeight="1">
      <c r="A4" s="138" t="s">
        <v>81</v>
      </c>
      <c r="B4" s="139"/>
      <c r="C4" s="139"/>
      <c r="D4" s="140"/>
      <c r="E4" s="139"/>
      <c r="F4" s="140"/>
      <c r="G4" s="140"/>
      <c r="H4" s="140"/>
      <c r="I4" s="141"/>
      <c r="J4" s="142"/>
      <c r="K4" s="812"/>
    </row>
    <row r="5" spans="1:11" ht="17.25" customHeight="1">
      <c r="A5" s="3957" t="str">
        <f>'Exh D-Governmental  '!A5:E5</f>
        <v>FISCAL YEAR 2021-2022</v>
      </c>
      <c r="B5" s="3958"/>
      <c r="C5" s="3958"/>
      <c r="D5" s="3958"/>
      <c r="E5" s="3958"/>
      <c r="F5" s="140"/>
      <c r="G5" s="143"/>
      <c r="H5" s="140"/>
      <c r="I5" s="812"/>
      <c r="J5" s="140"/>
    </row>
    <row r="6" spans="1:11" ht="17.25" customHeight="1">
      <c r="A6" s="1459" t="str">
        <f>'Exh D-Governmental  '!A6</f>
        <v xml:space="preserve">FOR SIX MONTHS ENDED SEPTEMBER 30, 2021    </v>
      </c>
      <c r="B6" s="144"/>
      <c r="C6" s="145"/>
      <c r="D6" s="140"/>
      <c r="E6" s="145"/>
      <c r="F6" s="140"/>
      <c r="G6" s="140"/>
      <c r="H6" s="140"/>
      <c r="I6" s="140"/>
      <c r="J6" s="140"/>
      <c r="K6" s="140"/>
    </row>
    <row r="7" spans="1:11" ht="18">
      <c r="A7" s="188" t="s">
        <v>1278</v>
      </c>
      <c r="B7" s="145"/>
      <c r="C7" s="145"/>
      <c r="D7" s="140"/>
      <c r="E7" s="145"/>
      <c r="F7" s="140"/>
      <c r="G7" s="140"/>
      <c r="H7" s="140"/>
      <c r="I7" s="140"/>
      <c r="J7" s="140"/>
      <c r="K7" s="140"/>
    </row>
    <row r="8" spans="1:11" ht="17.5">
      <c r="A8" s="146"/>
      <c r="B8" s="140"/>
      <c r="C8" s="140"/>
      <c r="D8" s="140"/>
      <c r="E8" s="140"/>
      <c r="F8" s="140"/>
      <c r="G8" s="140"/>
      <c r="H8" s="140"/>
      <c r="I8" s="140"/>
      <c r="J8" s="140"/>
      <c r="K8" s="140"/>
    </row>
    <row r="9" spans="1:11">
      <c r="A9" s="147"/>
      <c r="B9" s="140"/>
      <c r="C9" s="140"/>
      <c r="D9" s="140"/>
      <c r="E9" s="140"/>
      <c r="F9" s="140"/>
      <c r="G9" s="140"/>
      <c r="H9" s="140"/>
      <c r="I9" s="140"/>
      <c r="J9" s="140"/>
      <c r="K9" s="140"/>
    </row>
    <row r="10" spans="1:11">
      <c r="A10" s="147"/>
      <c r="B10" s="140"/>
      <c r="C10" s="140"/>
      <c r="D10" s="140"/>
      <c r="E10" s="140"/>
      <c r="F10" s="140"/>
      <c r="G10" s="140"/>
      <c r="H10" s="140"/>
      <c r="I10" s="140"/>
      <c r="J10" s="140"/>
      <c r="K10" s="140"/>
    </row>
    <row r="11" spans="1:11">
      <c r="A11" s="679"/>
      <c r="B11" s="148"/>
      <c r="C11" s="3956" t="s">
        <v>1547</v>
      </c>
      <c r="D11" s="3956"/>
      <c r="E11" s="3956"/>
      <c r="F11" s="3956"/>
      <c r="G11" s="3956"/>
      <c r="H11" s="3956"/>
      <c r="I11" s="3956"/>
      <c r="J11" s="1166"/>
      <c r="K11" s="1162"/>
    </row>
    <row r="12" spans="1:11">
      <c r="A12" s="679"/>
      <c r="B12" s="148"/>
      <c r="C12" s="149"/>
      <c r="D12" s="149"/>
      <c r="E12" s="149"/>
      <c r="F12" s="149"/>
      <c r="G12" s="149"/>
      <c r="H12" s="149"/>
      <c r="I12" s="150" t="s">
        <v>83</v>
      </c>
      <c r="J12" s="150"/>
      <c r="K12" s="150" t="s">
        <v>83</v>
      </c>
    </row>
    <row r="13" spans="1:11">
      <c r="A13" s="679"/>
      <c r="B13" s="148"/>
      <c r="C13" s="149"/>
      <c r="D13" s="149"/>
      <c r="E13" s="149"/>
      <c r="F13" s="149"/>
      <c r="G13" s="149"/>
      <c r="H13" s="149"/>
      <c r="I13" s="150" t="s">
        <v>795</v>
      </c>
      <c r="J13" s="150"/>
      <c r="K13" s="150" t="s">
        <v>795</v>
      </c>
    </row>
    <row r="14" spans="1:11">
      <c r="A14" s="679"/>
      <c r="B14" s="148"/>
      <c r="C14" s="151" t="s">
        <v>991</v>
      </c>
      <c r="D14" s="149"/>
      <c r="E14" s="150" t="s">
        <v>992</v>
      </c>
      <c r="F14" s="149"/>
      <c r="G14" s="149"/>
      <c r="H14" s="149"/>
      <c r="I14" s="150" t="s">
        <v>84</v>
      </c>
      <c r="J14" s="150"/>
      <c r="K14" s="150" t="s">
        <v>84</v>
      </c>
    </row>
    <row r="15" spans="1:11">
      <c r="A15" s="679"/>
      <c r="B15" s="148"/>
      <c r="C15" s="196" t="s">
        <v>1028</v>
      </c>
      <c r="D15" s="195"/>
      <c r="E15" s="196" t="s">
        <v>1028</v>
      </c>
      <c r="F15" s="149"/>
      <c r="G15" s="149"/>
      <c r="H15" s="149"/>
      <c r="I15" s="150" t="s">
        <v>991</v>
      </c>
      <c r="J15" s="150"/>
      <c r="K15" s="150" t="s">
        <v>992</v>
      </c>
    </row>
    <row r="16" spans="1:11">
      <c r="A16" s="679"/>
      <c r="B16" s="148"/>
      <c r="C16" s="196" t="s">
        <v>1029</v>
      </c>
      <c r="D16" s="195"/>
      <c r="E16" s="150" t="s">
        <v>1544</v>
      </c>
      <c r="F16" s="149"/>
      <c r="G16" s="151" t="s">
        <v>83</v>
      </c>
      <c r="H16" s="149"/>
      <c r="I16" s="150" t="s">
        <v>85</v>
      </c>
      <c r="J16" s="150"/>
      <c r="K16" s="150" t="s">
        <v>85</v>
      </c>
    </row>
    <row r="17" spans="1:12">
      <c r="A17" s="152"/>
      <c r="B17" s="153"/>
      <c r="C17" s="1625"/>
      <c r="D17" s="145"/>
      <c r="E17" s="1625"/>
      <c r="F17" s="140"/>
      <c r="G17" s="154"/>
      <c r="H17" s="140"/>
      <c r="I17" s="154"/>
      <c r="J17" s="153"/>
      <c r="K17" s="154"/>
    </row>
    <row r="18" spans="1:12">
      <c r="A18" s="26" t="s">
        <v>13</v>
      </c>
      <c r="B18" s="913"/>
      <c r="C18" s="1626"/>
      <c r="D18" s="1626"/>
      <c r="E18" s="1626"/>
      <c r="F18" s="648"/>
      <c r="G18" s="648"/>
      <c r="H18" s="648"/>
      <c r="I18" s="913"/>
      <c r="J18" s="648"/>
      <c r="K18" s="913"/>
    </row>
    <row r="19" spans="1:12" ht="15" customHeight="1">
      <c r="A19" s="809" t="s">
        <v>86</v>
      </c>
      <c r="B19" s="914" t="s">
        <v>14</v>
      </c>
      <c r="C19" s="2131"/>
      <c r="D19" s="1920"/>
      <c r="E19" s="2131"/>
      <c r="F19" s="914"/>
      <c r="G19" s="915"/>
      <c r="H19" s="914"/>
      <c r="I19" s="1185"/>
      <c r="J19" s="915"/>
      <c r="K19" s="1185"/>
    </row>
    <row r="20" spans="1:12">
      <c r="A20" s="809" t="s">
        <v>87</v>
      </c>
      <c r="B20" s="914" t="s">
        <v>14</v>
      </c>
      <c r="C20" s="883">
        <f>'Exh D General Fund'!C20+'Exh D Special Revenue State Fed'!C20+'Exh D Debt Service'!C20</f>
        <v>31006</v>
      </c>
      <c r="D20" s="882"/>
      <c r="E20" s="883">
        <f>'Exh D General Fund'!E20+'Exh D Special Revenue State Fed'!E20+'Exh D Debt Service'!E20</f>
        <v>35212</v>
      </c>
      <c r="F20" s="651"/>
      <c r="G20" s="649">
        <f>+'Exh A Supp'!T15</f>
        <v>35795.199999999997</v>
      </c>
      <c r="H20" s="651"/>
      <c r="I20" s="960">
        <f>G20-C20</f>
        <v>4789.1999999999971</v>
      </c>
      <c r="J20" s="916"/>
      <c r="K20" s="960">
        <f>G20-E20</f>
        <v>583.19999999999709</v>
      </c>
    </row>
    <row r="21" spans="1:12">
      <c r="A21" s="809" t="s">
        <v>88</v>
      </c>
      <c r="B21" s="913" t="s">
        <v>14</v>
      </c>
      <c r="C21" s="884">
        <f>'Exh D General Fund'!C21+'Exh D Special Revenue State Fed'!C21+'Exh D Debt Service'!C21</f>
        <v>8666</v>
      </c>
      <c r="D21" s="884"/>
      <c r="E21" s="884">
        <f>'Exh D General Fund'!E21+'Exh D Special Revenue State Fed'!E21+'Exh D Debt Service'!E21</f>
        <v>9249</v>
      </c>
      <c r="F21" s="634"/>
      <c r="G21" s="634">
        <f>+'Exh A Supp'!T16</f>
        <v>9497.9</v>
      </c>
      <c r="H21" s="634"/>
      <c r="I21" s="3865">
        <f t="shared" ref="I21:I25" si="0">ROUND(SUM(G21)-SUM(C21),1)</f>
        <v>831.9</v>
      </c>
      <c r="J21" s="916"/>
      <c r="K21" s="932">
        <f t="shared" ref="K21:K25" si="1">G21-E21</f>
        <v>248.89999999999964</v>
      </c>
    </row>
    <row r="22" spans="1:12" ht="15" customHeight="1">
      <c r="A22" s="809" t="s">
        <v>89</v>
      </c>
      <c r="B22" s="914" t="s">
        <v>14</v>
      </c>
      <c r="C22" s="884">
        <f>'Exh D General Fund'!C22+'Exh D Special Revenue State Fed'!C22</f>
        <v>4244</v>
      </c>
      <c r="D22" s="673"/>
      <c r="E22" s="884">
        <f>'Exh D General Fund'!E22+'Exh D Special Revenue State Fed'!E22</f>
        <v>4667</v>
      </c>
      <c r="F22" s="671"/>
      <c r="G22" s="634">
        <f>+'Exh A Supp'!T17</f>
        <v>5587.5</v>
      </c>
      <c r="H22" s="671"/>
      <c r="I22" s="3865">
        <f t="shared" si="0"/>
        <v>1343.5</v>
      </c>
      <c r="J22" s="916"/>
      <c r="K22" s="932">
        <f t="shared" si="1"/>
        <v>920.5</v>
      </c>
    </row>
    <row r="23" spans="1:12" ht="14.25" customHeight="1">
      <c r="A23" s="809" t="s">
        <v>90</v>
      </c>
      <c r="B23" s="913" t="s">
        <v>14</v>
      </c>
      <c r="C23" s="884">
        <f>'Exh D General Fund'!C23+'Exh D Debt Service'!C22</f>
        <v>1154</v>
      </c>
      <c r="D23" s="884"/>
      <c r="E23" s="884">
        <f>'Exh D General Fund'!E23+'Exh D Debt Service'!E22</f>
        <v>1310</v>
      </c>
      <c r="F23" s="634"/>
      <c r="G23" s="634">
        <f>+'Exh A Supp'!T18</f>
        <v>1396.2</v>
      </c>
      <c r="H23" s="634"/>
      <c r="I23" s="3865">
        <f t="shared" si="0"/>
        <v>242.2</v>
      </c>
      <c r="J23" s="916"/>
      <c r="K23" s="932">
        <f t="shared" si="1"/>
        <v>86.200000000000045</v>
      </c>
    </row>
    <row r="24" spans="1:12">
      <c r="A24" s="809" t="s">
        <v>19</v>
      </c>
      <c r="B24" s="913" t="s">
        <v>14</v>
      </c>
      <c r="C24" s="884">
        <f>'Exh D General Fund'!C24+'Exh D Special Revenue State Fed'!C23+'Exh D Debt Service'!C23</f>
        <v>9104</v>
      </c>
      <c r="D24" s="884"/>
      <c r="E24" s="884">
        <f>'Exh D General Fund'!E24+'Exh D Special Revenue State Fed'!E23+'Exh D Debt Service'!E23</f>
        <v>9909</v>
      </c>
      <c r="F24" s="634"/>
      <c r="G24" s="634">
        <f>+'Exh A Supp'!T19</f>
        <v>10124.1</v>
      </c>
      <c r="H24" s="634"/>
      <c r="I24" s="3865">
        <f t="shared" si="0"/>
        <v>1020.1</v>
      </c>
      <c r="J24" s="804"/>
      <c r="K24" s="932">
        <f t="shared" si="1"/>
        <v>215.10000000000036</v>
      </c>
    </row>
    <row r="25" spans="1:12" ht="15" customHeight="1">
      <c r="A25" s="809" t="s">
        <v>20</v>
      </c>
      <c r="B25" s="913" t="s">
        <v>14</v>
      </c>
      <c r="C25" s="674">
        <f>'Exh D General Fund'!C25+'Exh D Special Revenue State Fed'!C24+'Exh D Debt Service'!C24</f>
        <v>206</v>
      </c>
      <c r="D25" s="884"/>
      <c r="E25" s="674">
        <f>'Exh D General Fund'!E25+'Exh D Special Revenue State Fed'!E24+'Exh D Debt Service'!E24</f>
        <v>88</v>
      </c>
      <c r="F25" s="634"/>
      <c r="G25" s="634">
        <f>+'Exh A Supp'!T20</f>
        <v>30.3</v>
      </c>
      <c r="H25" s="634"/>
      <c r="I25" s="3865">
        <f t="shared" si="0"/>
        <v>-175.7</v>
      </c>
      <c r="J25" s="804"/>
      <c r="K25" s="932">
        <f t="shared" si="1"/>
        <v>-57.7</v>
      </c>
    </row>
    <row r="26" spans="1:12">
      <c r="A26" s="170" t="s">
        <v>91</v>
      </c>
      <c r="B26" s="148" t="s">
        <v>14</v>
      </c>
      <c r="C26" s="1470">
        <f>ROUND(SUM(C20:C25),1)</f>
        <v>54380</v>
      </c>
      <c r="D26" s="109"/>
      <c r="E26" s="1470">
        <f>ROUND(SUM(E20:E25),1)</f>
        <v>60435</v>
      </c>
      <c r="F26" s="911"/>
      <c r="G26" s="212">
        <f>ROUND(SUM(G20:G25),1)</f>
        <v>62431.199999999997</v>
      </c>
      <c r="H26" s="911"/>
      <c r="I26" s="212">
        <f>ROUND(SUM(I20:I25),1)</f>
        <v>8051.2</v>
      </c>
      <c r="J26" s="163"/>
      <c r="K26" s="212">
        <f>ROUND(SUM(K20:K25),1)</f>
        <v>1996.2</v>
      </c>
      <c r="L26" s="352"/>
    </row>
    <row r="27" spans="1:12">
      <c r="A27" s="679"/>
      <c r="B27" s="913" t="s">
        <v>14</v>
      </c>
      <c r="C27" s="1031"/>
      <c r="D27" s="884"/>
      <c r="E27" s="1031"/>
      <c r="F27" s="634"/>
      <c r="G27" s="677"/>
      <c r="H27" s="634"/>
      <c r="I27" s="677"/>
      <c r="J27" s="658"/>
      <c r="K27" s="677"/>
    </row>
    <row r="28" spans="1:12">
      <c r="A28" s="26" t="s">
        <v>22</v>
      </c>
      <c r="B28" s="913" t="s">
        <v>14</v>
      </c>
      <c r="C28" s="884"/>
      <c r="D28" s="884"/>
      <c r="E28" s="884"/>
      <c r="F28" s="634"/>
      <c r="G28" s="634"/>
      <c r="H28" s="634"/>
      <c r="I28" s="932"/>
      <c r="J28" s="804"/>
      <c r="K28" s="932"/>
    </row>
    <row r="29" spans="1:12">
      <c r="A29" s="809" t="s">
        <v>92</v>
      </c>
      <c r="B29" s="913" t="s">
        <v>14</v>
      </c>
      <c r="C29" s="674">
        <f>'Exh D General Fund'!C34+'Exh D Special Revenue State Fed'!C29</f>
        <v>35279</v>
      </c>
      <c r="D29" s="884"/>
      <c r="E29" s="674">
        <f>'Exh D General Fund'!E34+'Exh D Special Revenue State Fed'!E29</f>
        <v>33758</v>
      </c>
      <c r="F29" s="634"/>
      <c r="G29" s="675">
        <f>+'Exh A Supp'!T35</f>
        <v>33147.4</v>
      </c>
      <c r="H29" s="634"/>
      <c r="I29" s="3865">
        <f t="shared" ref="I29:I33" si="2">ROUND(SUM(G29)-SUM(C29),1)</f>
        <v>-2131.6</v>
      </c>
      <c r="J29" s="804"/>
      <c r="K29" s="932">
        <f>G29-E29</f>
        <v>-610.59999999999854</v>
      </c>
      <c r="L29" s="352"/>
    </row>
    <row r="30" spans="1:12">
      <c r="A30" s="809" t="s">
        <v>93</v>
      </c>
      <c r="B30" s="913" t="s">
        <v>14</v>
      </c>
      <c r="C30" s="673">
        <f>'Exh D General Fund'!C35+'Exh D Special Revenue State Fed'!C30+'Exh D Debt Service'!C29</f>
        <v>9608</v>
      </c>
      <c r="D30" s="884"/>
      <c r="E30" s="673">
        <f>'Exh D General Fund'!E35+'Exh D Special Revenue State Fed'!E30+'Exh D Debt Service'!E29</f>
        <v>9309</v>
      </c>
      <c r="F30" s="634"/>
      <c r="G30" s="671">
        <f>+'Exh A Supp'!T37+'Exh A Supp'!T38</f>
        <v>9266.5</v>
      </c>
      <c r="H30" s="634"/>
      <c r="I30" s="3865">
        <f t="shared" si="2"/>
        <v>-341.5</v>
      </c>
      <c r="J30" s="804"/>
      <c r="K30" s="932">
        <f>G30-E30</f>
        <v>-42.5</v>
      </c>
      <c r="L30" s="352"/>
    </row>
    <row r="31" spans="1:12">
      <c r="A31" s="809" t="s">
        <v>68</v>
      </c>
      <c r="B31" s="913" t="s">
        <v>14</v>
      </c>
      <c r="C31" s="674">
        <f>'Exh D General Fund'!C36+'Exh D Special Revenue State Fed'!C31</f>
        <v>5495</v>
      </c>
      <c r="D31" s="884"/>
      <c r="E31" s="674">
        <f>'Exh D General Fund'!E36+'Exh D Special Revenue State Fed'!E31</f>
        <v>5335</v>
      </c>
      <c r="F31" s="634"/>
      <c r="G31" s="675">
        <f>+'Exh A Supp'!T39</f>
        <v>5385.4</v>
      </c>
      <c r="H31" s="634"/>
      <c r="I31" s="3865">
        <f t="shared" si="2"/>
        <v>-109.6</v>
      </c>
      <c r="J31" s="804"/>
      <c r="K31" s="932">
        <f>G31-E31</f>
        <v>50.399999999999636</v>
      </c>
      <c r="L31" s="352"/>
    </row>
    <row r="32" spans="1:12">
      <c r="A32" s="809" t="s">
        <v>94</v>
      </c>
      <c r="B32" s="913" t="s">
        <v>14</v>
      </c>
      <c r="C32" s="673">
        <f>'Exh D Debt Service'!C30</f>
        <v>1268</v>
      </c>
      <c r="D32" s="884"/>
      <c r="E32" s="673">
        <f>'Exh D Debt Service'!E30</f>
        <v>1215</v>
      </c>
      <c r="F32" s="634"/>
      <c r="G32" s="675">
        <f>+'Exh A Supp'!T41</f>
        <v>1198.2</v>
      </c>
      <c r="H32" s="634"/>
      <c r="I32" s="3865">
        <f t="shared" si="2"/>
        <v>-69.8</v>
      </c>
      <c r="J32" s="804"/>
      <c r="K32" s="932">
        <f>G32-E32</f>
        <v>-16.799999999999955</v>
      </c>
      <c r="L32" s="352"/>
    </row>
    <row r="33" spans="1:12">
      <c r="A33" s="809" t="s">
        <v>41</v>
      </c>
      <c r="B33" s="913"/>
      <c r="C33" s="673">
        <f>'Exh D Special Revenue State Fed'!C33</f>
        <v>0</v>
      </c>
      <c r="D33" s="884"/>
      <c r="E33" s="673">
        <f>'Exh D Special Revenue State Fed'!E33</f>
        <v>0</v>
      </c>
      <c r="F33" s="1515"/>
      <c r="G33" s="675">
        <f>'Exh D Special Revenue State Fed'!G33</f>
        <v>0</v>
      </c>
      <c r="H33" s="1515"/>
      <c r="I33" s="3865">
        <f t="shared" si="2"/>
        <v>0</v>
      </c>
      <c r="J33" s="804"/>
      <c r="K33" s="932">
        <f>G33-E33</f>
        <v>0</v>
      </c>
      <c r="L33" s="352"/>
    </row>
    <row r="34" spans="1:12" ht="15.75" customHeight="1">
      <c r="A34" s="170" t="s">
        <v>95</v>
      </c>
      <c r="B34" s="148" t="s">
        <v>14</v>
      </c>
      <c r="C34" s="1085">
        <f>ROUND(SUM(C29:C33),1)</f>
        <v>51650</v>
      </c>
      <c r="D34" s="109"/>
      <c r="E34" s="1085">
        <f>ROUND(SUM(E29:E33),1)</f>
        <v>49617</v>
      </c>
      <c r="F34" s="911"/>
      <c r="G34" s="291">
        <f>ROUND(SUM(G29:G33),1)</f>
        <v>48997.5</v>
      </c>
      <c r="H34" s="911"/>
      <c r="I34" s="291">
        <f>ROUND(SUM(I29:I33),1)</f>
        <v>-2652.5</v>
      </c>
      <c r="J34" s="163"/>
      <c r="K34" s="291">
        <f>ROUND(SUM(K29:K33),1)</f>
        <v>-619.5</v>
      </c>
      <c r="L34" s="352"/>
    </row>
    <row r="35" spans="1:12">
      <c r="A35" s="679"/>
      <c r="B35" s="913"/>
      <c r="C35" s="884"/>
      <c r="D35" s="884"/>
      <c r="E35" s="884"/>
      <c r="F35" s="634"/>
      <c r="G35" s="634"/>
      <c r="H35" s="634"/>
      <c r="I35" s="932"/>
      <c r="J35" s="804"/>
      <c r="K35" s="932"/>
      <c r="L35" s="352"/>
    </row>
    <row r="36" spans="1:12">
      <c r="A36" s="170" t="s">
        <v>43</v>
      </c>
      <c r="B36" s="913"/>
      <c r="C36" s="884"/>
      <c r="D36" s="884"/>
      <c r="E36" s="884"/>
      <c r="F36" s="634"/>
      <c r="G36" s="634"/>
      <c r="H36" s="634"/>
      <c r="I36" s="932"/>
      <c r="J36" s="804"/>
      <c r="K36" s="932"/>
      <c r="L36" s="352"/>
    </row>
    <row r="37" spans="1:12">
      <c r="A37" s="170" t="s">
        <v>44</v>
      </c>
      <c r="B37" s="913" t="s">
        <v>14</v>
      </c>
      <c r="C37" s="1096">
        <f>ROUND(SUM(+C26-C34),1)</f>
        <v>2730</v>
      </c>
      <c r="D37" s="884"/>
      <c r="E37" s="1096">
        <f>ROUND(SUM(+E26-E34),1)</f>
        <v>10818</v>
      </c>
      <c r="F37" s="634"/>
      <c r="G37" s="818">
        <f>ROUND(SUM(+G26-G34),1)</f>
        <v>13433.7</v>
      </c>
      <c r="H37" s="634"/>
      <c r="I37" s="818">
        <f>ROUND(SUM(+I26-I34),1)</f>
        <v>10703.7</v>
      </c>
      <c r="J37" s="658"/>
      <c r="K37" s="818">
        <f>ROUND(SUM(+K26-K34),1)</f>
        <v>2615.6999999999998</v>
      </c>
      <c r="L37" s="352"/>
    </row>
    <row r="38" spans="1:12">
      <c r="A38" s="679"/>
      <c r="B38" s="913"/>
      <c r="C38" s="884"/>
      <c r="D38" s="884"/>
      <c r="E38" s="884"/>
      <c r="F38" s="634"/>
      <c r="G38" s="634"/>
      <c r="H38" s="634"/>
      <c r="I38" s="932"/>
      <c r="J38" s="804"/>
      <c r="K38" s="932"/>
      <c r="L38" s="352"/>
    </row>
    <row r="39" spans="1:12">
      <c r="A39" s="170" t="s">
        <v>45</v>
      </c>
      <c r="B39" s="913"/>
      <c r="C39" s="884"/>
      <c r="D39" s="884"/>
      <c r="E39" s="884"/>
      <c r="F39" s="634"/>
      <c r="G39" s="634"/>
      <c r="H39" s="634"/>
      <c r="I39" s="932"/>
      <c r="J39" s="804"/>
      <c r="K39" s="932"/>
      <c r="L39" s="352"/>
    </row>
    <row r="40" spans="1:12">
      <c r="A40" s="809" t="s">
        <v>46</v>
      </c>
      <c r="B40" s="913" t="s">
        <v>14</v>
      </c>
      <c r="C40" s="673">
        <f>'Exh D General Fund'!C27+'Exh D General Fund'!C28+'Exh D General Fund'!C29+'Exh D General Fund'!C30+'Exh D Special Revenue State Fed'!C25+'Exh D Debt Service'!C25</f>
        <v>24330</v>
      </c>
      <c r="D40" s="884"/>
      <c r="E40" s="673">
        <f>'Exh D General Fund'!E27+'Exh D General Fund'!E28+'Exh D General Fund'!E29+'Exh D General Fund'!E30+'Exh D Special Revenue State Fed'!E25+'Exh D Debt Service'!E25</f>
        <v>27208</v>
      </c>
      <c r="F40" s="634"/>
      <c r="G40" s="671">
        <f>+'Exh A Supp'!T49</f>
        <v>27775.200000000001</v>
      </c>
      <c r="H40" s="1350" t="s">
        <v>1549</v>
      </c>
      <c r="I40" s="3865">
        <f>ROUND(SUM(G40)-SUM(C40),1)</f>
        <v>3445.2</v>
      </c>
      <c r="J40" s="804"/>
      <c r="K40" s="932">
        <f>G40-E40</f>
        <v>567.20000000000073</v>
      </c>
      <c r="L40" s="352"/>
    </row>
    <row r="41" spans="1:12">
      <c r="A41" s="809" t="s">
        <v>97</v>
      </c>
      <c r="B41" s="913" t="s">
        <v>14</v>
      </c>
      <c r="C41" s="1469">
        <f>-('Exh D General Fund'!C38+'Exh D General Fund'!C39+'Exh D General Fund'!C40+'Exh D General Fund'!C41+'Exh D General Fund'!C42+'Exh D Special Revenue State Fed'!C34+'Exh D Debt Service'!C31)</f>
        <v>-25409</v>
      </c>
      <c r="D41" s="884"/>
      <c r="E41" s="1469">
        <f>-('Exh D General Fund'!E38+'Exh D General Fund'!E39+'Exh D General Fund'!E40+'Exh D General Fund'!E41+'Exh D General Fund'!E42+'Exh D Special Revenue State Fed'!E34+'Exh D Debt Service'!E31)</f>
        <v>-28632</v>
      </c>
      <c r="F41" s="634"/>
      <c r="G41" s="671">
        <f>+'Exh A Supp'!T50</f>
        <v>-29507</v>
      </c>
      <c r="H41" s="1350" t="s">
        <v>1549</v>
      </c>
      <c r="I41" s="3866">
        <f>-ROUND(SUM(G41)-SUM(C41),1)</f>
        <v>4098</v>
      </c>
      <c r="J41" s="658"/>
      <c r="K41" s="932">
        <f>-SUM(G41-E41)</f>
        <v>875</v>
      </c>
      <c r="L41" s="352"/>
    </row>
    <row r="42" spans="1:12">
      <c r="A42" s="170" t="s">
        <v>98</v>
      </c>
      <c r="B42" s="913" t="s">
        <v>14</v>
      </c>
      <c r="C42" s="1085">
        <f>ROUND(SUM(C40:C41),1)</f>
        <v>-1079</v>
      </c>
      <c r="D42" s="884"/>
      <c r="E42" s="1085">
        <f>ROUND(SUM(E40:E41),1)</f>
        <v>-1424</v>
      </c>
      <c r="F42" s="634"/>
      <c r="G42" s="291">
        <f>ROUND(SUM(G40:G41),1)</f>
        <v>-1731.8</v>
      </c>
      <c r="H42" s="634"/>
      <c r="I42" s="291">
        <f>ROUND(SUM(I40-I41),1)</f>
        <v>-652.79999999999995</v>
      </c>
      <c r="J42" s="919"/>
      <c r="K42" s="291">
        <f>ROUND(SUM(K40-K41),1)</f>
        <v>-307.8</v>
      </c>
      <c r="L42" s="352"/>
    </row>
    <row r="43" spans="1:12">
      <c r="A43" s="170"/>
      <c r="B43" s="913"/>
      <c r="C43" s="673"/>
      <c r="D43" s="884"/>
      <c r="E43" s="673"/>
      <c r="F43" s="634"/>
      <c r="G43" s="671"/>
      <c r="H43" s="634"/>
      <c r="I43" s="933"/>
      <c r="J43" s="914"/>
      <c r="K43" s="933"/>
      <c r="L43" s="352"/>
    </row>
    <row r="44" spans="1:12">
      <c r="A44" s="26" t="s">
        <v>99</v>
      </c>
      <c r="B44" s="913"/>
      <c r="C44" s="884"/>
      <c r="D44" s="884"/>
      <c r="E44" s="884"/>
      <c r="F44" s="634"/>
      <c r="G44" s="634"/>
      <c r="H44" s="634"/>
      <c r="I44" s="932"/>
      <c r="J44" s="804"/>
      <c r="K44" s="932"/>
      <c r="L44" s="352"/>
    </row>
    <row r="45" spans="1:12" ht="15" customHeight="1">
      <c r="A45" s="26" t="s">
        <v>100</v>
      </c>
      <c r="B45" s="913"/>
      <c r="C45" s="884"/>
      <c r="D45" s="884"/>
      <c r="E45" s="884"/>
      <c r="F45" s="634"/>
      <c r="G45" s="634"/>
      <c r="H45" s="634"/>
      <c r="I45" s="932"/>
      <c r="J45" s="804"/>
      <c r="K45" s="932"/>
      <c r="L45" s="352"/>
    </row>
    <row r="46" spans="1:12">
      <c r="A46" s="170" t="s">
        <v>101</v>
      </c>
      <c r="B46" s="171" t="s">
        <v>14</v>
      </c>
      <c r="C46" s="112">
        <f>ROUND(SUM(C26)-SUM(C34)+C42,1)</f>
        <v>1651</v>
      </c>
      <c r="D46" s="1094"/>
      <c r="E46" s="112">
        <f>ROUND(SUM(E26)-SUM(E34)+E42,1)</f>
        <v>9394</v>
      </c>
      <c r="F46" s="81"/>
      <c r="G46" s="73">
        <f>ROUND(SUM(G26)-SUM(G34)+G42,1)</f>
        <v>11701.9</v>
      </c>
      <c r="H46" s="81"/>
      <c r="I46" s="73">
        <f>ROUND(SUM(I26)-SUM(I34)+I42,1)</f>
        <v>10050.9</v>
      </c>
      <c r="J46" s="163"/>
      <c r="K46" s="73">
        <f>ROUND(SUM(K26)-SUM(K34)+K42,1)</f>
        <v>2307.9</v>
      </c>
      <c r="L46" s="352"/>
    </row>
    <row r="47" spans="1:12">
      <c r="A47" s="920"/>
      <c r="B47" s="613"/>
      <c r="C47" s="1471"/>
      <c r="D47" s="1635"/>
      <c r="E47" s="1471"/>
      <c r="F47" s="921"/>
      <c r="G47" s="660"/>
      <c r="H47" s="921"/>
      <c r="I47" s="660"/>
      <c r="J47" s="922"/>
      <c r="K47" s="660"/>
      <c r="L47" s="352"/>
    </row>
    <row r="48" spans="1:12">
      <c r="A48" s="170" t="str">
        <f>'Exh D-Governmental  '!A49</f>
        <v>Fund Balances (Deficits) at April 1</v>
      </c>
      <c r="B48" s="923" t="s">
        <v>14</v>
      </c>
      <c r="C48" s="112">
        <f>'Exh D General Fund'!C49+'Exh D Special Revenue State Fed'!C41+'Exh D Debt Service'!C38</f>
        <v>14934</v>
      </c>
      <c r="D48" s="1635"/>
      <c r="E48" s="112">
        <v>14934</v>
      </c>
      <c r="F48" s="921"/>
      <c r="G48" s="73">
        <f>'Exh A Supp'!T57</f>
        <v>14934.4</v>
      </c>
      <c r="H48" s="921"/>
      <c r="I48" s="3034">
        <f>ROUND(SUM(G48)-SUM(C48),1)</f>
        <v>0.4</v>
      </c>
      <c r="J48" s="163"/>
      <c r="K48" s="1516">
        <f>G48-E48</f>
        <v>0.3999999999996362</v>
      </c>
      <c r="L48" s="352"/>
    </row>
    <row r="49" spans="1:12" ht="16" thickBot="1">
      <c r="A49" s="170" t="str">
        <f>'Exh D-Governmental  '!A50</f>
        <v>Fund Balances (Deficits) at September 30, 2021</v>
      </c>
      <c r="B49" s="177" t="s">
        <v>14</v>
      </c>
      <c r="C49" s="1472">
        <f>ROUND(SUM(C46:C48),1)</f>
        <v>16585</v>
      </c>
      <c r="D49" s="2043"/>
      <c r="E49" s="1472">
        <f>ROUND(SUM(E46:E48),1)</f>
        <v>24328</v>
      </c>
      <c r="F49" s="178"/>
      <c r="G49" s="95">
        <f>ROUND(SUM(G46:G48),1)</f>
        <v>26636.3</v>
      </c>
      <c r="H49" s="964"/>
      <c r="I49" s="95">
        <f>ROUND(SUM(I46:I48),1)</f>
        <v>10051.299999999999</v>
      </c>
      <c r="J49" s="179"/>
      <c r="K49" s="95">
        <f>ROUND(SUM(K46:K48),1)</f>
        <v>2308.3000000000002</v>
      </c>
      <c r="L49" s="352"/>
    </row>
    <row r="50" spans="1:12" ht="16" thickTop="1">
      <c r="A50" s="920"/>
      <c r="B50" s="613"/>
      <c r="C50" s="1925"/>
      <c r="D50" s="940"/>
      <c r="E50" s="1925"/>
      <c r="F50" s="924"/>
      <c r="G50" s="924"/>
      <c r="H50" s="924"/>
      <c r="I50" s="924"/>
      <c r="J50" s="924"/>
      <c r="K50" s="924"/>
    </row>
    <row r="51" spans="1:12">
      <c r="A51" s="925" t="str">
        <f>'Exh D-Governmental  '!A52</f>
        <v>(*)    Source: 2021-22 Enacted Financial Plan dated May 25, 2021.</v>
      </c>
      <c r="G51" s="1163"/>
      <c r="I51" s="1163"/>
      <c r="K51" s="1163"/>
    </row>
    <row r="52" spans="1:12">
      <c r="A52" s="98" t="str">
        <f>'Exh D-Governmental  '!A53</f>
        <v>(**)   Source: 2021-22 First Quarter Update dated September 15, 2021.</v>
      </c>
      <c r="G52" s="1163"/>
      <c r="I52" s="1163"/>
      <c r="K52" s="1163"/>
    </row>
    <row r="53" spans="1:12">
      <c r="A53" s="3837" t="s">
        <v>1546</v>
      </c>
      <c r="I53" s="1163"/>
      <c r="K53" s="1163"/>
    </row>
    <row r="54" spans="1:12">
      <c r="A54" s="3837" t="s">
        <v>1107</v>
      </c>
    </row>
    <row r="55" spans="1:12">
      <c r="A55" s="3838" t="s">
        <v>1548</v>
      </c>
      <c r="G55" s="1163"/>
    </row>
  </sheetData>
  <mergeCells count="2">
    <mergeCell ref="A5:E5"/>
    <mergeCell ref="C11:I11"/>
  </mergeCells>
  <printOptions horizontalCentered="1"/>
  <pageMargins left="0.7" right="0.7" top="0.75" bottom="1" header="0.3" footer="0.3"/>
  <pageSetup scale="59"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AK60"/>
  <sheetViews>
    <sheetView showGridLines="0" zoomScale="80" zoomScaleNormal="90" workbookViewId="0"/>
  </sheetViews>
  <sheetFormatPr defaultColWidth="8.84375" defaultRowHeight="15.5"/>
  <cols>
    <col min="1" max="1" width="59" style="920" customWidth="1"/>
    <col min="2" max="2" width="2" style="613" customWidth="1"/>
    <col min="3" max="3" width="15.07421875" style="422" customWidth="1"/>
    <col min="4" max="4" width="1.84375" style="924" customWidth="1"/>
    <col min="5" max="5" width="15.07421875" style="422" customWidth="1"/>
    <col min="6" max="6" width="2.84375" style="924" customWidth="1"/>
    <col min="7" max="7" width="15.07421875" style="924" customWidth="1"/>
    <col min="8" max="8" width="4.84375" style="924" customWidth="1"/>
    <col min="9" max="9" width="15.07421875" style="924" customWidth="1"/>
    <col min="10" max="10" width="2.07421875" style="924" customWidth="1"/>
    <col min="11" max="11" width="12.84375" style="613" customWidth="1"/>
    <col min="12" max="12" width="18.07421875" style="422" bestFit="1" customWidth="1"/>
    <col min="13" max="13" width="2.84375" style="924" customWidth="1"/>
    <col min="14" max="14" width="14.07421875" style="924" customWidth="1"/>
    <col min="15" max="15" width="2.84375" style="924" customWidth="1"/>
    <col min="16" max="16" width="15.84375" style="924" bestFit="1" customWidth="1"/>
    <col min="17" max="17" width="2" style="613" customWidth="1"/>
    <col min="18" max="18" width="11.84375" style="613" customWidth="1"/>
    <col min="19" max="19" width="11.4609375" style="613" customWidth="1"/>
    <col min="20" max="20" width="1.84375" style="613" customWidth="1"/>
    <col min="21" max="21" width="11.84375" style="613" customWidth="1"/>
    <col min="22" max="22" width="2.07421875" style="613" customWidth="1"/>
    <col min="23" max="23" width="11.4609375" style="613" customWidth="1"/>
    <col min="24" max="24" width="0.53515625" style="613" customWidth="1"/>
    <col min="25" max="25" width="2.07421875" style="613" customWidth="1"/>
    <col min="26" max="26" width="10.53515625" style="613" customWidth="1"/>
    <col min="27" max="27" width="11.07421875" style="613" customWidth="1"/>
    <col min="28" max="28" width="2.07421875" style="613" customWidth="1"/>
    <col min="29" max="29" width="11.07421875" style="613" customWidth="1"/>
    <col min="30" max="30" width="2.07421875" style="613" customWidth="1"/>
    <col min="31" max="31" width="12.4609375" style="613" customWidth="1"/>
    <col min="32" max="36" width="8.84375" style="613"/>
    <col min="37" max="37" width="8.84375" style="924"/>
    <col min="38" max="16384" width="8.84375" style="920"/>
  </cols>
  <sheetData>
    <row r="1" spans="1:31">
      <c r="A1" s="926" t="s">
        <v>882</v>
      </c>
      <c r="B1" s="183"/>
      <c r="C1" s="416"/>
      <c r="D1" s="184"/>
      <c r="E1" s="416"/>
      <c r="F1" s="184"/>
      <c r="G1" s="184"/>
      <c r="H1" s="184"/>
      <c r="I1" s="184"/>
      <c r="J1" s="184"/>
      <c r="K1" s="183"/>
      <c r="L1" s="416"/>
      <c r="M1" s="184"/>
      <c r="N1" s="184"/>
      <c r="O1" s="184"/>
      <c r="P1" s="184"/>
      <c r="Q1" s="184"/>
      <c r="R1" s="183"/>
      <c r="S1" s="183"/>
      <c r="T1" s="183"/>
      <c r="U1" s="183"/>
      <c r="V1" s="183"/>
      <c r="W1" s="183"/>
      <c r="X1" s="183"/>
      <c r="Y1" s="183"/>
      <c r="Z1" s="183"/>
      <c r="AA1" s="183"/>
      <c r="AB1" s="183"/>
      <c r="AC1" s="183"/>
      <c r="AD1" s="183"/>
      <c r="AE1" s="183"/>
    </row>
    <row r="2" spans="1:31" ht="17.25" customHeight="1">
      <c r="A2" s="185"/>
      <c r="B2" s="186"/>
      <c r="C2" s="417"/>
      <c r="D2" s="184"/>
      <c r="E2" s="417"/>
      <c r="F2" s="184"/>
      <c r="G2" s="184"/>
      <c r="H2" s="184"/>
      <c r="I2" s="184"/>
      <c r="J2" s="184"/>
      <c r="K2" s="183"/>
      <c r="L2" s="416"/>
      <c r="M2" s="184"/>
      <c r="N2" s="187"/>
      <c r="O2" s="184"/>
      <c r="P2" s="184"/>
      <c r="Q2" s="184"/>
      <c r="R2" s="183"/>
      <c r="S2" s="183"/>
      <c r="T2" s="183"/>
      <c r="U2" s="183"/>
      <c r="V2" s="183"/>
      <c r="W2" s="183"/>
      <c r="X2" s="183"/>
      <c r="Y2" s="183"/>
      <c r="Z2" s="183"/>
      <c r="AA2" s="183"/>
      <c r="AB2" s="183"/>
      <c r="AC2" s="183"/>
      <c r="AD2" s="183"/>
      <c r="AE2" s="183"/>
    </row>
    <row r="3" spans="1:31" ht="17.25" customHeight="1">
      <c r="A3" s="188" t="s">
        <v>0</v>
      </c>
      <c r="B3" s="145"/>
      <c r="C3" s="418"/>
      <c r="D3" s="140"/>
      <c r="E3" s="418"/>
      <c r="F3" s="140"/>
      <c r="G3" s="140"/>
      <c r="H3" s="140"/>
      <c r="I3" s="811"/>
      <c r="K3" s="811" t="s">
        <v>82</v>
      </c>
      <c r="L3" s="419"/>
      <c r="M3" s="140"/>
      <c r="N3" s="140"/>
      <c r="O3" s="140"/>
      <c r="Q3" s="140"/>
      <c r="R3" s="153"/>
      <c r="S3" s="153"/>
      <c r="T3" s="153"/>
      <c r="U3" s="153"/>
      <c r="V3" s="153"/>
      <c r="W3" s="153"/>
      <c r="X3" s="153"/>
      <c r="Y3" s="153"/>
      <c r="Z3" s="153"/>
      <c r="AA3" s="153"/>
      <c r="AB3" s="153"/>
      <c r="AC3" s="153"/>
      <c r="AD3" s="153"/>
      <c r="AE3" s="189"/>
    </row>
    <row r="4" spans="1:31" ht="17.25" customHeight="1">
      <c r="A4" s="188" t="s">
        <v>81</v>
      </c>
      <c r="B4" s="145"/>
      <c r="C4" s="418"/>
      <c r="D4" s="140"/>
      <c r="E4" s="418"/>
      <c r="F4" s="140"/>
      <c r="G4" s="140"/>
      <c r="H4" s="140"/>
      <c r="I4" s="812"/>
      <c r="K4" s="812"/>
      <c r="L4" s="419"/>
      <c r="M4" s="140"/>
      <c r="N4" s="140"/>
      <c r="O4" s="140"/>
      <c r="Q4" s="140"/>
      <c r="R4" s="153"/>
      <c r="S4" s="153"/>
      <c r="T4" s="153"/>
      <c r="U4" s="153"/>
      <c r="V4" s="153"/>
      <c r="W4" s="153"/>
      <c r="X4" s="153"/>
      <c r="Y4" s="153"/>
      <c r="Z4" s="153"/>
      <c r="AA4" s="153"/>
      <c r="AB4" s="153"/>
      <c r="AC4" s="153"/>
      <c r="AD4" s="153"/>
      <c r="AE4" s="153"/>
    </row>
    <row r="5" spans="1:31" ht="17.25" customHeight="1">
      <c r="A5" s="3957" t="str">
        <f>'Exh D-Governmental  '!A5:E5</f>
        <v>FISCAL YEAR 2021-2022</v>
      </c>
      <c r="B5" s="3958"/>
      <c r="C5" s="3958"/>
      <c r="D5" s="3958"/>
      <c r="E5" s="3958"/>
      <c r="F5" s="140"/>
      <c r="G5" s="804"/>
      <c r="H5" s="140"/>
      <c r="I5" s="140"/>
      <c r="J5" s="140"/>
      <c r="K5" s="153"/>
      <c r="L5" s="419"/>
      <c r="M5" s="140"/>
      <c r="N5" s="140"/>
      <c r="O5" s="140"/>
      <c r="Q5" s="140"/>
      <c r="R5" s="153"/>
      <c r="S5" s="153"/>
      <c r="T5" s="153"/>
      <c r="U5" s="153"/>
      <c r="V5" s="153"/>
      <c r="W5" s="153"/>
      <c r="X5" s="153"/>
      <c r="Y5" s="153"/>
      <c r="Z5" s="153"/>
      <c r="AA5" s="153"/>
      <c r="AB5" s="153"/>
      <c r="AC5" s="153"/>
      <c r="AD5" s="153"/>
      <c r="AE5" s="153"/>
    </row>
    <row r="6" spans="1:31" ht="17.25" customHeight="1">
      <c r="A6" s="1459" t="str">
        <f>'Exh D-Governmental  '!A6</f>
        <v xml:space="preserve">FOR SIX MONTHS ENDED SEPTEMBER 30, 2021    </v>
      </c>
      <c r="B6" s="3936"/>
      <c r="C6" s="3937"/>
      <c r="D6" s="3938"/>
      <c r="E6" s="3937"/>
      <c r="F6" s="140"/>
      <c r="G6" s="140"/>
      <c r="H6" s="140"/>
      <c r="I6" s="140"/>
      <c r="J6" s="140"/>
      <c r="K6" s="153"/>
      <c r="L6" s="419"/>
      <c r="M6" s="140"/>
      <c r="N6" s="140"/>
      <c r="O6" s="140"/>
      <c r="P6" s="140"/>
      <c r="Q6" s="140"/>
      <c r="R6" s="153"/>
      <c r="S6" s="153"/>
      <c r="T6" s="153"/>
      <c r="U6" s="153"/>
      <c r="V6" s="153"/>
      <c r="W6" s="153"/>
      <c r="X6" s="153"/>
      <c r="Y6" s="153"/>
      <c r="Z6" s="153"/>
      <c r="AA6" s="153"/>
      <c r="AB6" s="153"/>
      <c r="AC6" s="153"/>
      <c r="AD6" s="153"/>
      <c r="AE6" s="153"/>
    </row>
    <row r="7" spans="1:31" ht="18">
      <c r="A7" s="188" t="s">
        <v>1278</v>
      </c>
      <c r="B7" s="145"/>
      <c r="C7" s="418"/>
      <c r="D7" s="140"/>
      <c r="E7" s="418"/>
      <c r="F7" s="140"/>
      <c r="G7" s="140"/>
      <c r="H7" s="140"/>
      <c r="I7" s="140"/>
      <c r="J7" s="140"/>
      <c r="K7" s="153"/>
      <c r="L7" s="419"/>
      <c r="M7" s="140"/>
      <c r="N7" s="140"/>
      <c r="O7" s="140"/>
      <c r="P7" s="140"/>
      <c r="Q7" s="140"/>
      <c r="R7" s="153"/>
      <c r="S7" s="153"/>
      <c r="T7" s="153"/>
      <c r="U7" s="153"/>
      <c r="V7" s="153"/>
      <c r="W7" s="153"/>
      <c r="X7" s="153"/>
      <c r="Y7" s="153"/>
      <c r="Z7" s="153"/>
      <c r="AA7" s="153"/>
      <c r="AB7" s="153"/>
      <c r="AC7" s="153"/>
      <c r="AD7" s="153"/>
      <c r="AE7" s="153"/>
    </row>
    <row r="8" spans="1:31" ht="15" customHeight="1">
      <c r="A8" s="190"/>
      <c r="B8" s="144"/>
      <c r="C8" s="418"/>
      <c r="D8" s="140"/>
      <c r="E8" s="418"/>
      <c r="F8" s="140"/>
      <c r="G8" s="140"/>
      <c r="H8" s="140"/>
      <c r="I8" s="140"/>
      <c r="J8" s="140"/>
      <c r="K8" s="153"/>
      <c r="L8" s="419"/>
      <c r="M8" s="140"/>
      <c r="N8" s="140"/>
      <c r="O8" s="140"/>
      <c r="P8" s="140"/>
      <c r="Q8" s="140"/>
      <c r="R8" s="153"/>
      <c r="S8" s="153"/>
      <c r="T8" s="153"/>
      <c r="U8" s="153"/>
      <c r="V8" s="153"/>
      <c r="W8" s="153"/>
      <c r="X8" s="153"/>
      <c r="Y8" s="153"/>
      <c r="Z8" s="153"/>
      <c r="AA8" s="153"/>
      <c r="AB8" s="153"/>
      <c r="AC8" s="153"/>
      <c r="AD8" s="153"/>
      <c r="AE8" s="153"/>
    </row>
    <row r="9" spans="1:31">
      <c r="A9" s="147"/>
      <c r="B9" s="153"/>
      <c r="C9" s="419"/>
      <c r="D9" s="140"/>
      <c r="E9" s="419"/>
      <c r="F9" s="140"/>
      <c r="G9" s="140"/>
      <c r="H9" s="140"/>
      <c r="I9" s="140"/>
      <c r="J9" s="140"/>
      <c r="K9" s="153"/>
      <c r="L9" s="419"/>
      <c r="M9" s="140"/>
      <c r="N9" s="140"/>
      <c r="O9" s="140"/>
      <c r="P9" s="140"/>
      <c r="Q9" s="140"/>
      <c r="R9" s="153"/>
      <c r="S9" s="153"/>
      <c r="T9" s="153"/>
      <c r="U9" s="153"/>
      <c r="V9" s="153"/>
      <c r="W9" s="153"/>
      <c r="X9" s="153"/>
      <c r="Y9" s="153"/>
      <c r="Z9" s="153"/>
      <c r="AA9" s="153"/>
      <c r="AB9" s="153"/>
      <c r="AC9" s="153"/>
      <c r="AD9" s="153"/>
      <c r="AE9" s="153"/>
    </row>
    <row r="10" spans="1:31">
      <c r="A10" s="147"/>
      <c r="B10" s="153"/>
      <c r="C10" s="419"/>
      <c r="D10" s="140"/>
      <c r="E10" s="419"/>
      <c r="F10" s="140"/>
      <c r="G10" s="140"/>
      <c r="H10" s="140"/>
      <c r="I10" s="140"/>
      <c r="J10" s="140"/>
      <c r="K10" s="153"/>
      <c r="L10" s="953"/>
      <c r="M10" s="144"/>
      <c r="N10" s="144"/>
      <c r="O10" s="144"/>
      <c r="P10" s="144"/>
      <c r="Q10" s="140"/>
      <c r="R10" s="153"/>
      <c r="S10" s="153"/>
      <c r="T10" s="153"/>
      <c r="U10" s="153"/>
      <c r="V10" s="153"/>
      <c r="W10" s="153"/>
      <c r="X10" s="153"/>
      <c r="Y10" s="153"/>
      <c r="Z10" s="153"/>
      <c r="AA10" s="153"/>
      <c r="AB10" s="153"/>
      <c r="AC10" s="153"/>
      <c r="AD10" s="153"/>
      <c r="AE10" s="153"/>
    </row>
    <row r="11" spans="1:31">
      <c r="A11" s="679"/>
      <c r="C11" s="3959" t="s">
        <v>1043</v>
      </c>
      <c r="D11" s="3959"/>
      <c r="E11" s="3959"/>
      <c r="F11" s="3959"/>
      <c r="G11" s="3959"/>
      <c r="H11" s="3959"/>
      <c r="I11" s="3959"/>
      <c r="J11" s="1164"/>
      <c r="K11" s="1165"/>
      <c r="L11" s="423"/>
      <c r="M11" s="193"/>
      <c r="N11" s="193"/>
      <c r="O11" s="193"/>
      <c r="P11" s="193"/>
      <c r="Q11" s="148"/>
      <c r="R11" s="191"/>
      <c r="S11" s="191"/>
      <c r="T11" s="191"/>
      <c r="U11" s="191"/>
      <c r="V11" s="191"/>
      <c r="W11" s="191"/>
      <c r="X11" s="191"/>
      <c r="Y11" s="148"/>
      <c r="Z11" s="191"/>
      <c r="AA11" s="192"/>
      <c r="AB11" s="191"/>
      <c r="AC11" s="191"/>
      <c r="AD11" s="191"/>
      <c r="AE11" s="191"/>
    </row>
    <row r="12" spans="1:31">
      <c r="A12" s="679"/>
      <c r="C12" s="420"/>
      <c r="D12" s="193"/>
      <c r="E12" s="420"/>
      <c r="F12" s="193"/>
      <c r="G12" s="194"/>
      <c r="H12" s="193"/>
      <c r="I12" s="193" t="s">
        <v>83</v>
      </c>
      <c r="J12" s="191"/>
      <c r="K12" s="193" t="s">
        <v>83</v>
      </c>
      <c r="L12" s="423"/>
      <c r="M12" s="193"/>
      <c r="N12" s="194"/>
      <c r="O12" s="193"/>
      <c r="P12" s="193"/>
      <c r="Q12" s="148"/>
      <c r="R12" s="191"/>
      <c r="S12" s="191"/>
      <c r="T12" s="191"/>
      <c r="U12" s="191"/>
      <c r="V12" s="191"/>
      <c r="W12" s="191"/>
      <c r="X12" s="191"/>
      <c r="Y12" s="148"/>
      <c r="Z12" s="191"/>
      <c r="AA12" s="192"/>
      <c r="AB12" s="191"/>
      <c r="AC12" s="191"/>
      <c r="AD12" s="191"/>
      <c r="AE12" s="191"/>
    </row>
    <row r="13" spans="1:31">
      <c r="A13" s="679"/>
      <c r="B13" s="148"/>
      <c r="C13" s="421"/>
      <c r="D13" s="195"/>
      <c r="E13" s="421"/>
      <c r="F13" s="195"/>
      <c r="G13" s="195"/>
      <c r="H13" s="195"/>
      <c r="I13" s="196" t="s">
        <v>795</v>
      </c>
      <c r="J13" s="198"/>
      <c r="K13" s="196" t="s">
        <v>795</v>
      </c>
      <c r="L13" s="954"/>
      <c r="M13" s="955"/>
      <c r="N13" s="955"/>
      <c r="O13" s="955"/>
      <c r="P13" s="956"/>
      <c r="Q13" s="148"/>
      <c r="R13" s="148"/>
      <c r="S13" s="148"/>
      <c r="T13" s="148"/>
      <c r="U13" s="148"/>
      <c r="V13" s="148"/>
      <c r="W13" s="197"/>
      <c r="X13" s="198"/>
      <c r="Y13" s="148"/>
      <c r="Z13" s="148"/>
      <c r="AA13" s="148"/>
      <c r="AB13" s="148"/>
      <c r="AC13" s="148"/>
      <c r="AD13" s="148"/>
      <c r="AE13" s="197"/>
    </row>
    <row r="14" spans="1:31">
      <c r="A14" s="679"/>
      <c r="B14" s="199"/>
      <c r="C14" s="151" t="s">
        <v>991</v>
      </c>
      <c r="D14" s="920"/>
      <c r="E14" s="150" t="s">
        <v>992</v>
      </c>
      <c r="F14" s="149"/>
      <c r="G14" s="149"/>
      <c r="H14" s="149"/>
      <c r="I14" s="150" t="s">
        <v>84</v>
      </c>
      <c r="J14" s="198"/>
      <c r="K14" s="150" t="s">
        <v>84</v>
      </c>
      <c r="L14" s="957"/>
      <c r="M14" s="148"/>
      <c r="N14" s="148"/>
      <c r="O14" s="148"/>
      <c r="P14" s="198"/>
      <c r="Q14" s="148"/>
      <c r="R14" s="197"/>
      <c r="S14" s="198"/>
      <c r="T14" s="148"/>
      <c r="U14" s="148"/>
      <c r="V14" s="148"/>
      <c r="W14" s="197"/>
      <c r="X14" s="198"/>
      <c r="Y14" s="148"/>
      <c r="Z14" s="197"/>
      <c r="AA14" s="198"/>
      <c r="AB14" s="148"/>
      <c r="AC14" s="148"/>
      <c r="AD14" s="148"/>
      <c r="AE14" s="197"/>
    </row>
    <row r="15" spans="1:31">
      <c r="A15" s="679"/>
      <c r="B15" s="199"/>
      <c r="C15" s="150" t="s">
        <v>1028</v>
      </c>
      <c r="D15" s="149"/>
      <c r="E15" s="150" t="s">
        <v>1028</v>
      </c>
      <c r="F15" s="149"/>
      <c r="G15" s="149"/>
      <c r="H15" s="149"/>
      <c r="I15" s="150" t="s">
        <v>991</v>
      </c>
      <c r="J15" s="198"/>
      <c r="K15" s="150" t="s">
        <v>992</v>
      </c>
      <c r="L15" s="957"/>
      <c r="M15" s="148"/>
      <c r="N15" s="148"/>
      <c r="O15" s="148"/>
      <c r="P15" s="198"/>
      <c r="Q15" s="148"/>
      <c r="R15" s="197"/>
      <c r="S15" s="198"/>
      <c r="T15" s="148"/>
      <c r="U15" s="148"/>
      <c r="V15" s="148"/>
      <c r="W15" s="197"/>
      <c r="X15" s="198"/>
      <c r="Y15" s="148"/>
      <c r="Z15" s="197"/>
      <c r="AA15" s="198"/>
      <c r="AB15" s="148"/>
      <c r="AC15" s="148"/>
      <c r="AD15" s="148"/>
      <c r="AE15" s="197"/>
    </row>
    <row r="16" spans="1:31">
      <c r="A16" s="679"/>
      <c r="B16" s="198"/>
      <c r="C16" s="150" t="s">
        <v>1029</v>
      </c>
      <c r="D16" s="149"/>
      <c r="E16" s="150" t="s">
        <v>1544</v>
      </c>
      <c r="F16" s="149"/>
      <c r="G16" s="151" t="s">
        <v>83</v>
      </c>
      <c r="H16" s="149"/>
      <c r="I16" s="150" t="s">
        <v>85</v>
      </c>
      <c r="J16" s="198"/>
      <c r="K16" s="150" t="s">
        <v>85</v>
      </c>
      <c r="L16" s="197"/>
      <c r="M16" s="148"/>
      <c r="N16" s="197"/>
      <c r="O16" s="148"/>
      <c r="P16" s="198"/>
      <c r="Q16" s="148"/>
      <c r="R16" s="198"/>
      <c r="S16" s="198"/>
      <c r="T16" s="148"/>
      <c r="U16" s="197"/>
      <c r="V16" s="148"/>
      <c r="W16" s="197"/>
      <c r="X16" s="198"/>
      <c r="Y16" s="148"/>
      <c r="Z16" s="198"/>
      <c r="AA16" s="198"/>
      <c r="AB16" s="148"/>
      <c r="AC16" s="197"/>
      <c r="AD16" s="148"/>
      <c r="AE16" s="197"/>
    </row>
    <row r="17" spans="1:31">
      <c r="A17" s="152"/>
      <c r="B17" s="153"/>
      <c r="C17" s="154"/>
      <c r="D17" s="140"/>
      <c r="E17" s="154"/>
      <c r="F17" s="140"/>
      <c r="G17" s="154"/>
      <c r="H17" s="140"/>
      <c r="I17" s="154"/>
      <c r="J17" s="153"/>
      <c r="K17" s="154"/>
      <c r="L17" s="153"/>
      <c r="M17" s="153"/>
      <c r="N17" s="153"/>
      <c r="O17" s="153"/>
      <c r="P17" s="153"/>
      <c r="Q17" s="153"/>
      <c r="R17" s="153"/>
      <c r="S17" s="153"/>
      <c r="T17" s="153"/>
      <c r="U17" s="153"/>
      <c r="V17" s="153"/>
      <c r="W17" s="153"/>
      <c r="X17" s="153"/>
      <c r="Y17" s="153"/>
      <c r="Z17" s="153"/>
      <c r="AA17" s="153"/>
      <c r="AB17" s="153"/>
      <c r="AC17" s="153"/>
      <c r="AD17" s="153"/>
      <c r="AE17" s="153"/>
    </row>
    <row r="18" spans="1:31">
      <c r="A18" s="26" t="s">
        <v>13</v>
      </c>
      <c r="B18" s="913"/>
      <c r="C18" s="648"/>
      <c r="D18" s="648"/>
      <c r="E18" s="648"/>
      <c r="F18" s="648"/>
      <c r="G18" s="648"/>
      <c r="H18" s="648"/>
      <c r="I18" s="648"/>
      <c r="J18" s="913"/>
      <c r="K18" s="913"/>
      <c r="L18" s="913"/>
      <c r="M18" s="913"/>
      <c r="N18" s="913"/>
      <c r="O18" s="913"/>
      <c r="P18" s="913"/>
      <c r="Q18" s="913"/>
      <c r="R18" s="913"/>
      <c r="S18" s="913"/>
      <c r="T18" s="913"/>
      <c r="U18" s="913"/>
      <c r="V18" s="913"/>
      <c r="W18" s="913"/>
      <c r="X18" s="913"/>
      <c r="Y18" s="913"/>
      <c r="Z18" s="913"/>
      <c r="AA18" s="913"/>
      <c r="AB18" s="913"/>
      <c r="AC18" s="913"/>
      <c r="AD18" s="913"/>
      <c r="AE18" s="913"/>
    </row>
    <row r="19" spans="1:31">
      <c r="A19" s="809" t="s">
        <v>86</v>
      </c>
      <c r="B19" s="914"/>
      <c r="C19" s="648"/>
      <c r="D19" s="914"/>
      <c r="E19" s="648"/>
      <c r="F19" s="914"/>
      <c r="G19" s="648"/>
      <c r="H19" s="914"/>
      <c r="I19" s="648"/>
      <c r="J19" s="913"/>
      <c r="K19" s="913"/>
      <c r="L19" s="913"/>
      <c r="M19" s="913"/>
      <c r="N19" s="913"/>
      <c r="O19" s="934"/>
      <c r="P19" s="913"/>
      <c r="Q19" s="913"/>
      <c r="R19" s="913"/>
      <c r="S19" s="913"/>
      <c r="T19" s="913"/>
      <c r="U19" s="913"/>
      <c r="V19" s="913"/>
      <c r="W19" s="913"/>
      <c r="X19" s="913"/>
      <c r="Y19" s="913"/>
      <c r="Z19" s="913"/>
      <c r="AA19" s="913"/>
      <c r="AB19" s="913"/>
      <c r="AC19" s="913"/>
      <c r="AD19" s="913"/>
      <c r="AE19" s="913"/>
    </row>
    <row r="20" spans="1:31">
      <c r="A20" s="809" t="s">
        <v>87</v>
      </c>
      <c r="B20" s="914" t="s">
        <v>14</v>
      </c>
      <c r="C20" s="2039">
        <v>15503</v>
      </c>
      <c r="D20" s="882"/>
      <c r="E20" s="2039">
        <v>17606</v>
      </c>
      <c r="F20" s="651"/>
      <c r="G20" s="649">
        <f>+'Exhibit F'!AC26</f>
        <v>17897.599999999999</v>
      </c>
      <c r="H20" s="651"/>
      <c r="I20" s="649">
        <f>G20-C20</f>
        <v>2394.5999999999985</v>
      </c>
      <c r="J20" s="913"/>
      <c r="K20" s="649">
        <f>G20-E20</f>
        <v>291.59999999999854</v>
      </c>
      <c r="L20" s="958"/>
      <c r="M20" s="958"/>
      <c r="N20" s="959"/>
      <c r="O20" s="958"/>
      <c r="P20" s="960"/>
      <c r="Q20" s="913"/>
      <c r="R20" s="913"/>
      <c r="S20" s="913"/>
      <c r="T20" s="913"/>
      <c r="U20" s="913"/>
      <c r="V20" s="913"/>
      <c r="W20" s="913"/>
      <c r="X20" s="913"/>
      <c r="Y20" s="913"/>
      <c r="Z20" s="913"/>
      <c r="AA20" s="913"/>
      <c r="AB20" s="913"/>
      <c r="AC20" s="913"/>
      <c r="AD20" s="913"/>
      <c r="AE20" s="913"/>
    </row>
    <row r="21" spans="1:31">
      <c r="A21" s="809" t="s">
        <v>88</v>
      </c>
      <c r="B21" s="913" t="s">
        <v>14</v>
      </c>
      <c r="C21" s="1111">
        <v>2169</v>
      </c>
      <c r="D21" s="884"/>
      <c r="E21" s="1111">
        <v>2303</v>
      </c>
      <c r="F21" s="634"/>
      <c r="G21" s="884">
        <f>+'Exhibit F'!AC36</f>
        <v>2353.1999999999998</v>
      </c>
      <c r="H21" s="634"/>
      <c r="I21" s="3865">
        <f t="shared" ref="I21:I25" si="0">ROUND(SUM(G21)-SUM(C21),1)</f>
        <v>184.2</v>
      </c>
      <c r="J21" s="913"/>
      <c r="K21" s="1515">
        <f>+G21-E21</f>
        <v>50.199999999999818</v>
      </c>
      <c r="L21" s="961"/>
      <c r="M21" s="932"/>
      <c r="N21" s="932"/>
      <c r="O21" s="932"/>
      <c r="P21" s="932"/>
      <c r="Q21" s="932"/>
      <c r="R21" s="932"/>
      <c r="S21" s="913"/>
      <c r="T21" s="913"/>
      <c r="U21" s="913"/>
      <c r="V21" s="913"/>
      <c r="W21" s="913"/>
      <c r="X21" s="913"/>
      <c r="Y21" s="913"/>
      <c r="Z21" s="913"/>
      <c r="AA21" s="913"/>
      <c r="AB21" s="913"/>
      <c r="AC21" s="913"/>
      <c r="AD21" s="913"/>
      <c r="AE21" s="913"/>
    </row>
    <row r="22" spans="1:31">
      <c r="A22" s="809" t="s">
        <v>89</v>
      </c>
      <c r="B22" s="914" t="s">
        <v>14</v>
      </c>
      <c r="C22" s="1111">
        <v>3268</v>
      </c>
      <c r="D22" s="673"/>
      <c r="E22" s="1111">
        <v>3629</v>
      </c>
      <c r="F22" s="671"/>
      <c r="G22" s="921">
        <f>+'Exhibit F'!AC43</f>
        <v>4424.2</v>
      </c>
      <c r="H22" s="671"/>
      <c r="I22" s="3865">
        <f t="shared" si="0"/>
        <v>1156.2</v>
      </c>
      <c r="J22" s="913"/>
      <c r="K22" s="1515">
        <f>+G22-E22</f>
        <v>795.19999999999982</v>
      </c>
      <c r="L22" s="961"/>
      <c r="M22" s="933"/>
      <c r="N22" s="932"/>
      <c r="O22" s="933"/>
      <c r="P22" s="932"/>
      <c r="Q22" s="933"/>
      <c r="R22" s="932"/>
      <c r="S22" s="913"/>
      <c r="T22" s="934"/>
      <c r="U22" s="913"/>
      <c r="V22" s="934"/>
      <c r="W22" s="913"/>
      <c r="X22" s="913"/>
      <c r="Y22" s="934"/>
      <c r="Z22" s="913"/>
      <c r="AA22" s="913"/>
      <c r="AB22" s="934"/>
      <c r="AC22" s="200"/>
      <c r="AD22" s="934"/>
      <c r="AE22" s="913"/>
    </row>
    <row r="23" spans="1:31">
      <c r="A23" s="809" t="s">
        <v>90</v>
      </c>
      <c r="B23" s="913" t="s">
        <v>14</v>
      </c>
      <c r="C23" s="1111">
        <v>636</v>
      </c>
      <c r="D23" s="884"/>
      <c r="E23" s="1111">
        <v>658</v>
      </c>
      <c r="F23" s="634"/>
      <c r="G23" s="884">
        <f>+'Exhibit F'!AC51</f>
        <v>667.6</v>
      </c>
      <c r="H23" s="634"/>
      <c r="I23" s="3865">
        <f t="shared" si="0"/>
        <v>31.6</v>
      </c>
      <c r="J23" s="913"/>
      <c r="K23" s="1515">
        <f>+G23-E23</f>
        <v>9.6000000000000227</v>
      </c>
      <c r="L23" s="962"/>
      <c r="M23" s="932"/>
      <c r="N23" s="932"/>
      <c r="O23" s="932"/>
      <c r="P23" s="932"/>
      <c r="Q23" s="932"/>
      <c r="R23" s="932"/>
      <c r="S23" s="913"/>
      <c r="T23" s="913"/>
      <c r="U23" s="913"/>
      <c r="V23" s="913"/>
      <c r="W23" s="913"/>
      <c r="X23" s="913"/>
      <c r="Y23" s="913"/>
      <c r="Z23" s="913"/>
      <c r="AA23" s="913"/>
      <c r="AB23" s="913"/>
      <c r="AC23" s="913"/>
      <c r="AD23" s="913"/>
      <c r="AE23" s="913"/>
    </row>
    <row r="24" spans="1:31" ht="15" customHeight="1">
      <c r="A24" s="809" t="s">
        <v>19</v>
      </c>
      <c r="B24" s="913" t="s">
        <v>14</v>
      </c>
      <c r="C24" s="1111">
        <v>766</v>
      </c>
      <c r="D24" s="1958"/>
      <c r="E24" s="1111">
        <v>827</v>
      </c>
      <c r="F24" s="931"/>
      <c r="G24" s="676">
        <f>+'Exhibit F'!AC92</f>
        <v>976.6</v>
      </c>
      <c r="H24" s="634"/>
      <c r="I24" s="3865">
        <f t="shared" si="0"/>
        <v>210.6</v>
      </c>
      <c r="J24" s="913"/>
      <c r="K24" s="1515">
        <f>+G24-E24</f>
        <v>149.60000000000002</v>
      </c>
      <c r="L24" s="962"/>
      <c r="M24" s="932"/>
      <c r="N24" s="932"/>
      <c r="O24" s="932"/>
      <c r="P24" s="932"/>
      <c r="Q24" s="932"/>
      <c r="R24" s="932"/>
      <c r="S24" s="913"/>
      <c r="T24" s="913"/>
      <c r="U24" s="913"/>
      <c r="V24" s="913"/>
      <c r="W24" s="913"/>
      <c r="X24" s="913"/>
      <c r="Y24" s="913"/>
      <c r="Z24" s="913"/>
      <c r="AA24" s="913"/>
      <c r="AB24" s="913"/>
      <c r="AC24" s="913"/>
      <c r="AD24" s="913"/>
      <c r="AE24" s="913"/>
    </row>
    <row r="25" spans="1:31" ht="15" customHeight="1">
      <c r="A25" s="809" t="s">
        <v>20</v>
      </c>
      <c r="B25" s="913" t="s">
        <v>14</v>
      </c>
      <c r="C25" s="1111">
        <v>0</v>
      </c>
      <c r="D25" s="884"/>
      <c r="E25" s="1111">
        <v>0</v>
      </c>
      <c r="F25" s="634"/>
      <c r="G25" s="676">
        <f>+'Exhibit F'!AC94</f>
        <v>0</v>
      </c>
      <c r="H25" s="634"/>
      <c r="I25" s="3865">
        <f t="shared" si="0"/>
        <v>0</v>
      </c>
      <c r="J25" s="913"/>
      <c r="K25" s="1515">
        <f>+G25-E25</f>
        <v>0</v>
      </c>
      <c r="L25" s="961"/>
      <c r="M25" s="932"/>
      <c r="N25" s="932"/>
      <c r="O25" s="932"/>
      <c r="P25" s="932"/>
      <c r="Q25" s="932"/>
      <c r="R25" s="935"/>
      <c r="S25" s="936"/>
      <c r="T25" s="913"/>
      <c r="U25" s="936"/>
      <c r="V25" s="913"/>
      <c r="W25" s="936"/>
      <c r="X25" s="937"/>
      <c r="Y25" s="913"/>
      <c r="Z25" s="913"/>
      <c r="AA25" s="913"/>
      <c r="AB25" s="913"/>
      <c r="AC25" s="913"/>
      <c r="AD25" s="913"/>
      <c r="AE25" s="913"/>
    </row>
    <row r="26" spans="1:31" ht="18" customHeight="1">
      <c r="A26" s="809" t="s">
        <v>104</v>
      </c>
      <c r="B26" s="937"/>
      <c r="C26" s="650"/>
      <c r="D26" s="884"/>
      <c r="E26" s="650"/>
      <c r="F26" s="634"/>
      <c r="G26" s="2121"/>
      <c r="H26" s="634"/>
      <c r="I26" s="634"/>
      <c r="J26" s="937"/>
      <c r="K26" s="1515"/>
      <c r="L26" s="935"/>
      <c r="M26" s="932"/>
      <c r="N26" s="935"/>
      <c r="O26" s="932"/>
      <c r="P26" s="935"/>
      <c r="Q26" s="932"/>
      <c r="R26" s="935"/>
      <c r="S26" s="936"/>
      <c r="T26" s="913"/>
      <c r="U26" s="936"/>
      <c r="V26" s="913"/>
      <c r="W26" s="936"/>
      <c r="X26" s="937"/>
      <c r="Y26" s="913"/>
      <c r="Z26" s="913"/>
      <c r="AA26" s="913"/>
      <c r="AB26" s="913"/>
      <c r="AC26" s="913"/>
      <c r="AD26" s="913"/>
      <c r="AE26" s="913"/>
    </row>
    <row r="27" spans="1:31">
      <c r="A27" s="809" t="s">
        <v>1222</v>
      </c>
      <c r="B27" s="937" t="s">
        <v>14</v>
      </c>
      <c r="C27" s="1111">
        <v>14535</v>
      </c>
      <c r="D27" s="884"/>
      <c r="E27" s="1111">
        <v>16668</v>
      </c>
      <c r="F27" s="634"/>
      <c r="G27" s="884">
        <f>'Exhibit F'!AC123</f>
        <v>17005.7</v>
      </c>
      <c r="H27" s="634"/>
      <c r="I27" s="3865">
        <f t="shared" ref="I27:I30" si="1">ROUND(SUM(G27)-SUM(C27),1)</f>
        <v>2470.6999999999998</v>
      </c>
      <c r="J27" s="937"/>
      <c r="K27" s="1515">
        <f>+G27-E27</f>
        <v>337.70000000000073</v>
      </c>
      <c r="L27" s="935"/>
      <c r="M27" s="932"/>
      <c r="N27" s="935"/>
      <c r="O27" s="932"/>
      <c r="P27" s="932"/>
      <c r="Q27" s="932"/>
      <c r="R27" s="935"/>
      <c r="S27" s="936"/>
      <c r="T27" s="913"/>
      <c r="U27" s="936"/>
      <c r="V27" s="913"/>
      <c r="W27" s="936"/>
      <c r="X27" s="937"/>
      <c r="Y27" s="913"/>
      <c r="Z27" s="913"/>
      <c r="AA27" s="913"/>
      <c r="AB27" s="913"/>
      <c r="AC27" s="913"/>
      <c r="AD27" s="913"/>
      <c r="AE27" s="913"/>
    </row>
    <row r="28" spans="1:31">
      <c r="A28" s="809" t="s">
        <v>990</v>
      </c>
      <c r="B28" s="937" t="s">
        <v>14</v>
      </c>
      <c r="C28" s="1111">
        <v>5402</v>
      </c>
      <c r="D28" s="884"/>
      <c r="E28" s="1111">
        <v>5843</v>
      </c>
      <c r="F28" s="634"/>
      <c r="G28" s="1524">
        <f>'Exhibit F'!AC124</f>
        <v>5974.1</v>
      </c>
      <c r="H28" s="634"/>
      <c r="I28" s="3865">
        <f t="shared" si="1"/>
        <v>572.1</v>
      </c>
      <c r="J28" s="937"/>
      <c r="K28" s="1515">
        <f>+G28-E28</f>
        <v>131.10000000000036</v>
      </c>
      <c r="L28" s="935" t="s">
        <v>14</v>
      </c>
      <c r="M28" s="932"/>
      <c r="N28" s="935"/>
      <c r="O28" s="932"/>
      <c r="P28" s="932"/>
      <c r="Q28" s="932"/>
      <c r="R28" s="935"/>
      <c r="S28" s="936"/>
      <c r="T28" s="913"/>
      <c r="U28" s="936"/>
      <c r="V28" s="913"/>
      <c r="W28" s="936"/>
      <c r="X28" s="937"/>
      <c r="Y28" s="913"/>
      <c r="Z28" s="913"/>
      <c r="AA28" s="913"/>
      <c r="AB28" s="913"/>
      <c r="AC28" s="913"/>
      <c r="AD28" s="913"/>
      <c r="AE28" s="913"/>
    </row>
    <row r="29" spans="1:31">
      <c r="A29" s="809" t="s">
        <v>105</v>
      </c>
      <c r="B29" s="937" t="s">
        <v>14</v>
      </c>
      <c r="C29" s="1111">
        <v>488</v>
      </c>
      <c r="D29" s="884"/>
      <c r="E29" s="1111">
        <v>631</v>
      </c>
      <c r="F29" s="634"/>
      <c r="G29" s="884">
        <f>'Exhibit F'!AC125</f>
        <v>707</v>
      </c>
      <c r="H29" s="634"/>
      <c r="I29" s="3865">
        <f t="shared" si="1"/>
        <v>219</v>
      </c>
      <c r="J29" s="937"/>
      <c r="K29" s="1515">
        <f>+G29-E29</f>
        <v>76</v>
      </c>
      <c r="L29" s="935"/>
      <c r="M29" s="932"/>
      <c r="N29" s="935"/>
      <c r="O29" s="932"/>
      <c r="P29" s="932"/>
      <c r="Q29" s="932"/>
      <c r="R29" s="935"/>
      <c r="S29" s="936"/>
      <c r="T29" s="913"/>
      <c r="U29" s="936"/>
      <c r="V29" s="913"/>
      <c r="W29" s="936"/>
      <c r="X29" s="937"/>
      <c r="Y29" s="913"/>
      <c r="Z29" s="913"/>
      <c r="AA29" s="913"/>
      <c r="AB29" s="913"/>
      <c r="AC29" s="913"/>
      <c r="AD29" s="913"/>
      <c r="AE29" s="913"/>
    </row>
    <row r="30" spans="1:31">
      <c r="A30" s="809" t="s">
        <v>106</v>
      </c>
      <c r="B30" s="937" t="s">
        <v>14</v>
      </c>
      <c r="C30" s="1111">
        <v>1279</v>
      </c>
      <c r="D30" s="884"/>
      <c r="E30" s="1111">
        <v>1184</v>
      </c>
      <c r="F30" s="634"/>
      <c r="G30" s="1700">
        <f>'Exhibit F'!AC126</f>
        <v>1112.5999999999981</v>
      </c>
      <c r="H30" s="634"/>
      <c r="I30" s="3865">
        <f t="shared" si="1"/>
        <v>-166.4</v>
      </c>
      <c r="J30" s="937"/>
      <c r="K30" s="1515">
        <f>+G30-E30</f>
        <v>-71.40000000000191</v>
      </c>
      <c r="L30" s="963"/>
      <c r="M30" s="932"/>
      <c r="N30" s="933"/>
      <c r="O30" s="932"/>
      <c r="P30" s="932"/>
      <c r="Q30" s="932"/>
      <c r="R30" s="935"/>
      <c r="S30" s="936"/>
      <c r="T30" s="913"/>
      <c r="U30" s="936"/>
      <c r="V30" s="913"/>
      <c r="W30" s="936"/>
      <c r="X30" s="937"/>
      <c r="Y30" s="913"/>
      <c r="Z30" s="913"/>
      <c r="AA30" s="913"/>
      <c r="AB30" s="913"/>
      <c r="AC30" s="913"/>
      <c r="AD30" s="913"/>
      <c r="AE30" s="913"/>
    </row>
    <row r="31" spans="1:31" ht="18" customHeight="1">
      <c r="A31" s="170" t="s">
        <v>107</v>
      </c>
      <c r="B31" s="148" t="s">
        <v>14</v>
      </c>
      <c r="C31" s="1859">
        <f>ROUND(SUM(C20:C30),1)</f>
        <v>44046</v>
      </c>
      <c r="D31" s="109"/>
      <c r="E31" s="1859">
        <f>ROUND(SUM(E20:E30),1)</f>
        <v>49349</v>
      </c>
      <c r="F31" s="911"/>
      <c r="G31" s="212">
        <f>ROUND(SUM(G20:G30),1)</f>
        <v>51118.6</v>
      </c>
      <c r="H31" s="911"/>
      <c r="I31" s="291">
        <f>ROUND(SUM(I20:I30),1)</f>
        <v>7072.6</v>
      </c>
      <c r="J31" s="148"/>
      <c r="K31" s="291">
        <f>ROUND(SUM(K20:K30),1)</f>
        <v>1769.6</v>
      </c>
      <c r="L31" s="73"/>
      <c r="M31" s="73"/>
      <c r="N31" s="73"/>
      <c r="O31" s="73"/>
      <c r="P31" s="73"/>
      <c r="Q31" s="73"/>
      <c r="R31" s="73"/>
      <c r="S31" s="148"/>
      <c r="T31" s="148"/>
      <c r="U31" s="148"/>
      <c r="V31" s="148"/>
      <c r="W31" s="148"/>
      <c r="X31" s="148"/>
      <c r="Y31" s="148"/>
      <c r="Z31" s="148"/>
      <c r="AA31" s="148"/>
      <c r="AB31" s="148"/>
      <c r="AC31" s="148"/>
      <c r="AD31" s="148"/>
      <c r="AE31" s="148"/>
    </row>
    <row r="32" spans="1:31">
      <c r="A32" s="679"/>
      <c r="B32" s="913"/>
      <c r="C32" s="1860"/>
      <c r="D32" s="884"/>
      <c r="E32" s="1860"/>
      <c r="F32" s="634"/>
      <c r="G32" s="677"/>
      <c r="H32" s="634"/>
      <c r="I32" s="932"/>
      <c r="J32" s="913"/>
      <c r="K32" s="932"/>
      <c r="L32" s="932"/>
      <c r="M32" s="932"/>
      <c r="N32" s="932"/>
      <c r="O32" s="932"/>
      <c r="P32" s="932"/>
      <c r="Q32" s="932"/>
      <c r="R32" s="932"/>
      <c r="S32" s="913"/>
      <c r="T32" s="913"/>
      <c r="U32" s="913"/>
      <c r="V32" s="913"/>
      <c r="W32" s="913"/>
      <c r="X32" s="913"/>
      <c r="Y32" s="913"/>
      <c r="Z32" s="913"/>
      <c r="AA32" s="913"/>
      <c r="AB32" s="913"/>
      <c r="AC32" s="913"/>
      <c r="AD32" s="913"/>
      <c r="AE32" s="913"/>
    </row>
    <row r="33" spans="1:31">
      <c r="A33" s="26" t="s">
        <v>22</v>
      </c>
      <c r="B33" s="913"/>
      <c r="C33" s="884"/>
      <c r="D33" s="884"/>
      <c r="E33" s="884"/>
      <c r="F33" s="634"/>
      <c r="G33" s="634"/>
      <c r="H33" s="634"/>
      <c r="I33" s="634"/>
      <c r="J33" s="913"/>
      <c r="K33" s="932"/>
      <c r="L33" s="932"/>
      <c r="M33" s="932"/>
      <c r="N33" s="932"/>
      <c r="O33" s="932"/>
      <c r="P33" s="932"/>
      <c r="Q33" s="932"/>
      <c r="R33" s="932"/>
      <c r="S33" s="913"/>
      <c r="T33" s="913"/>
      <c r="U33" s="913"/>
      <c r="V33" s="913"/>
      <c r="W33" s="913"/>
      <c r="X33" s="913"/>
      <c r="Y33" s="913"/>
      <c r="Z33" s="913"/>
      <c r="AA33" s="913"/>
      <c r="AB33" s="913"/>
      <c r="AC33" s="913"/>
      <c r="AD33" s="913"/>
      <c r="AE33" s="913"/>
    </row>
    <row r="34" spans="1:31">
      <c r="A34" s="809" t="s">
        <v>92</v>
      </c>
      <c r="B34" s="934" t="s">
        <v>14</v>
      </c>
      <c r="C34" s="1111">
        <v>27026</v>
      </c>
      <c r="D34" s="884"/>
      <c r="E34" s="1111">
        <v>25627</v>
      </c>
      <c r="F34" s="634"/>
      <c r="G34" s="671">
        <f>+'Exhibit F'!AC110</f>
        <v>25137.599999999999</v>
      </c>
      <c r="H34" s="634"/>
      <c r="I34" s="3865">
        <f t="shared" ref="I34:I36" si="2">ROUND(SUM(G34)-SUM(C34),1)</f>
        <v>-1888.4</v>
      </c>
      <c r="J34" s="913"/>
      <c r="K34" s="1515">
        <f>+G34-E34</f>
        <v>-489.40000000000146</v>
      </c>
      <c r="L34" s="933"/>
      <c r="M34" s="932"/>
      <c r="N34" s="933"/>
      <c r="O34" s="932"/>
      <c r="P34" s="932"/>
      <c r="Q34" s="932"/>
      <c r="R34" s="935"/>
      <c r="S34" s="936"/>
      <c r="T34" s="913"/>
      <c r="U34" s="936"/>
      <c r="V34" s="913"/>
      <c r="W34" s="936"/>
      <c r="X34" s="937"/>
      <c r="Y34" s="913"/>
      <c r="Z34" s="913"/>
      <c r="AA34" s="913"/>
      <c r="AB34" s="913"/>
      <c r="AC34" s="913"/>
      <c r="AD34" s="913"/>
      <c r="AE34" s="913"/>
    </row>
    <row r="35" spans="1:31">
      <c r="A35" s="809" t="s">
        <v>93</v>
      </c>
      <c r="B35" s="934" t="s">
        <v>14</v>
      </c>
      <c r="C35" s="1111">
        <v>5780</v>
      </c>
      <c r="D35" s="884"/>
      <c r="E35" s="1111">
        <v>5422</v>
      </c>
      <c r="F35" s="634"/>
      <c r="G35" s="671">
        <f>+'Exhibit F'!AC112+'Exhibit F'!AC113</f>
        <v>5333.8</v>
      </c>
      <c r="H35" s="634"/>
      <c r="I35" s="3865">
        <f t="shared" si="2"/>
        <v>-446.2</v>
      </c>
      <c r="J35" s="913"/>
      <c r="K35" s="1515">
        <f>+G35-E35</f>
        <v>-88.199999999999818</v>
      </c>
      <c r="L35" s="933"/>
      <c r="M35" s="932"/>
      <c r="N35" s="933"/>
      <c r="O35" s="932"/>
      <c r="P35" s="932"/>
      <c r="Q35" s="932"/>
      <c r="R35" s="933"/>
      <c r="S35" s="934"/>
      <c r="T35" s="913"/>
      <c r="U35" s="934"/>
      <c r="V35" s="913"/>
      <c r="W35" s="936"/>
      <c r="X35" s="913"/>
      <c r="Y35" s="913"/>
      <c r="Z35" s="936"/>
      <c r="AA35" s="936"/>
      <c r="AB35" s="913"/>
      <c r="AC35" s="936"/>
      <c r="AD35" s="913"/>
      <c r="AE35" s="936"/>
    </row>
    <row r="36" spans="1:31">
      <c r="A36" s="809" t="s">
        <v>68</v>
      </c>
      <c r="B36" s="934" t="s">
        <v>14</v>
      </c>
      <c r="C36" s="1111">
        <v>5037</v>
      </c>
      <c r="D36" s="884"/>
      <c r="E36" s="1111">
        <v>4849</v>
      </c>
      <c r="F36" s="634"/>
      <c r="G36" s="671">
        <f>+'Exhibit F'!AC114</f>
        <v>4912.7</v>
      </c>
      <c r="H36" s="634"/>
      <c r="I36" s="3865">
        <f t="shared" si="2"/>
        <v>-124.3</v>
      </c>
      <c r="J36" s="913"/>
      <c r="K36" s="1515">
        <f>+G36-E36</f>
        <v>63.699999999999818</v>
      </c>
      <c r="L36" s="933"/>
      <c r="M36" s="932"/>
      <c r="N36" s="933"/>
      <c r="O36" s="932"/>
      <c r="P36" s="932"/>
      <c r="Q36" s="932"/>
      <c r="R36" s="935"/>
      <c r="S36" s="936"/>
      <c r="T36" s="913"/>
      <c r="U36" s="936"/>
      <c r="V36" s="913"/>
      <c r="W36" s="936"/>
      <c r="X36" s="937"/>
      <c r="Y36" s="913"/>
      <c r="Z36" s="936"/>
      <c r="AA36" s="936"/>
      <c r="AB36" s="913"/>
      <c r="AC36" s="936"/>
      <c r="AD36" s="913"/>
      <c r="AE36" s="936"/>
    </row>
    <row r="37" spans="1:31" ht="18" customHeight="1">
      <c r="A37" s="809" t="s">
        <v>108</v>
      </c>
      <c r="B37" s="937"/>
      <c r="C37" s="650"/>
      <c r="D37" s="884"/>
      <c r="E37" s="650"/>
      <c r="F37" s="634"/>
      <c r="G37" s="650"/>
      <c r="H37" s="634"/>
      <c r="I37" s="634"/>
      <c r="J37" s="937"/>
      <c r="K37" s="1515" t="s">
        <v>14</v>
      </c>
      <c r="L37" s="963"/>
      <c r="M37" s="932"/>
      <c r="N37" s="963"/>
      <c r="O37" s="932"/>
      <c r="P37" s="932"/>
      <c r="Q37" s="932"/>
      <c r="R37" s="935"/>
      <c r="S37" s="936"/>
      <c r="T37" s="913"/>
      <c r="U37" s="936"/>
      <c r="V37" s="913"/>
      <c r="W37" s="936"/>
      <c r="X37" s="937"/>
      <c r="Y37" s="913"/>
      <c r="Z37" s="913"/>
      <c r="AA37" s="913"/>
      <c r="AB37" s="913"/>
      <c r="AC37" s="913"/>
      <c r="AD37" s="913"/>
      <c r="AE37" s="913"/>
    </row>
    <row r="38" spans="1:31">
      <c r="A38" s="809" t="s">
        <v>109</v>
      </c>
      <c r="B38" s="937" t="s">
        <v>14</v>
      </c>
      <c r="C38" s="1111">
        <v>199</v>
      </c>
      <c r="D38" s="884"/>
      <c r="E38" s="1111">
        <v>174</v>
      </c>
      <c r="F38" s="634"/>
      <c r="G38" s="674">
        <f>-'Exhibit F'!AC129</f>
        <v>179.9</v>
      </c>
      <c r="H38" s="634"/>
      <c r="I38" s="3865">
        <f t="shared" ref="I38:I42" si="3">ROUND(SUM(G38)-SUM(C38),1)</f>
        <v>-19.100000000000001</v>
      </c>
      <c r="J38" s="937"/>
      <c r="K38" s="1515">
        <f>+G38-E38</f>
        <v>5.9000000000000057</v>
      </c>
      <c r="L38" s="935"/>
      <c r="M38" s="932"/>
      <c r="N38" s="935"/>
      <c r="O38" s="932"/>
      <c r="P38" s="932"/>
      <c r="Q38" s="932"/>
      <c r="R38" s="935"/>
      <c r="S38" s="936"/>
      <c r="T38" s="913"/>
      <c r="U38" s="936"/>
      <c r="V38" s="913"/>
      <c r="W38" s="936"/>
      <c r="X38" s="937"/>
      <c r="Y38" s="913"/>
      <c r="Z38" s="913"/>
      <c r="AA38" s="913"/>
      <c r="AB38" s="913"/>
      <c r="AC38" s="913"/>
      <c r="AD38" s="913"/>
      <c r="AE38" s="913"/>
    </row>
    <row r="39" spans="1:31">
      <c r="A39" s="809" t="s">
        <v>110</v>
      </c>
      <c r="B39" s="937" t="s">
        <v>14</v>
      </c>
      <c r="C39" s="1111">
        <v>2250</v>
      </c>
      <c r="D39" s="884"/>
      <c r="E39" s="1111">
        <v>2649</v>
      </c>
      <c r="F39" s="634"/>
      <c r="G39" s="674">
        <f>-'Exhibit F'!AC127-'Exhibit F'!AC128</f>
        <v>2943.2</v>
      </c>
      <c r="H39" s="1515" t="s">
        <v>14</v>
      </c>
      <c r="I39" s="3865">
        <f t="shared" si="3"/>
        <v>693.2</v>
      </c>
      <c r="J39" s="937"/>
      <c r="K39" s="1515">
        <f>+G39-E39</f>
        <v>294.19999999999982</v>
      </c>
      <c r="L39" s="935" t="s">
        <v>14</v>
      </c>
      <c r="M39" s="932"/>
      <c r="N39" s="935"/>
      <c r="O39" s="932"/>
      <c r="P39" s="932"/>
      <c r="Q39" s="932"/>
      <c r="R39" s="935"/>
      <c r="S39" s="936"/>
      <c r="T39" s="913"/>
      <c r="U39" s="936"/>
      <c r="V39" s="913"/>
      <c r="W39" s="936"/>
      <c r="X39" s="937"/>
      <c r="Y39" s="913"/>
      <c r="Z39" s="913"/>
      <c r="AA39" s="913"/>
      <c r="AB39" s="913"/>
      <c r="AC39" s="913"/>
      <c r="AD39" s="913"/>
      <c r="AE39" s="913"/>
    </row>
    <row r="40" spans="1:31">
      <c r="A40" s="809" t="s">
        <v>111</v>
      </c>
      <c r="B40" s="937" t="s">
        <v>14</v>
      </c>
      <c r="C40" s="1111">
        <v>0</v>
      </c>
      <c r="D40" s="884"/>
      <c r="E40" s="1111">
        <v>0</v>
      </c>
      <c r="F40" s="634"/>
      <c r="G40" s="1524">
        <v>206.3</v>
      </c>
      <c r="H40" s="1515" t="s">
        <v>774</v>
      </c>
      <c r="I40" s="3865">
        <f t="shared" si="3"/>
        <v>206.3</v>
      </c>
      <c r="J40" s="937"/>
      <c r="K40" s="1515">
        <f>+G40-E40</f>
        <v>206.3</v>
      </c>
      <c r="L40" s="935"/>
      <c r="M40" s="932"/>
      <c r="N40" s="935"/>
      <c r="O40" s="932"/>
      <c r="P40" s="932"/>
      <c r="Q40" s="932"/>
      <c r="R40" s="935"/>
      <c r="S40" s="936"/>
      <c r="T40" s="913"/>
      <c r="U40" s="936"/>
      <c r="V40" s="913"/>
      <c r="W40" s="936"/>
      <c r="X40" s="937"/>
      <c r="Y40" s="913"/>
      <c r="Z40" s="913"/>
      <c r="AA40" s="913"/>
      <c r="AB40" s="913"/>
      <c r="AC40" s="913"/>
      <c r="AD40" s="913"/>
      <c r="AE40" s="913"/>
    </row>
    <row r="41" spans="1:31">
      <c r="A41" s="809" t="s">
        <v>113</v>
      </c>
      <c r="B41" s="937" t="s">
        <v>114</v>
      </c>
      <c r="C41" s="1111">
        <v>959</v>
      </c>
      <c r="D41" s="884"/>
      <c r="E41" s="1111">
        <v>1070</v>
      </c>
      <c r="F41" s="634"/>
      <c r="G41" s="1524">
        <v>1185.4000000000001</v>
      </c>
      <c r="H41" s="634"/>
      <c r="I41" s="3865">
        <f t="shared" si="3"/>
        <v>226.4</v>
      </c>
      <c r="J41" s="937"/>
      <c r="K41" s="1515">
        <f>+G41-E41</f>
        <v>115.40000000000009</v>
      </c>
      <c r="L41" s="935"/>
      <c r="M41" s="932"/>
      <c r="N41" s="935"/>
      <c r="O41" s="932"/>
      <c r="P41" s="932"/>
      <c r="Q41" s="932"/>
      <c r="R41" s="935"/>
      <c r="S41" s="936"/>
      <c r="T41" s="913"/>
      <c r="U41" s="936"/>
      <c r="V41" s="913"/>
      <c r="W41" s="936"/>
      <c r="X41" s="937"/>
      <c r="Y41" s="913"/>
      <c r="Z41" s="913"/>
      <c r="AA41" s="913"/>
      <c r="AB41" s="913"/>
      <c r="AC41" s="913"/>
      <c r="AD41" s="913"/>
      <c r="AE41" s="913"/>
    </row>
    <row r="42" spans="1:31">
      <c r="A42" s="809" t="s">
        <v>115</v>
      </c>
      <c r="B42" s="937" t="s">
        <v>14</v>
      </c>
      <c r="C42" s="1111">
        <v>518</v>
      </c>
      <c r="D42" s="884"/>
      <c r="E42" s="1111">
        <v>632</v>
      </c>
      <c r="F42" s="634"/>
      <c r="G42" s="674">
        <v>426.8</v>
      </c>
      <c r="H42" s="634"/>
      <c r="I42" s="3865">
        <f t="shared" si="3"/>
        <v>-91.2</v>
      </c>
      <c r="J42" s="937"/>
      <c r="K42" s="1515">
        <f>+G42-E42</f>
        <v>-205.2</v>
      </c>
      <c r="L42" s="963"/>
      <c r="M42" s="932"/>
      <c r="N42" s="933"/>
      <c r="O42" s="932"/>
      <c r="P42" s="932"/>
      <c r="Q42" s="932"/>
      <c r="R42" s="935"/>
      <c r="S42" s="936"/>
      <c r="T42" s="913"/>
      <c r="U42" s="936"/>
      <c r="V42" s="913"/>
      <c r="W42" s="936"/>
      <c r="X42" s="937"/>
      <c r="Y42" s="913"/>
      <c r="Z42" s="913"/>
      <c r="AA42" s="913"/>
      <c r="AB42" s="913"/>
      <c r="AC42" s="913"/>
      <c r="AD42" s="913"/>
      <c r="AE42" s="913"/>
    </row>
    <row r="43" spans="1:31" ht="18" customHeight="1">
      <c r="A43" s="170" t="s">
        <v>116</v>
      </c>
      <c r="B43" s="148" t="s">
        <v>14</v>
      </c>
      <c r="C43" s="1859">
        <f>ROUND(SUM(C34:C42),1)</f>
        <v>41769</v>
      </c>
      <c r="D43" s="109"/>
      <c r="E43" s="1859">
        <f>ROUND(SUM(E34:E42),1)</f>
        <v>40423</v>
      </c>
      <c r="F43" s="911"/>
      <c r="G43" s="212">
        <f>ROUND(SUM(G34:G42),1)</f>
        <v>40325.699999999997</v>
      </c>
      <c r="H43" s="911"/>
      <c r="I43" s="291">
        <f>ROUND(SUM(I34:I42),1)</f>
        <v>-1443.3</v>
      </c>
      <c r="J43" s="148"/>
      <c r="K43" s="291">
        <f>ROUND(SUM(K34:K42),1)</f>
        <v>-97.3</v>
      </c>
      <c r="L43" s="73"/>
      <c r="M43" s="73"/>
      <c r="N43" s="73"/>
      <c r="O43" s="73"/>
      <c r="P43" s="73"/>
      <c r="Q43" s="73"/>
      <c r="R43" s="73"/>
      <c r="S43" s="148"/>
      <c r="T43" s="148"/>
      <c r="U43" s="148"/>
      <c r="V43" s="148"/>
      <c r="W43" s="148"/>
      <c r="X43" s="148"/>
      <c r="Y43" s="148"/>
      <c r="Z43" s="148"/>
      <c r="AA43" s="148"/>
      <c r="AB43" s="148"/>
      <c r="AC43" s="148"/>
      <c r="AD43" s="148"/>
      <c r="AE43" s="148"/>
    </row>
    <row r="44" spans="1:31">
      <c r="A44" s="679"/>
      <c r="B44" s="913"/>
      <c r="C44" s="1860"/>
      <c r="D44" s="884"/>
      <c r="E44" s="1860"/>
      <c r="F44" s="634"/>
      <c r="G44" s="677"/>
      <c r="H44" s="634"/>
      <c r="I44" s="932"/>
      <c r="J44" s="913"/>
      <c r="K44" s="932"/>
      <c r="L44" s="932"/>
      <c r="M44" s="932"/>
      <c r="N44" s="932"/>
      <c r="O44" s="932"/>
      <c r="P44" s="932"/>
      <c r="Q44" s="932"/>
      <c r="R44" s="932"/>
      <c r="S44" s="913"/>
      <c r="T44" s="913"/>
      <c r="U44" s="913"/>
      <c r="V44" s="913"/>
      <c r="W44" s="913"/>
      <c r="X44" s="913"/>
      <c r="Y44" s="913"/>
      <c r="Z44" s="913"/>
      <c r="AA44" s="913"/>
      <c r="AB44" s="913"/>
      <c r="AC44" s="913"/>
      <c r="AD44" s="913"/>
      <c r="AE44" s="913"/>
    </row>
    <row r="45" spans="1:31">
      <c r="A45" s="26" t="s">
        <v>117</v>
      </c>
      <c r="B45" s="913"/>
      <c r="C45" s="884"/>
      <c r="D45" s="884"/>
      <c r="E45" s="884"/>
      <c r="F45" s="634"/>
      <c r="G45" s="634"/>
      <c r="H45" s="634"/>
      <c r="I45" s="634"/>
      <c r="J45" s="913"/>
      <c r="K45" s="932"/>
      <c r="L45" s="932"/>
      <c r="M45" s="932"/>
      <c r="N45" s="932"/>
      <c r="O45" s="932"/>
      <c r="P45" s="932"/>
      <c r="Q45" s="932"/>
      <c r="R45" s="932"/>
      <c r="S45" s="913"/>
      <c r="T45" s="913"/>
      <c r="U45" s="913"/>
      <c r="V45" s="913"/>
      <c r="W45" s="913"/>
      <c r="X45" s="913"/>
      <c r="Y45" s="913"/>
      <c r="Z45" s="913"/>
      <c r="AA45" s="913"/>
      <c r="AB45" s="913"/>
      <c r="AC45" s="913"/>
      <c r="AD45" s="913"/>
      <c r="AE45" s="913"/>
    </row>
    <row r="46" spans="1:31">
      <c r="A46" s="26" t="s">
        <v>118</v>
      </c>
      <c r="B46" s="913"/>
      <c r="C46" s="884"/>
      <c r="D46" s="884"/>
      <c r="E46" s="884"/>
      <c r="F46" s="634"/>
      <c r="G46" s="634"/>
      <c r="H46" s="634"/>
      <c r="I46" s="634"/>
      <c r="J46" s="913"/>
      <c r="K46" s="932"/>
      <c r="L46" s="932"/>
      <c r="M46" s="932"/>
      <c r="N46" s="932"/>
      <c r="O46" s="932"/>
      <c r="P46" s="932"/>
      <c r="Q46" s="932"/>
      <c r="R46" s="932"/>
      <c r="S46" s="913"/>
      <c r="T46" s="913"/>
      <c r="U46" s="913"/>
      <c r="V46" s="913"/>
      <c r="W46" s="913"/>
      <c r="X46" s="913"/>
      <c r="Y46" s="913"/>
      <c r="Z46" s="913"/>
      <c r="AA46" s="913"/>
      <c r="AB46" s="913"/>
      <c r="AC46" s="913"/>
      <c r="AD46" s="913"/>
      <c r="AE46" s="913"/>
    </row>
    <row r="47" spans="1:31">
      <c r="A47" s="170" t="s">
        <v>101</v>
      </c>
      <c r="B47" s="910" t="s">
        <v>14</v>
      </c>
      <c r="C47" s="112">
        <f>ROUND(SUM(C31)-SUM(C43),1)</f>
        <v>2277</v>
      </c>
      <c r="D47" s="1094"/>
      <c r="E47" s="112">
        <f>ROUND(SUM(E31)-SUM(E43),1)</f>
        <v>8926</v>
      </c>
      <c r="F47" s="81"/>
      <c r="G47" s="73">
        <f>ROUND(SUM(G31)-SUM(G43),1)</f>
        <v>10792.9</v>
      </c>
      <c r="H47" s="81"/>
      <c r="I47" s="73">
        <f>ROUND(SUM(I31)-SUM(I43),1)</f>
        <v>8515.9</v>
      </c>
      <c r="J47" s="148"/>
      <c r="K47" s="1516">
        <f>ROUND(SUM(K31)-SUM(K43),1)</f>
        <v>1866.9</v>
      </c>
      <c r="L47" s="73"/>
      <c r="M47" s="389"/>
      <c r="N47" s="73"/>
      <c r="O47" s="389"/>
      <c r="P47" s="73"/>
      <c r="Q47" s="389"/>
      <c r="R47" s="73"/>
      <c r="S47" s="148"/>
      <c r="T47" s="171"/>
      <c r="U47" s="148"/>
      <c r="V47" s="171"/>
      <c r="W47" s="148"/>
      <c r="X47" s="148"/>
      <c r="Y47" s="171"/>
      <c r="Z47" s="148"/>
      <c r="AA47" s="148"/>
      <c r="AB47" s="171"/>
      <c r="AC47" s="148"/>
      <c r="AD47" s="171"/>
      <c r="AE47" s="148"/>
    </row>
    <row r="48" spans="1:31" ht="15" customHeight="1">
      <c r="C48" s="1471"/>
      <c r="D48" s="1635"/>
      <c r="E48" s="1471"/>
      <c r="F48" s="921"/>
      <c r="G48" s="660"/>
      <c r="H48" s="921"/>
      <c r="I48" s="73"/>
      <c r="J48" s="148"/>
      <c r="K48" s="73"/>
      <c r="L48" s="660"/>
      <c r="M48" s="660"/>
      <c r="N48" s="660"/>
      <c r="O48" s="660"/>
      <c r="P48" s="660"/>
      <c r="Q48" s="660"/>
      <c r="R48" s="660"/>
    </row>
    <row r="49" spans="1:18">
      <c r="A49" s="967" t="str">
        <f>'Exh D-Governmental  '!A49</f>
        <v>Fund Balances (Deficits) at April 1</v>
      </c>
      <c r="B49" s="613" t="s">
        <v>14</v>
      </c>
      <c r="C49" s="112">
        <v>9161</v>
      </c>
      <c r="D49" s="1635"/>
      <c r="E49" s="112">
        <v>9161</v>
      </c>
      <c r="F49" s="921"/>
      <c r="G49" s="73">
        <f>'Exhibit F'!AC12</f>
        <v>9160.7999999999993</v>
      </c>
      <c r="H49" s="921"/>
      <c r="I49" s="3034">
        <f t="shared" ref="I49" si="4">ROUND(SUM(G49)-SUM(C49),1)</f>
        <v>-0.2</v>
      </c>
      <c r="J49" s="148"/>
      <c r="K49" s="911">
        <f>ROUND(SUM(G49)-SUM(E49),1)</f>
        <v>-0.2</v>
      </c>
      <c r="L49" s="73"/>
      <c r="M49" s="660"/>
      <c r="N49" s="73"/>
      <c r="O49" s="660"/>
      <c r="P49" s="78"/>
      <c r="Q49" s="660"/>
      <c r="R49" s="660"/>
    </row>
    <row r="50" spans="1:18" ht="18" customHeight="1" thickBot="1">
      <c r="A50" s="170" t="str">
        <f>'Exh D-Governmental  '!A50</f>
        <v>Fund Balances (Deficits) at September 30, 2021</v>
      </c>
      <c r="B50" s="177" t="s">
        <v>14</v>
      </c>
      <c r="C50" s="2042">
        <f>ROUND(SUM(C47:C49),1)</f>
        <v>11438</v>
      </c>
      <c r="D50" s="2043"/>
      <c r="E50" s="2042">
        <f>ROUND(SUM(E47:E49),1)</f>
        <v>18087</v>
      </c>
      <c r="F50" s="178"/>
      <c r="G50" s="95">
        <f>ROUND(SUM(G47:G49),1)</f>
        <v>19953.7</v>
      </c>
      <c r="H50" s="178"/>
      <c r="I50" s="95">
        <f>ROUND(SUM(I47:I49),1)</f>
        <v>8515.7000000000007</v>
      </c>
      <c r="J50" s="148"/>
      <c r="K50" s="95">
        <f>ROUND(SUM(K47:K49),1)</f>
        <v>1866.7</v>
      </c>
      <c r="L50" s="216"/>
      <c r="M50" s="964"/>
      <c r="N50" s="216"/>
      <c r="O50" s="964"/>
      <c r="P50" s="216"/>
    </row>
    <row r="51" spans="1:18" ht="15" customHeight="1" thickTop="1">
      <c r="A51" s="152"/>
      <c r="G51" s="613"/>
      <c r="J51" s="613"/>
      <c r="L51" s="678"/>
      <c r="M51" s="965"/>
      <c r="N51" s="965"/>
      <c r="O51" s="965"/>
      <c r="P51" s="965"/>
    </row>
    <row r="52" spans="1:18">
      <c r="A52" s="925" t="str">
        <f>'Exh D-Governmental  '!A52</f>
        <v>(*)    Source: 2021-22 Enacted Financial Plan dated May 25, 2021.</v>
      </c>
      <c r="M52" s="613"/>
      <c r="N52" s="613"/>
      <c r="O52" s="613"/>
      <c r="P52" s="613"/>
    </row>
    <row r="53" spans="1:18">
      <c r="A53" s="3917" t="str">
        <f>'Exh D-Governmental  '!A53</f>
        <v>(**)   Source: 2021-22 First Quarter Update dated September 15, 2021.</v>
      </c>
      <c r="M53" s="613"/>
      <c r="N53" s="613"/>
      <c r="O53" s="613"/>
      <c r="P53" s="613"/>
    </row>
    <row r="54" spans="1:18">
      <c r="A54" s="3839" t="s">
        <v>1545</v>
      </c>
      <c r="M54" s="613"/>
      <c r="N54" s="613"/>
      <c r="O54" s="613"/>
      <c r="P54" s="613"/>
    </row>
    <row r="55" spans="1:18">
      <c r="A55" s="1484" t="s">
        <v>1224</v>
      </c>
      <c r="M55" s="613"/>
      <c r="N55" s="613"/>
      <c r="O55" s="613"/>
      <c r="P55" s="613"/>
    </row>
    <row r="56" spans="1:18">
      <c r="A56" s="1484" t="s">
        <v>14</v>
      </c>
      <c r="M56" s="613"/>
      <c r="N56" s="613"/>
      <c r="O56" s="613"/>
      <c r="P56" s="613"/>
    </row>
    <row r="57" spans="1:18">
      <c r="A57" s="939"/>
      <c r="M57" s="613"/>
      <c r="N57" s="613"/>
      <c r="O57" s="613"/>
      <c r="P57" s="613"/>
    </row>
    <row r="58" spans="1:18">
      <c r="M58" s="613"/>
      <c r="N58" s="613"/>
      <c r="O58" s="613"/>
      <c r="P58" s="613"/>
    </row>
    <row r="59" spans="1:18">
      <c r="A59" s="3031"/>
      <c r="C59" s="2132"/>
      <c r="M59" s="613"/>
      <c r="N59" s="613"/>
      <c r="O59" s="613"/>
      <c r="P59" s="613"/>
    </row>
    <row r="60" spans="1:18">
      <c r="A60" s="201"/>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2021-10-15T17:44:36Z</dcterms:created>
  <dcterms:modified xsi:type="dcterms:W3CDTF">2021-10-15T17:44:40Z</dcterms:modified>
</cp:coreProperties>
</file>